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0 - PROJECT FILES\331050 AND 100350 - HARRISBURG\KYAWC\060098-COS\5-ProjectWorking\A-ClientSupFiles\No Weather Normal\"/>
    </mc:Choice>
  </mc:AlternateContent>
  <bookViews>
    <workbookView xWindow="-30" yWindow="1065" windowWidth="7350" windowHeight="2715" tabRatio="587"/>
  </bookViews>
  <sheets>
    <sheet name="Link out" sheetId="3" r:id="rId1"/>
    <sheet name="Link in" sheetId="4" r:id="rId2"/>
    <sheet name="Sch M" sheetId="1" r:id="rId3"/>
    <sheet name="Sch N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'Link in'!$A$100:$K$116</definedName>
    <definedName name="_xlnm.Print_Area" localSheetId="0">'Link out'!$A$1:$O$98</definedName>
    <definedName name="_xlnm.Print_Area" localSheetId="2">'Sch M'!$A$1:$Z$309</definedName>
    <definedName name="_xlnm.Print_Area" localSheetId="3">'Sch N'!$A$1:$I$249</definedName>
    <definedName name="_xlnm.Print_Area">#REF!</definedName>
  </definedNames>
  <calcPr calcId="152511" iterate="1"/>
</workbook>
</file>

<file path=xl/calcChain.xml><?xml version="1.0" encoding="utf-8"?>
<calcChain xmlns="http://schemas.openxmlformats.org/spreadsheetml/2006/main">
  <c r="L76" i="4" l="1"/>
  <c r="L73" i="4"/>
  <c r="L72" i="4"/>
  <c r="L71" i="4"/>
  <c r="L70" i="4"/>
  <c r="L69" i="4"/>
  <c r="L68" i="4"/>
  <c r="L67" i="4"/>
  <c r="L66" i="4"/>
  <c r="L65" i="4"/>
  <c r="N60" i="4"/>
  <c r="M60" i="4"/>
  <c r="L60" i="4"/>
  <c r="K60" i="4"/>
  <c r="J60" i="4"/>
  <c r="N59" i="4"/>
  <c r="M59" i="4"/>
  <c r="L59" i="4"/>
  <c r="K59" i="4"/>
  <c r="J59" i="4"/>
  <c r="N58" i="4"/>
  <c r="M58" i="4"/>
  <c r="L58" i="4"/>
  <c r="K58" i="4"/>
  <c r="J58" i="4"/>
  <c r="N57" i="4"/>
  <c r="M57" i="4"/>
  <c r="L57" i="4"/>
  <c r="K57" i="4"/>
  <c r="J57" i="4"/>
  <c r="N56" i="4"/>
  <c r="M56" i="4"/>
  <c r="L56" i="4"/>
  <c r="K56" i="4"/>
  <c r="J56" i="4"/>
  <c r="N55" i="4"/>
  <c r="M55" i="4"/>
  <c r="L55" i="4"/>
  <c r="K55" i="4"/>
  <c r="J55" i="4"/>
  <c r="N49" i="4"/>
  <c r="M49" i="4"/>
  <c r="L49" i="4"/>
  <c r="K49" i="4"/>
  <c r="J49" i="4"/>
  <c r="N48" i="4"/>
  <c r="M48" i="4"/>
  <c r="L48" i="4"/>
  <c r="K48" i="4"/>
  <c r="J48" i="4"/>
  <c r="N47" i="4"/>
  <c r="M47" i="4"/>
  <c r="L47" i="4"/>
  <c r="K47" i="4"/>
  <c r="J47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3" i="4"/>
  <c r="M43" i="4"/>
  <c r="L43" i="4"/>
  <c r="K43" i="4"/>
  <c r="J43" i="4"/>
  <c r="N42" i="4"/>
  <c r="M42" i="4"/>
  <c r="L42" i="4"/>
  <c r="K42" i="4"/>
  <c r="J42" i="4"/>
  <c r="N41" i="4"/>
  <c r="M41" i="4"/>
  <c r="L41" i="4"/>
  <c r="K41" i="4"/>
  <c r="J41" i="4"/>
  <c r="F98" i="4" l="1"/>
  <c r="D98" i="4"/>
  <c r="C98" i="4"/>
  <c r="B98" i="4"/>
  <c r="F97" i="4"/>
  <c r="D97" i="4"/>
  <c r="C97" i="4"/>
  <c r="B97" i="4"/>
  <c r="F96" i="4"/>
  <c r="D96" i="4"/>
  <c r="C96" i="4"/>
  <c r="B96" i="4"/>
  <c r="F95" i="4"/>
  <c r="D95" i="4"/>
  <c r="C95" i="4"/>
  <c r="B95" i="4"/>
  <c r="F94" i="4"/>
  <c r="D94" i="4"/>
  <c r="C94" i="4"/>
  <c r="B94" i="4"/>
  <c r="F93" i="4"/>
  <c r="D93" i="4"/>
  <c r="C93" i="4"/>
  <c r="B93" i="4"/>
  <c r="F92" i="4"/>
  <c r="D92" i="4"/>
  <c r="C92" i="4"/>
  <c r="B92" i="4"/>
  <c r="F91" i="4"/>
  <c r="D91" i="4"/>
  <c r="C91" i="4"/>
  <c r="B91" i="4"/>
  <c r="F90" i="4"/>
  <c r="D90" i="4"/>
  <c r="C90" i="4"/>
  <c r="B90" i="4"/>
  <c r="F89" i="4"/>
  <c r="D89" i="4"/>
  <c r="C89" i="4"/>
  <c r="B89" i="4"/>
  <c r="F88" i="4"/>
  <c r="D88" i="4"/>
  <c r="C88" i="4"/>
  <c r="B88" i="4"/>
  <c r="I23" i="4"/>
  <c r="D76" i="4"/>
  <c r="D73" i="4"/>
  <c r="D72" i="4"/>
  <c r="D71" i="4"/>
  <c r="D70" i="4"/>
  <c r="D69" i="4"/>
  <c r="D68" i="4"/>
  <c r="D67" i="4"/>
  <c r="D66" i="4"/>
  <c r="D65" i="4"/>
  <c r="G60" i="4"/>
  <c r="F60" i="4"/>
  <c r="E60" i="4"/>
  <c r="D60" i="4"/>
  <c r="C60" i="4"/>
  <c r="G59" i="4"/>
  <c r="F59" i="4"/>
  <c r="E59" i="4"/>
  <c r="D59" i="4"/>
  <c r="C59" i="4"/>
  <c r="G58" i="4"/>
  <c r="F58" i="4"/>
  <c r="E58" i="4"/>
  <c r="D58" i="4"/>
  <c r="C58" i="4"/>
  <c r="G57" i="4"/>
  <c r="F57" i="4"/>
  <c r="E57" i="4"/>
  <c r="D57" i="4"/>
  <c r="C57" i="4"/>
  <c r="G56" i="4"/>
  <c r="F56" i="4"/>
  <c r="E56" i="4"/>
  <c r="D56" i="4"/>
  <c r="C56" i="4"/>
  <c r="G55" i="4"/>
  <c r="F55" i="4"/>
  <c r="E55" i="4"/>
  <c r="D55" i="4"/>
  <c r="C55" i="4"/>
  <c r="G49" i="4"/>
  <c r="F49" i="4"/>
  <c r="E49" i="4"/>
  <c r="D49" i="4"/>
  <c r="C49" i="4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S34" i="4"/>
  <c r="R34" i="4"/>
  <c r="Q34" i="4"/>
  <c r="P34" i="4"/>
  <c r="O34" i="4"/>
  <c r="N34" i="4"/>
  <c r="M34" i="4"/>
  <c r="R32" i="4"/>
  <c r="Q32" i="4"/>
  <c r="P32" i="4"/>
  <c r="O32" i="4"/>
  <c r="N32" i="4"/>
  <c r="M32" i="4"/>
  <c r="I34" i="4"/>
  <c r="H34" i="4"/>
  <c r="G34" i="4"/>
  <c r="F34" i="4"/>
  <c r="E34" i="4"/>
  <c r="D34" i="4"/>
  <c r="C34" i="4"/>
  <c r="I32" i="4"/>
  <c r="H32" i="4"/>
  <c r="G32" i="4"/>
  <c r="F32" i="4"/>
  <c r="E32" i="4"/>
  <c r="D32" i="4"/>
  <c r="C32" i="4"/>
  <c r="R28" i="4"/>
  <c r="Q28" i="4"/>
  <c r="P28" i="4"/>
  <c r="O28" i="4"/>
  <c r="N28" i="4"/>
  <c r="M28" i="4"/>
  <c r="R27" i="4"/>
  <c r="Q27" i="4"/>
  <c r="P27" i="4"/>
  <c r="O27" i="4"/>
  <c r="N27" i="4"/>
  <c r="M27" i="4"/>
  <c r="R26" i="4"/>
  <c r="Q26" i="4"/>
  <c r="P26" i="4"/>
  <c r="O26" i="4"/>
  <c r="N26" i="4"/>
  <c r="M26" i="4"/>
  <c r="R25" i="4"/>
  <c r="Q25" i="4"/>
  <c r="P25" i="4"/>
  <c r="O25" i="4"/>
  <c r="N25" i="4"/>
  <c r="M25" i="4"/>
  <c r="R24" i="4"/>
  <c r="Q24" i="4"/>
  <c r="P24" i="4"/>
  <c r="O24" i="4"/>
  <c r="N24" i="4"/>
  <c r="M24" i="4"/>
  <c r="R23" i="4"/>
  <c r="Q23" i="4"/>
  <c r="P23" i="4"/>
  <c r="O23" i="4"/>
  <c r="N23" i="4"/>
  <c r="M23" i="4"/>
  <c r="H28" i="4"/>
  <c r="G28" i="4"/>
  <c r="F28" i="4"/>
  <c r="E28" i="4"/>
  <c r="D28" i="4"/>
  <c r="C28" i="4"/>
  <c r="H27" i="4"/>
  <c r="G27" i="4"/>
  <c r="F27" i="4"/>
  <c r="E27" i="4"/>
  <c r="D27" i="4"/>
  <c r="C27" i="4"/>
  <c r="H26" i="4"/>
  <c r="G26" i="4"/>
  <c r="F26" i="4"/>
  <c r="E26" i="4"/>
  <c r="D26" i="4"/>
  <c r="C26" i="4"/>
  <c r="H25" i="4"/>
  <c r="G25" i="4"/>
  <c r="F25" i="4"/>
  <c r="E25" i="4"/>
  <c r="D25" i="4"/>
  <c r="C25" i="4"/>
  <c r="H24" i="4"/>
  <c r="G24" i="4"/>
  <c r="F24" i="4"/>
  <c r="E24" i="4"/>
  <c r="D24" i="4"/>
  <c r="C24" i="4"/>
  <c r="H23" i="4"/>
  <c r="G23" i="4"/>
  <c r="F23" i="4"/>
  <c r="E23" i="4"/>
  <c r="D23" i="4"/>
  <c r="C23" i="4"/>
  <c r="S19" i="4"/>
  <c r="S18" i="4"/>
  <c r="R18" i="4"/>
  <c r="Q18" i="4"/>
  <c r="P18" i="4"/>
  <c r="O18" i="4"/>
  <c r="N18" i="4"/>
  <c r="M18" i="4"/>
  <c r="S17" i="4"/>
  <c r="R17" i="4"/>
  <c r="Q17" i="4"/>
  <c r="P17" i="4"/>
  <c r="O17" i="4"/>
  <c r="N17" i="4"/>
  <c r="M17" i="4"/>
  <c r="S16" i="4"/>
  <c r="R16" i="4"/>
  <c r="Q16" i="4"/>
  <c r="P16" i="4"/>
  <c r="O16" i="4"/>
  <c r="N16" i="4"/>
  <c r="M16" i="4"/>
  <c r="S15" i="4"/>
  <c r="R15" i="4"/>
  <c r="Q15" i="4"/>
  <c r="P15" i="4"/>
  <c r="O15" i="4"/>
  <c r="N15" i="4"/>
  <c r="M15" i="4"/>
  <c r="S14" i="4"/>
  <c r="R14" i="4"/>
  <c r="Q14" i="4"/>
  <c r="P14" i="4"/>
  <c r="O14" i="4"/>
  <c r="N14" i="4"/>
  <c r="M14" i="4"/>
  <c r="S13" i="4"/>
  <c r="R13" i="4"/>
  <c r="Q13" i="4"/>
  <c r="P13" i="4"/>
  <c r="O13" i="4"/>
  <c r="N13" i="4"/>
  <c r="M13" i="4"/>
  <c r="S12" i="4"/>
  <c r="R12" i="4"/>
  <c r="Q12" i="4"/>
  <c r="P12" i="4"/>
  <c r="O12" i="4"/>
  <c r="N12" i="4"/>
  <c r="M12" i="4"/>
  <c r="S11" i="4"/>
  <c r="R11" i="4"/>
  <c r="Q11" i="4"/>
  <c r="P11" i="4"/>
  <c r="O11" i="4"/>
  <c r="N11" i="4"/>
  <c r="M11" i="4"/>
  <c r="S10" i="4"/>
  <c r="R10" i="4"/>
  <c r="Q10" i="4"/>
  <c r="P10" i="4"/>
  <c r="O10" i="4"/>
  <c r="N10" i="4"/>
  <c r="M10" i="4"/>
  <c r="I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B84" i="4"/>
  <c r="A84" i="4"/>
  <c r="A83" i="4"/>
  <c r="A82" i="4"/>
  <c r="A81" i="4"/>
  <c r="A80" i="4"/>
  <c r="A3" i="4"/>
  <c r="A2" i="4"/>
  <c r="A1" i="4"/>
  <c r="B72" i="3" l="1"/>
  <c r="U262" i="1" l="1"/>
  <c r="K262" i="1" s="1"/>
  <c r="I221" i="5" l="1"/>
  <c r="I179" i="5"/>
  <c r="I137" i="5"/>
  <c r="I95" i="5"/>
  <c r="I53" i="5"/>
  <c r="A3" i="1" l="1"/>
  <c r="I12" i="5" l="1"/>
  <c r="Z6" i="1"/>
  <c r="U52" i="1" l="1"/>
  <c r="K52" i="1" s="1"/>
  <c r="U53" i="1"/>
  <c r="G307" i="1" l="1"/>
  <c r="Q266" i="1"/>
  <c r="V266" i="1" s="1"/>
  <c r="E266" i="1" l="1"/>
  <c r="E18" i="1" s="1"/>
  <c r="Q228" i="1" l="1"/>
  <c r="Q189" i="1"/>
  <c r="Q111" i="1"/>
  <c r="Q72" i="1" l="1"/>
  <c r="T34" i="4"/>
  <c r="T32" i="4"/>
  <c r="R21" i="4"/>
  <c r="A98" i="3" l="1"/>
  <c r="A96" i="3"/>
  <c r="A94" i="3"/>
  <c r="A92" i="3"/>
  <c r="A90" i="3"/>
  <c r="A88" i="3"/>
  <c r="A86" i="3"/>
  <c r="G94" i="3"/>
  <c r="E94" i="3"/>
  <c r="A5" i="1" l="1"/>
  <c r="A44" i="1" s="1"/>
  <c r="A83" i="1" s="1"/>
  <c r="A122" i="1" s="1"/>
  <c r="A161" i="1" s="1"/>
  <c r="A200" i="1" s="1"/>
  <c r="A239" i="1" s="1"/>
  <c r="A279" i="1" s="1"/>
  <c r="A6" i="1"/>
  <c r="Z83" i="1"/>
  <c r="Z122" i="1" s="1"/>
  <c r="Z161" i="1" s="1"/>
  <c r="Z200" i="1" s="1"/>
  <c r="Z239" i="1" s="1"/>
  <c r="Z279" i="1" s="1"/>
  <c r="A78" i="3"/>
  <c r="A11" i="5" l="1"/>
  <c r="A52" i="5" s="1"/>
  <c r="A94" i="5" s="1"/>
  <c r="A136" i="5" s="1"/>
  <c r="A178" i="5" s="1"/>
  <c r="A220" i="5" s="1"/>
  <c r="A179" i="5" l="1"/>
  <c r="L26" i="1"/>
  <c r="L27" i="1"/>
  <c r="L28" i="1"/>
  <c r="L29" i="1"/>
  <c r="L30" i="1"/>
  <c r="L32" i="1"/>
  <c r="L34" i="1"/>
  <c r="X25" i="1" l="1"/>
  <c r="Z25" i="1" s="1"/>
  <c r="A45" i="1"/>
  <c r="A84" i="1" s="1"/>
  <c r="A123" i="1" s="1"/>
  <c r="A162" i="1" s="1"/>
  <c r="A201" i="1" s="1"/>
  <c r="A240" i="1" s="1"/>
  <c r="A280" i="1" s="1"/>
  <c r="A53" i="5"/>
  <c r="A137" i="5"/>
  <c r="A221" i="5"/>
  <c r="A12" i="5"/>
  <c r="A95" i="5"/>
  <c r="L33" i="1"/>
  <c r="L35" i="1"/>
  <c r="L31" i="1" l="1"/>
  <c r="J224" i="1" l="1"/>
  <c r="J225" i="1"/>
  <c r="J226" i="1"/>
  <c r="J227" i="1"/>
  <c r="J284" i="1"/>
  <c r="L36" i="1"/>
  <c r="J49" i="1"/>
  <c r="J88" i="1" s="1"/>
  <c r="J127" i="1" s="1"/>
  <c r="J166" i="1" s="1"/>
  <c r="J205" i="1" s="1"/>
  <c r="A7" i="5" l="1"/>
  <c r="A4" i="1" l="1"/>
  <c r="V26" i="1" l="1"/>
  <c r="V27" i="1"/>
  <c r="V28" i="1"/>
  <c r="V29" i="1"/>
  <c r="V30" i="1"/>
  <c r="V31" i="1"/>
  <c r="V32" i="1"/>
  <c r="V34" i="1"/>
  <c r="V35" i="1"/>
  <c r="Q26" i="1"/>
  <c r="Q27" i="1"/>
  <c r="Q28" i="1"/>
  <c r="Q29" i="1"/>
  <c r="Q30" i="1"/>
  <c r="Q31" i="1"/>
  <c r="Q32" i="1"/>
  <c r="Q34" i="1"/>
  <c r="Q35" i="1"/>
  <c r="Z35" i="1" l="1"/>
  <c r="X35" i="1"/>
  <c r="X31" i="1"/>
  <c r="X29" i="1"/>
  <c r="X27" i="1"/>
  <c r="X34" i="1"/>
  <c r="Z34" i="1" s="1"/>
  <c r="X32" i="1"/>
  <c r="Z32" i="1" s="1"/>
  <c r="X30" i="1"/>
  <c r="X28" i="1"/>
  <c r="F41" i="3" l="1"/>
  <c r="G21" i="1"/>
  <c r="C41" i="3" l="1"/>
  <c r="L21" i="1"/>
  <c r="H38" i="3" l="1"/>
  <c r="E38" i="3"/>
  <c r="B38" i="3"/>
  <c r="G35" i="1" l="1"/>
  <c r="G33" i="1"/>
  <c r="G31" i="1"/>
  <c r="G29" i="1"/>
  <c r="G27" i="1"/>
  <c r="G34" i="1"/>
  <c r="G32" i="1"/>
  <c r="G30" i="1"/>
  <c r="G28" i="1"/>
  <c r="G26" i="1"/>
  <c r="E302" i="1"/>
  <c r="E303" i="1"/>
  <c r="E304" i="1"/>
  <c r="J304" i="1" s="1"/>
  <c r="E305" i="1"/>
  <c r="J305" i="1" s="1"/>
  <c r="E306" i="1"/>
  <c r="P305" i="1"/>
  <c r="P303" i="1"/>
  <c r="P302" i="1"/>
  <c r="P301" i="1"/>
  <c r="Z296" i="1"/>
  <c r="X296" i="1"/>
  <c r="P295" i="1"/>
  <c r="U295" i="1" s="1"/>
  <c r="K295" i="1" s="1"/>
  <c r="P294" i="1"/>
  <c r="U294" i="1" s="1"/>
  <c r="K294" i="1" s="1"/>
  <c r="P293" i="1"/>
  <c r="P292" i="1"/>
  <c r="P291" i="1"/>
  <c r="U291" i="1" s="1"/>
  <c r="K291" i="1" s="1"/>
  <c r="P290" i="1"/>
  <c r="U290" i="1" s="1"/>
  <c r="K290" i="1" s="1"/>
  <c r="P289" i="1"/>
  <c r="P288" i="1"/>
  <c r="U288" i="1" s="1"/>
  <c r="K288" i="1" s="1"/>
  <c r="P287" i="1"/>
  <c r="U287" i="1" s="1"/>
  <c r="K287" i="1" s="1"/>
  <c r="E284" i="1"/>
  <c r="O284" i="1" s="1"/>
  <c r="T284" i="1" s="1"/>
  <c r="U301" i="1" l="1"/>
  <c r="K301" i="1" s="1"/>
  <c r="U302" i="1"/>
  <c r="K302" i="1" s="1"/>
  <c r="U292" i="1"/>
  <c r="K292" i="1" s="1"/>
  <c r="G305" i="1"/>
  <c r="G304" i="1"/>
  <c r="G303" i="1"/>
  <c r="J303" i="1"/>
  <c r="G306" i="1"/>
  <c r="J306" i="1"/>
  <c r="G302" i="1"/>
  <c r="J302" i="1"/>
  <c r="G36" i="1"/>
  <c r="Q307" i="1"/>
  <c r="U289" i="1"/>
  <c r="K289" i="1" s="1"/>
  <c r="U293" i="1"/>
  <c r="K293" i="1" s="1"/>
  <c r="U303" i="1"/>
  <c r="K303" i="1" s="1"/>
  <c r="U305" i="1"/>
  <c r="K305" i="1" s="1"/>
  <c r="P304" i="1"/>
  <c r="P306" i="1"/>
  <c r="U254" i="1"/>
  <c r="E237" i="5" l="1"/>
  <c r="E234" i="5"/>
  <c r="K254" i="1"/>
  <c r="V307" i="1"/>
  <c r="X307" i="1" s="1"/>
  <c r="Z307" i="1"/>
  <c r="U304" i="1"/>
  <c r="K304" i="1" s="1"/>
  <c r="U306" i="1"/>
  <c r="K306" i="1" s="1"/>
  <c r="E49" i="1"/>
  <c r="E88" i="1" s="1"/>
  <c r="O10" i="1"/>
  <c r="T10" i="1" s="1"/>
  <c r="E127" i="1" l="1"/>
  <c r="O88" i="1"/>
  <c r="T88" i="1" s="1"/>
  <c r="O49" i="1"/>
  <c r="T49" i="1" s="1"/>
  <c r="E166" i="1" l="1"/>
  <c r="O127" i="1"/>
  <c r="T127" i="1" s="1"/>
  <c r="E205" i="1" l="1"/>
  <c r="O205" i="1" s="1"/>
  <c r="T205" i="1" s="1"/>
  <c r="O166" i="1"/>
  <c r="T166" i="1" s="1"/>
  <c r="V72" i="1" l="1"/>
  <c r="T72" i="1"/>
  <c r="T111" i="1"/>
  <c r="Z45" i="1"/>
  <c r="Z84" i="1" s="1"/>
  <c r="Z123" i="1" s="1"/>
  <c r="Z162" i="1" s="1"/>
  <c r="Z201" i="1" s="1"/>
  <c r="Z240" i="1" s="1"/>
  <c r="Z280" i="1" l="1"/>
  <c r="I125" i="4"/>
  <c r="V228" i="1" l="1"/>
  <c r="T228" i="1" l="1"/>
  <c r="A5" i="5" l="1"/>
  <c r="A46" i="5" s="1"/>
  <c r="A88" i="5" s="1"/>
  <c r="A130" i="5" s="1"/>
  <c r="A172" i="5" s="1"/>
  <c r="A214" i="5" s="1"/>
  <c r="A48" i="5" l="1"/>
  <c r="A90" i="5" s="1"/>
  <c r="A132" i="5" s="1"/>
  <c r="A174" i="5" s="1"/>
  <c r="A216" i="5" s="1"/>
  <c r="A6" i="5"/>
  <c r="A47" i="5" s="1"/>
  <c r="A89" i="5" s="1"/>
  <c r="A131" i="5" s="1"/>
  <c r="A173" i="5" s="1"/>
  <c r="A215" i="5" s="1"/>
  <c r="I60" i="4" l="1"/>
  <c r="I59" i="4"/>
  <c r="I58" i="4"/>
  <c r="I57" i="4"/>
  <c r="I56" i="4"/>
  <c r="I55" i="4"/>
  <c r="V257" i="1" l="1"/>
  <c r="A1" i="3" l="1"/>
  <c r="A1" i="1"/>
  <c r="A40" i="1" s="1"/>
  <c r="A79" i="1" s="1"/>
  <c r="A118" i="1" s="1"/>
  <c r="A157" i="1" s="1"/>
  <c r="A196" i="1" s="1"/>
  <c r="A235" i="1" s="1"/>
  <c r="A275" i="1" s="1"/>
  <c r="A43" i="1"/>
  <c r="A82" i="1" s="1"/>
  <c r="A121" i="1" s="1"/>
  <c r="A160" i="1" s="1"/>
  <c r="A199" i="1" s="1"/>
  <c r="A238" i="1" s="1"/>
  <c r="A278" i="1" s="1"/>
  <c r="A42" i="1"/>
  <c r="A81" i="1" s="1"/>
  <c r="A120" i="1" s="1"/>
  <c r="A159" i="1" s="1"/>
  <c r="A198" i="1" s="1"/>
  <c r="A237" i="1" s="1"/>
  <c r="A277" i="1" s="1"/>
  <c r="F71" i="1" l="1"/>
  <c r="F69" i="1"/>
  <c r="F67" i="1"/>
  <c r="F110" i="1"/>
  <c r="F108" i="1"/>
  <c r="F106" i="1"/>
  <c r="F149" i="1"/>
  <c r="F147" i="1"/>
  <c r="F145" i="1"/>
  <c r="F70" i="1"/>
  <c r="F68" i="1"/>
  <c r="F109" i="1"/>
  <c r="F107" i="1"/>
  <c r="F148" i="1"/>
  <c r="F146" i="1"/>
  <c r="F223" i="1" l="1"/>
  <c r="F226" i="1" l="1"/>
  <c r="F224" i="1"/>
  <c r="F227" i="1"/>
  <c r="F225" i="1"/>
  <c r="F187" i="1"/>
  <c r="F185" i="1"/>
  <c r="F188" i="1"/>
  <c r="F186" i="1"/>
  <c r="F184" i="1"/>
  <c r="I53" i="4"/>
  <c r="X228" i="1" l="1"/>
  <c r="Z228" i="1" s="1"/>
  <c r="A5" i="4" l="1"/>
  <c r="P185" i="1" l="1"/>
  <c r="P68" i="1"/>
  <c r="P184" i="1"/>
  <c r="P67" i="1"/>
  <c r="A29" i="3"/>
  <c r="V150" i="1"/>
  <c r="Z27" i="1"/>
  <c r="T150" i="1" l="1"/>
  <c r="P186" i="1"/>
  <c r="P69" i="1"/>
  <c r="P107" i="1"/>
  <c r="P146" i="1"/>
  <c r="P145" i="1"/>
  <c r="P106" i="1"/>
  <c r="P223" i="1"/>
  <c r="P224" i="1"/>
  <c r="Z28" i="1"/>
  <c r="Z30" i="1"/>
  <c r="V111" i="1"/>
  <c r="Z29" i="1" l="1"/>
  <c r="X26" i="1"/>
  <c r="Z26" i="1" s="1"/>
  <c r="Z139" i="1"/>
  <c r="X139" i="1"/>
  <c r="X100" i="1"/>
  <c r="Z100" i="1"/>
  <c r="P147" i="1"/>
  <c r="P227" i="1"/>
  <c r="G224" i="1"/>
  <c r="P108" i="1"/>
  <c r="P226" i="1" l="1"/>
  <c r="G226" i="1"/>
  <c r="G227" i="1"/>
  <c r="P225" i="1"/>
  <c r="G225" i="1"/>
  <c r="Z61" i="1" l="1"/>
  <c r="X61" i="1"/>
  <c r="X178" i="1"/>
  <c r="Z178" i="1"/>
  <c r="X217" i="1"/>
  <c r="Z217" i="1"/>
  <c r="P187" i="1"/>
  <c r="P188" i="1"/>
  <c r="P149" i="1"/>
  <c r="P110" i="1"/>
  <c r="P148" i="1"/>
  <c r="P109" i="1"/>
  <c r="P71" i="1"/>
  <c r="P70" i="1"/>
  <c r="T189" i="1" l="1"/>
  <c r="T226" i="1" l="1"/>
  <c r="Q226" i="1"/>
  <c r="T224" i="1"/>
  <c r="Q224" i="1"/>
  <c r="T227" i="1"/>
  <c r="Q227" i="1"/>
  <c r="T225" i="1"/>
  <c r="Q225" i="1"/>
  <c r="X150" i="1" l="1"/>
  <c r="Z150" i="1" l="1"/>
  <c r="X72" i="1" l="1"/>
  <c r="V189" i="1"/>
  <c r="Z72" i="1" l="1"/>
  <c r="X189" i="1"/>
  <c r="Z189" i="1" l="1"/>
  <c r="Z31" i="1" l="1"/>
  <c r="G122" i="4" l="1"/>
  <c r="U247" i="1" l="1"/>
  <c r="U248" i="1"/>
  <c r="U249" i="1"/>
  <c r="U250" i="1"/>
  <c r="U251" i="1"/>
  <c r="U252" i="1"/>
  <c r="U253" i="1"/>
  <c r="U91" i="1"/>
  <c r="U130" i="1"/>
  <c r="K130" i="1" s="1"/>
  <c r="U169" i="1"/>
  <c r="K169" i="1" s="1"/>
  <c r="U208" i="1"/>
  <c r="K208" i="1" s="1"/>
  <c r="E233" i="5" l="1"/>
  <c r="K253" i="1"/>
  <c r="E231" i="5"/>
  <c r="K251" i="1"/>
  <c r="E229" i="5"/>
  <c r="K249" i="1"/>
  <c r="E227" i="5"/>
  <c r="K247" i="1"/>
  <c r="E232" i="5"/>
  <c r="K252" i="1"/>
  <c r="E230" i="5"/>
  <c r="K250" i="1"/>
  <c r="E228" i="5"/>
  <c r="K248" i="1"/>
  <c r="K91" i="1"/>
  <c r="B64" i="3"/>
  <c r="E16" i="5"/>
  <c r="E57" i="5"/>
  <c r="U68" i="1" l="1"/>
  <c r="K68" i="1" s="1"/>
  <c r="U67" i="1"/>
  <c r="K67" i="1" s="1"/>
  <c r="U71" i="1"/>
  <c r="K71" i="1" s="1"/>
  <c r="U66" i="1"/>
  <c r="K66" i="1" s="1"/>
  <c r="U70" i="1"/>
  <c r="K70" i="1" s="1"/>
  <c r="U69" i="1"/>
  <c r="K69" i="1" s="1"/>
  <c r="U224" i="1"/>
  <c r="U54" i="1"/>
  <c r="K54" i="1" s="1"/>
  <c r="U56" i="1"/>
  <c r="K56" i="1" s="1"/>
  <c r="U57" i="1"/>
  <c r="K57" i="1" s="1"/>
  <c r="U59" i="1"/>
  <c r="K59" i="1" s="1"/>
  <c r="U55" i="1"/>
  <c r="K55" i="1" s="1"/>
  <c r="U58" i="1"/>
  <c r="K58" i="1" s="1"/>
  <c r="U60" i="1"/>
  <c r="K60" i="1" s="1"/>
  <c r="K53" i="1"/>
  <c r="E20" i="5" l="1"/>
  <c r="E39" i="5" s="1"/>
  <c r="V224" i="1"/>
  <c r="X224" i="1" s="1"/>
  <c r="Z224" i="1" s="1"/>
  <c r="K224" i="1"/>
  <c r="L224" i="1" s="1"/>
  <c r="E28" i="5"/>
  <c r="E21" i="5"/>
  <c r="E29" i="5"/>
  <c r="E17" i="5"/>
  <c r="E26" i="5"/>
  <c r="E22" i="5"/>
  <c r="E32" i="5"/>
  <c r="E23" i="5"/>
  <c r="E27" i="5"/>
  <c r="E31" i="5"/>
  <c r="E35" i="5"/>
  <c r="E19" i="5"/>
  <c r="E24" i="5"/>
  <c r="E30" i="5"/>
  <c r="E36" i="5"/>
  <c r="E18" i="5"/>
  <c r="E25" i="5"/>
  <c r="E33" i="5"/>
  <c r="E34" i="5"/>
  <c r="U185" i="1"/>
  <c r="K185" i="1" s="1"/>
  <c r="U227" i="1"/>
  <c r="U145" i="1"/>
  <c r="K145" i="1" s="1"/>
  <c r="U183" i="1"/>
  <c r="K183" i="1" s="1"/>
  <c r="U226" i="1"/>
  <c r="V226" i="1" l="1"/>
  <c r="X226" i="1" s="1"/>
  <c r="Z226" i="1" s="1"/>
  <c r="K226" i="1"/>
  <c r="L226" i="1" s="1"/>
  <c r="V227" i="1"/>
  <c r="X227" i="1" s="1"/>
  <c r="Z227" i="1" s="1"/>
  <c r="K227" i="1"/>
  <c r="L227" i="1" s="1"/>
  <c r="F72" i="3"/>
  <c r="U188" i="1"/>
  <c r="K188" i="1" s="1"/>
  <c r="U107" i="1"/>
  <c r="K107" i="1" s="1"/>
  <c r="U146" i="1"/>
  <c r="K146" i="1" s="1"/>
  <c r="U93" i="1"/>
  <c r="K93" i="1" s="1"/>
  <c r="U106" i="1"/>
  <c r="K106" i="1" s="1"/>
  <c r="U222" i="1"/>
  <c r="K222" i="1" s="1"/>
  <c r="U109" i="1"/>
  <c r="K109" i="1" s="1"/>
  <c r="U149" i="1"/>
  <c r="K149" i="1" s="1"/>
  <c r="U95" i="1"/>
  <c r="K95" i="1" s="1"/>
  <c r="U97" i="1"/>
  <c r="K97" i="1" s="1"/>
  <c r="U186" i="1"/>
  <c r="K186" i="1" s="1"/>
  <c r="U225" i="1"/>
  <c r="U105" i="1"/>
  <c r="U144" i="1"/>
  <c r="K144" i="1" s="1"/>
  <c r="U147" i="1"/>
  <c r="K147" i="1" s="1"/>
  <c r="U92" i="1"/>
  <c r="K92" i="1" s="1"/>
  <c r="U98" i="1"/>
  <c r="K98" i="1" s="1"/>
  <c r="U99" i="1"/>
  <c r="K99" i="1" s="1"/>
  <c r="U223" i="1"/>
  <c r="K223" i="1" s="1"/>
  <c r="U187" i="1"/>
  <c r="K187" i="1" s="1"/>
  <c r="U110" i="1"/>
  <c r="K110" i="1" s="1"/>
  <c r="U96" i="1"/>
  <c r="K96" i="1" s="1"/>
  <c r="U108" i="1"/>
  <c r="K108" i="1" s="1"/>
  <c r="U94" i="1"/>
  <c r="K94" i="1" s="1"/>
  <c r="U148" i="1"/>
  <c r="K148" i="1" s="1"/>
  <c r="U184" i="1"/>
  <c r="K184" i="1" s="1"/>
  <c r="K105" i="1" l="1"/>
  <c r="B65" i="3"/>
  <c r="V225" i="1"/>
  <c r="X225" i="1" s="1"/>
  <c r="Z225" i="1" s="1"/>
  <c r="K225" i="1"/>
  <c r="L225" i="1" s="1"/>
  <c r="E61" i="5"/>
  <c r="E62" i="5"/>
  <c r="E74" i="5"/>
  <c r="E59" i="5"/>
  <c r="E63" i="5"/>
  <c r="E67" i="5"/>
  <c r="E71" i="5"/>
  <c r="E75" i="5"/>
  <c r="E60" i="5"/>
  <c r="E64" i="5"/>
  <c r="E68" i="5"/>
  <c r="E72" i="5"/>
  <c r="E81" i="5" s="1"/>
  <c r="E76" i="5"/>
  <c r="E58" i="5"/>
  <c r="E65" i="5"/>
  <c r="E69" i="5"/>
  <c r="E73" i="5"/>
  <c r="E77" i="5"/>
  <c r="E66" i="5"/>
  <c r="E70" i="5"/>
  <c r="E78" i="5"/>
  <c r="U133" i="1"/>
  <c r="K133" i="1" s="1"/>
  <c r="U137" i="1"/>
  <c r="K137" i="1" s="1"/>
  <c r="U131" i="1"/>
  <c r="K131" i="1" s="1"/>
  <c r="U135" i="1"/>
  <c r="K135" i="1" s="1"/>
  <c r="U138" i="1"/>
  <c r="K138" i="1" s="1"/>
  <c r="U136" i="1"/>
  <c r="K136" i="1" s="1"/>
  <c r="U134" i="1"/>
  <c r="K134" i="1" s="1"/>
  <c r="U132" i="1"/>
  <c r="K132" i="1" s="1"/>
  <c r="E99" i="5" l="1"/>
  <c r="X111" i="1"/>
  <c r="Z111" i="1" s="1"/>
  <c r="U171" i="1"/>
  <c r="K171" i="1" s="1"/>
  <c r="U175" i="1"/>
  <c r="K175" i="1" s="1"/>
  <c r="U173" i="1"/>
  <c r="K173" i="1" s="1"/>
  <c r="U177" i="1"/>
  <c r="K177" i="1" s="1"/>
  <c r="U176" i="1"/>
  <c r="K176" i="1" s="1"/>
  <c r="U172" i="1"/>
  <c r="K172" i="1" s="1"/>
  <c r="U170" i="1"/>
  <c r="K170" i="1" s="1"/>
  <c r="U174" i="1"/>
  <c r="K174" i="1" s="1"/>
  <c r="E102" i="5" l="1"/>
  <c r="E106" i="5"/>
  <c r="E108" i="5"/>
  <c r="E112" i="5"/>
  <c r="E118" i="5"/>
  <c r="E101" i="5"/>
  <c r="E103" i="5"/>
  <c r="E105" i="5"/>
  <c r="E107" i="5"/>
  <c r="E109" i="5"/>
  <c r="E111" i="5"/>
  <c r="E113" i="5"/>
  <c r="E123" i="5" s="1"/>
  <c r="E115" i="5"/>
  <c r="E117" i="5"/>
  <c r="E119" i="5"/>
  <c r="E100" i="5"/>
  <c r="E104" i="5"/>
  <c r="E110" i="5"/>
  <c r="E114" i="5"/>
  <c r="E116" i="5"/>
  <c r="E120" i="5"/>
  <c r="E141" i="5"/>
  <c r="E152" i="5" s="1"/>
  <c r="E165" i="5" s="1"/>
  <c r="U213" i="1"/>
  <c r="K213" i="1" s="1"/>
  <c r="U211" i="1"/>
  <c r="K211" i="1" s="1"/>
  <c r="U212" i="1"/>
  <c r="K212" i="1" s="1"/>
  <c r="U216" i="1"/>
  <c r="K216" i="1" s="1"/>
  <c r="U210" i="1"/>
  <c r="K210" i="1" s="1"/>
  <c r="U209" i="1"/>
  <c r="K209" i="1" s="1"/>
  <c r="U214" i="1"/>
  <c r="K214" i="1" s="1"/>
  <c r="U215" i="1"/>
  <c r="K215" i="1" s="1"/>
  <c r="E183" i="5" l="1"/>
  <c r="E143" i="5"/>
  <c r="E147" i="5"/>
  <c r="E153" i="5"/>
  <c r="E157" i="5"/>
  <c r="E161" i="5"/>
  <c r="E144" i="5"/>
  <c r="E146" i="5"/>
  <c r="E148" i="5"/>
  <c r="E150" i="5"/>
  <c r="E154" i="5"/>
  <c r="E156" i="5"/>
  <c r="E158" i="5"/>
  <c r="E160" i="5"/>
  <c r="E162" i="5"/>
  <c r="E145" i="5"/>
  <c r="E149" i="5"/>
  <c r="E151" i="5"/>
  <c r="E155" i="5"/>
  <c r="E159" i="5"/>
  <c r="E142" i="5"/>
  <c r="E186" i="5" l="1"/>
  <c r="E190" i="5"/>
  <c r="E194" i="5"/>
  <c r="E200" i="5"/>
  <c r="E204" i="5"/>
  <c r="E185" i="5"/>
  <c r="E187" i="5"/>
  <c r="E189" i="5"/>
  <c r="E191" i="5"/>
  <c r="E193" i="5"/>
  <c r="E195" i="5"/>
  <c r="E207" i="5" s="1"/>
  <c r="E197" i="5"/>
  <c r="E199" i="5"/>
  <c r="E201" i="5"/>
  <c r="E203" i="5"/>
  <c r="E184" i="5"/>
  <c r="E188" i="5"/>
  <c r="E192" i="5"/>
  <c r="E196" i="5"/>
  <c r="E198" i="5"/>
  <c r="E202" i="5"/>
  <c r="Q33" i="1" l="1"/>
  <c r="V33" i="1" l="1"/>
  <c r="Q36" i="1"/>
  <c r="X33" i="1" l="1"/>
  <c r="Z33" i="1" s="1"/>
  <c r="V36" i="1"/>
  <c r="X36" i="1" l="1"/>
  <c r="Z36" i="1" l="1"/>
  <c r="B75" i="3"/>
  <c r="G217" i="1"/>
  <c r="L217" i="1" l="1"/>
  <c r="N294" i="1"/>
  <c r="O307" i="1"/>
  <c r="T307" i="1" s="1"/>
  <c r="O306" i="1"/>
  <c r="O305" i="1"/>
  <c r="O304" i="1"/>
  <c r="O303" i="1"/>
  <c r="O302" i="1"/>
  <c r="N295" i="1"/>
  <c r="N293" i="1"/>
  <c r="N292" i="1"/>
  <c r="N291" i="1"/>
  <c r="N290" i="1"/>
  <c r="N289" i="1"/>
  <c r="N288" i="1"/>
  <c r="N287" i="1"/>
  <c r="S290" i="1" l="1"/>
  <c r="V290" i="1" s="1"/>
  <c r="Q290" i="1"/>
  <c r="Z290" i="1" s="1"/>
  <c r="S292" i="1"/>
  <c r="V292" i="1" s="1"/>
  <c r="Q292" i="1"/>
  <c r="Q302" i="1"/>
  <c r="Z302" i="1" s="1"/>
  <c r="T302" i="1"/>
  <c r="V302" i="1" s="1"/>
  <c r="Q287" i="1"/>
  <c r="Z287" i="1" s="1"/>
  <c r="S287" i="1"/>
  <c r="V287" i="1" s="1"/>
  <c r="S288" i="1"/>
  <c r="V288" i="1" s="1"/>
  <c r="Q288" i="1"/>
  <c r="Z288" i="1" s="1"/>
  <c r="S291" i="1"/>
  <c r="V291" i="1" s="1"/>
  <c r="Q291" i="1"/>
  <c r="Z291" i="1" s="1"/>
  <c r="S295" i="1"/>
  <c r="V295" i="1" s="1"/>
  <c r="Q295" i="1"/>
  <c r="Z295" i="1" s="1"/>
  <c r="S294" i="1"/>
  <c r="V294" i="1" s="1"/>
  <c r="Q294" i="1"/>
  <c r="Z294" i="1" s="1"/>
  <c r="S289" i="1"/>
  <c r="V289" i="1" s="1"/>
  <c r="Q289" i="1"/>
  <c r="Z289" i="1" s="1"/>
  <c r="S293" i="1"/>
  <c r="V293" i="1" s="1"/>
  <c r="Q293" i="1"/>
  <c r="Z293" i="1" s="1"/>
  <c r="Q303" i="1"/>
  <c r="Z303" i="1" s="1"/>
  <c r="T303" i="1"/>
  <c r="V303" i="1" s="1"/>
  <c r="Q304" i="1"/>
  <c r="Z304" i="1" s="1"/>
  <c r="T304" i="1"/>
  <c r="V304" i="1" s="1"/>
  <c r="Q305" i="1"/>
  <c r="Z305" i="1" s="1"/>
  <c r="T305" i="1"/>
  <c r="V305" i="1" s="1"/>
  <c r="T306" i="1"/>
  <c r="V306" i="1" s="1"/>
  <c r="Q306" i="1"/>
  <c r="Z306" i="1" s="1"/>
  <c r="X305" i="1" l="1"/>
  <c r="X304" i="1"/>
  <c r="X303" i="1"/>
  <c r="X287" i="1"/>
  <c r="X302" i="1"/>
  <c r="X306" i="1"/>
  <c r="X293" i="1"/>
  <c r="X289" i="1"/>
  <c r="X294" i="1"/>
  <c r="X295" i="1"/>
  <c r="X291" i="1"/>
  <c r="X288" i="1"/>
  <c r="X292" i="1"/>
  <c r="Z292" i="1" s="1"/>
  <c r="X290" i="1"/>
  <c r="O301" i="1" l="1"/>
  <c r="R29" i="4"/>
  <c r="O309" i="1" l="1"/>
  <c r="O20" i="1" s="1"/>
  <c r="Q301" i="1"/>
  <c r="T301" i="1"/>
  <c r="E98" i="3" s="1"/>
  <c r="V301" i="1" l="1"/>
  <c r="G98" i="3" s="1"/>
  <c r="T309" i="1"/>
  <c r="T20" i="1" s="1"/>
  <c r="E40" i="3"/>
  <c r="Q309" i="1"/>
  <c r="Q20" i="1" s="1"/>
  <c r="H40" i="3" l="1"/>
  <c r="X301" i="1"/>
  <c r="V309" i="1"/>
  <c r="X309" i="1" l="1"/>
  <c r="Z309" i="1" s="1"/>
  <c r="Z301" i="1"/>
  <c r="V20" i="1"/>
  <c r="X20" i="1" s="1"/>
  <c r="Z20" i="1" s="1"/>
  <c r="C98" i="3"/>
  <c r="F40" i="3"/>
  <c r="I40" i="3" l="1"/>
  <c r="F246" i="1"/>
  <c r="C226" i="5" l="1"/>
  <c r="P246" i="1"/>
  <c r="F254" i="1" l="1"/>
  <c r="F252" i="1"/>
  <c r="F250" i="1"/>
  <c r="F248" i="1"/>
  <c r="F253" i="1"/>
  <c r="F251" i="1"/>
  <c r="F249" i="1"/>
  <c r="F247" i="1"/>
  <c r="C227" i="5" l="1"/>
  <c r="G227" i="5" s="1"/>
  <c r="I227" i="5" s="1"/>
  <c r="P247" i="1"/>
  <c r="C229" i="5"/>
  <c r="G229" i="5" s="1"/>
  <c r="I229" i="5" s="1"/>
  <c r="P249" i="1"/>
  <c r="C233" i="5"/>
  <c r="G233" i="5" s="1"/>
  <c r="I233" i="5" s="1"/>
  <c r="P253" i="1"/>
  <c r="C230" i="5"/>
  <c r="G230" i="5" s="1"/>
  <c r="I230" i="5" s="1"/>
  <c r="P250" i="1"/>
  <c r="P254" i="1"/>
  <c r="C234" i="5"/>
  <c r="G234" i="5" s="1"/>
  <c r="I234" i="5" s="1"/>
  <c r="C228" i="5"/>
  <c r="G228" i="5" s="1"/>
  <c r="I228" i="5" s="1"/>
  <c r="P248" i="1"/>
  <c r="C232" i="5"/>
  <c r="G232" i="5" s="1"/>
  <c r="I232" i="5" s="1"/>
  <c r="P252" i="1"/>
  <c r="C231" i="5"/>
  <c r="G231" i="5" s="1"/>
  <c r="I231" i="5" s="1"/>
  <c r="P251" i="1"/>
  <c r="F262" i="1"/>
  <c r="P262" i="1" l="1"/>
  <c r="C237" i="5"/>
  <c r="G237" i="5" s="1"/>
  <c r="I237" i="5" s="1"/>
  <c r="O223" i="1" l="1"/>
  <c r="E223" i="1"/>
  <c r="O184" i="1"/>
  <c r="O185" i="1"/>
  <c r="O186" i="1"/>
  <c r="O187" i="1"/>
  <c r="O188" i="1"/>
  <c r="E184" i="1"/>
  <c r="E185" i="1"/>
  <c r="E186" i="1"/>
  <c r="E187" i="1"/>
  <c r="E188" i="1"/>
  <c r="E145" i="1"/>
  <c r="E146" i="1"/>
  <c r="E147" i="1"/>
  <c r="E148" i="1"/>
  <c r="E149" i="1"/>
  <c r="O145" i="1"/>
  <c r="O146" i="1"/>
  <c r="O147" i="1"/>
  <c r="O148" i="1"/>
  <c r="O149" i="1"/>
  <c r="E67" i="1"/>
  <c r="E68" i="1"/>
  <c r="E69" i="1"/>
  <c r="E70" i="1"/>
  <c r="E71" i="1"/>
  <c r="O106" i="1"/>
  <c r="O107" i="1"/>
  <c r="O108" i="1"/>
  <c r="O109" i="1"/>
  <c r="O110" i="1"/>
  <c r="E106" i="1"/>
  <c r="E107" i="1"/>
  <c r="E108" i="1"/>
  <c r="E109" i="1"/>
  <c r="E110" i="1"/>
  <c r="F222" i="1"/>
  <c r="P222" i="1" s="1"/>
  <c r="F183" i="1"/>
  <c r="P183" i="1" s="1"/>
  <c r="F144" i="1"/>
  <c r="P144" i="1" s="1"/>
  <c r="F105" i="1"/>
  <c r="P105" i="1" s="1"/>
  <c r="F66" i="1"/>
  <c r="P66" i="1" s="1"/>
  <c r="F60" i="1"/>
  <c r="P60" i="1" s="1"/>
  <c r="F59" i="1"/>
  <c r="P59" i="1" s="1"/>
  <c r="F58" i="1"/>
  <c r="P58" i="1" s="1"/>
  <c r="F57" i="1"/>
  <c r="P57" i="1" s="1"/>
  <c r="F56" i="1"/>
  <c r="P56" i="1" s="1"/>
  <c r="F55" i="1"/>
  <c r="P55" i="1" s="1"/>
  <c r="F54" i="1"/>
  <c r="P54" i="1" s="1"/>
  <c r="F53" i="1"/>
  <c r="P53" i="1" s="1"/>
  <c r="F52" i="1"/>
  <c r="P52" i="1" s="1"/>
  <c r="C16" i="5" s="1"/>
  <c r="C20" i="5" l="1"/>
  <c r="G109" i="1"/>
  <c r="J109" i="1"/>
  <c r="L109" i="1" s="1"/>
  <c r="G107" i="1"/>
  <c r="J107" i="1"/>
  <c r="L107" i="1" s="1"/>
  <c r="G71" i="1"/>
  <c r="J71" i="1"/>
  <c r="L71" i="1" s="1"/>
  <c r="G69" i="1"/>
  <c r="J69" i="1"/>
  <c r="L69" i="1" s="1"/>
  <c r="G67" i="1"/>
  <c r="J67" i="1"/>
  <c r="L67" i="1" s="1"/>
  <c r="O71" i="1"/>
  <c r="T71" i="1" s="1"/>
  <c r="V71" i="1" s="1"/>
  <c r="L306" i="1"/>
  <c r="O69" i="1"/>
  <c r="T69" i="1" s="1"/>
  <c r="V69" i="1" s="1"/>
  <c r="L304" i="1"/>
  <c r="O67" i="1"/>
  <c r="Q67" i="1" s="1"/>
  <c r="L302" i="1"/>
  <c r="G148" i="1"/>
  <c r="J148" i="1"/>
  <c r="L148" i="1" s="1"/>
  <c r="G146" i="1"/>
  <c r="J146" i="1"/>
  <c r="L146" i="1" s="1"/>
  <c r="G188" i="1"/>
  <c r="J188" i="1"/>
  <c r="L188" i="1" s="1"/>
  <c r="G186" i="1"/>
  <c r="J186" i="1"/>
  <c r="L186" i="1" s="1"/>
  <c r="G184" i="1"/>
  <c r="J184" i="1"/>
  <c r="L184" i="1" s="1"/>
  <c r="G223" i="1"/>
  <c r="J223" i="1"/>
  <c r="L223" i="1" s="1"/>
  <c r="G110" i="1"/>
  <c r="J110" i="1"/>
  <c r="L110" i="1" s="1"/>
  <c r="G108" i="1"/>
  <c r="J108" i="1"/>
  <c r="L108" i="1" s="1"/>
  <c r="G106" i="1"/>
  <c r="J106" i="1"/>
  <c r="L106" i="1" s="1"/>
  <c r="G70" i="1"/>
  <c r="J70" i="1"/>
  <c r="L70" i="1" s="1"/>
  <c r="G68" i="1"/>
  <c r="J68" i="1"/>
  <c r="L68" i="1" s="1"/>
  <c r="O70" i="1"/>
  <c r="Q70" i="1" s="1"/>
  <c r="L305" i="1"/>
  <c r="O68" i="1"/>
  <c r="Q68" i="1" s="1"/>
  <c r="L303" i="1"/>
  <c r="G149" i="1"/>
  <c r="J149" i="1"/>
  <c r="L149" i="1" s="1"/>
  <c r="G147" i="1"/>
  <c r="J147" i="1"/>
  <c r="L147" i="1" s="1"/>
  <c r="G145" i="1"/>
  <c r="J145" i="1"/>
  <c r="L145" i="1" s="1"/>
  <c r="G187" i="1"/>
  <c r="J187" i="1"/>
  <c r="L187" i="1" s="1"/>
  <c r="G185" i="1"/>
  <c r="J185" i="1"/>
  <c r="L185" i="1" s="1"/>
  <c r="C18" i="5"/>
  <c r="G18" i="5" s="1"/>
  <c r="I18" i="5" s="1"/>
  <c r="C25" i="5"/>
  <c r="G25" i="5" s="1"/>
  <c r="I25" i="5" s="1"/>
  <c r="C33" i="5"/>
  <c r="G33" i="5" s="1"/>
  <c r="I33" i="5" s="1"/>
  <c r="C28" i="5"/>
  <c r="G28" i="5" s="1"/>
  <c r="I28" i="5" s="1"/>
  <c r="C36" i="5"/>
  <c r="G36" i="5" s="1"/>
  <c r="I36" i="5" s="1"/>
  <c r="C23" i="5"/>
  <c r="G23" i="5" s="1"/>
  <c r="I23" i="5" s="1"/>
  <c r="C31" i="5"/>
  <c r="G31" i="5" s="1"/>
  <c r="I31" i="5" s="1"/>
  <c r="C19" i="5"/>
  <c r="G19" i="5" s="1"/>
  <c r="I19" i="5" s="1"/>
  <c r="C26" i="5"/>
  <c r="G26" i="5" s="1"/>
  <c r="I26" i="5" s="1"/>
  <c r="C34" i="5"/>
  <c r="G34" i="5" s="1"/>
  <c r="I34" i="5" s="1"/>
  <c r="C21" i="5"/>
  <c r="G21" i="5" s="1"/>
  <c r="I21" i="5" s="1"/>
  <c r="C29" i="5"/>
  <c r="G29" i="5" s="1"/>
  <c r="I29" i="5" s="1"/>
  <c r="C17" i="5"/>
  <c r="G17" i="5" s="1"/>
  <c r="I17" i="5" s="1"/>
  <c r="C24" i="5"/>
  <c r="G24" i="5" s="1"/>
  <c r="I24" i="5" s="1"/>
  <c r="C32" i="5"/>
  <c r="G32" i="5" s="1"/>
  <c r="I32" i="5" s="1"/>
  <c r="C27" i="5"/>
  <c r="G27" i="5" s="1"/>
  <c r="I27" i="5" s="1"/>
  <c r="C35" i="5"/>
  <c r="G35" i="5" s="1"/>
  <c r="I35" i="5" s="1"/>
  <c r="C22" i="5"/>
  <c r="G22" i="5" s="1"/>
  <c r="I22" i="5" s="1"/>
  <c r="C30" i="5"/>
  <c r="G30" i="5" s="1"/>
  <c r="I30" i="5" s="1"/>
  <c r="G16" i="5"/>
  <c r="I16" i="5" s="1"/>
  <c r="T110" i="1"/>
  <c r="V110" i="1" s="1"/>
  <c r="Q110" i="1"/>
  <c r="Q108" i="1"/>
  <c r="T108" i="1"/>
  <c r="V108" i="1" s="1"/>
  <c r="Q106" i="1"/>
  <c r="T106" i="1"/>
  <c r="V106" i="1" s="1"/>
  <c r="T148" i="1"/>
  <c r="V148" i="1" s="1"/>
  <c r="Q148" i="1"/>
  <c r="T146" i="1"/>
  <c r="V146" i="1" s="1"/>
  <c r="Q146" i="1"/>
  <c r="T187" i="1"/>
  <c r="V187" i="1" s="1"/>
  <c r="Q187" i="1"/>
  <c r="Q185" i="1"/>
  <c r="T185" i="1"/>
  <c r="V185" i="1" s="1"/>
  <c r="T109" i="1"/>
  <c r="V109" i="1" s="1"/>
  <c r="Q109" i="1"/>
  <c r="Q107" i="1"/>
  <c r="T107" i="1"/>
  <c r="V107" i="1" s="1"/>
  <c r="Q149" i="1"/>
  <c r="T149" i="1"/>
  <c r="V149" i="1" s="1"/>
  <c r="T147" i="1"/>
  <c r="V147" i="1" s="1"/>
  <c r="Q147" i="1"/>
  <c r="T145" i="1"/>
  <c r="V145" i="1" s="1"/>
  <c r="Q145" i="1"/>
  <c r="T188" i="1"/>
  <c r="V188" i="1" s="1"/>
  <c r="Q188" i="1"/>
  <c r="T186" i="1"/>
  <c r="V186" i="1" s="1"/>
  <c r="Q186" i="1"/>
  <c r="T184" i="1"/>
  <c r="V184" i="1" s="1"/>
  <c r="Q184" i="1"/>
  <c r="Q223" i="1"/>
  <c r="T223" i="1"/>
  <c r="V223" i="1" s="1"/>
  <c r="G20" i="5" l="1"/>
  <c r="C39" i="5"/>
  <c r="D72" i="3" s="1"/>
  <c r="T70" i="1"/>
  <c r="V70" i="1" s="1"/>
  <c r="X70" i="1" s="1"/>
  <c r="Z70" i="1" s="1"/>
  <c r="Q69" i="1"/>
  <c r="X69" i="1" s="1"/>
  <c r="Z69" i="1" s="1"/>
  <c r="T67" i="1"/>
  <c r="V67" i="1" s="1"/>
  <c r="X67" i="1" s="1"/>
  <c r="Z67" i="1" s="1"/>
  <c r="Q71" i="1"/>
  <c r="Z71" i="1" s="1"/>
  <c r="T68" i="1"/>
  <c r="V68" i="1" s="1"/>
  <c r="X68" i="1" s="1"/>
  <c r="Z68" i="1" s="1"/>
  <c r="X184" i="1"/>
  <c r="Z184" i="1" s="1"/>
  <c r="X186" i="1"/>
  <c r="Z186" i="1" s="1"/>
  <c r="X188" i="1"/>
  <c r="Z188" i="1" s="1"/>
  <c r="X145" i="1"/>
  <c r="Z145" i="1" s="1"/>
  <c r="X147" i="1"/>
  <c r="Z147" i="1" s="1"/>
  <c r="X109" i="1"/>
  <c r="Z109" i="1" s="1"/>
  <c r="X185" i="1"/>
  <c r="Z185" i="1" s="1"/>
  <c r="X106" i="1"/>
  <c r="Z106" i="1" s="1"/>
  <c r="X108" i="1"/>
  <c r="Z108" i="1" s="1"/>
  <c r="X223" i="1"/>
  <c r="Z223" i="1" s="1"/>
  <c r="X149" i="1"/>
  <c r="Z149" i="1" s="1"/>
  <c r="X107" i="1"/>
  <c r="Z107" i="1" s="1"/>
  <c r="X187" i="1"/>
  <c r="Z187" i="1" s="1"/>
  <c r="X146" i="1"/>
  <c r="Z146" i="1" s="1"/>
  <c r="X148" i="1"/>
  <c r="Z148" i="1" s="1"/>
  <c r="X110" i="1"/>
  <c r="Z110" i="1" s="1"/>
  <c r="I20" i="5" l="1"/>
  <c r="I39" i="5" s="1"/>
  <c r="G39" i="5"/>
  <c r="X71" i="1"/>
  <c r="O222" i="1" l="1"/>
  <c r="Q29" i="4"/>
  <c r="O230" i="1" l="1"/>
  <c r="T222" i="1"/>
  <c r="E92" i="3" s="1"/>
  <c r="Q222" i="1"/>
  <c r="N98" i="1"/>
  <c r="S98" i="1" s="1"/>
  <c r="V98" i="1" s="1"/>
  <c r="N96" i="1"/>
  <c r="S96" i="1" s="1"/>
  <c r="V96" i="1" s="1"/>
  <c r="N94" i="1"/>
  <c r="S94" i="1" s="1"/>
  <c r="V94" i="1" s="1"/>
  <c r="N92" i="1"/>
  <c r="S92" i="1" s="1"/>
  <c r="V92" i="1" s="1"/>
  <c r="N99" i="1"/>
  <c r="S99" i="1" s="1"/>
  <c r="V99" i="1" s="1"/>
  <c r="N97" i="1"/>
  <c r="S97" i="1" s="1"/>
  <c r="V97" i="1" s="1"/>
  <c r="N95" i="1"/>
  <c r="S95" i="1" s="1"/>
  <c r="V95" i="1" s="1"/>
  <c r="N93" i="1"/>
  <c r="S93" i="1" s="1"/>
  <c r="V93" i="1" s="1"/>
  <c r="N169" i="1" l="1"/>
  <c r="O17" i="1"/>
  <c r="E37" i="3" s="1"/>
  <c r="N52" i="1"/>
  <c r="N91" i="1"/>
  <c r="N21" i="4"/>
  <c r="N35" i="4" s="1"/>
  <c r="N130" i="1"/>
  <c r="V222" i="1"/>
  <c r="T230" i="1"/>
  <c r="T17" i="1" s="1"/>
  <c r="H37" i="3" s="1"/>
  <c r="Q38" i="4"/>
  <c r="F215" i="1"/>
  <c r="P215" i="1" s="1"/>
  <c r="C183" i="5" s="1"/>
  <c r="F213" i="1"/>
  <c r="P213" i="1" s="1"/>
  <c r="F211" i="1"/>
  <c r="P211" i="1" s="1"/>
  <c r="F209" i="1"/>
  <c r="P209" i="1" s="1"/>
  <c r="F216" i="1"/>
  <c r="P216" i="1" s="1"/>
  <c r="F214" i="1"/>
  <c r="P214" i="1" s="1"/>
  <c r="F212" i="1"/>
  <c r="P212" i="1" s="1"/>
  <c r="F210" i="1"/>
  <c r="P210" i="1" s="1"/>
  <c r="F208" i="1"/>
  <c r="P208" i="1" s="1"/>
  <c r="F94" i="1"/>
  <c r="P94" i="1" s="1"/>
  <c r="Q94" i="1" s="1"/>
  <c r="X94" i="1" s="1"/>
  <c r="Z94" i="1" s="1"/>
  <c r="F98" i="1"/>
  <c r="P98" i="1" s="1"/>
  <c r="Q98" i="1" s="1"/>
  <c r="X98" i="1" s="1"/>
  <c r="Z98" i="1" s="1"/>
  <c r="F131" i="1"/>
  <c r="P131" i="1" s="1"/>
  <c r="F135" i="1"/>
  <c r="P135" i="1" s="1"/>
  <c r="F172" i="1"/>
  <c r="P172" i="1" s="1"/>
  <c r="F176" i="1"/>
  <c r="P176" i="1" s="1"/>
  <c r="F91" i="1"/>
  <c r="P91" i="1" s="1"/>
  <c r="C57" i="5" s="1"/>
  <c r="F93" i="1"/>
  <c r="P93" i="1" s="1"/>
  <c r="Q93" i="1" s="1"/>
  <c r="X93" i="1" s="1"/>
  <c r="Z93" i="1" s="1"/>
  <c r="F95" i="1"/>
  <c r="P95" i="1" s="1"/>
  <c r="Q95" i="1" s="1"/>
  <c r="X95" i="1" s="1"/>
  <c r="Z95" i="1" s="1"/>
  <c r="F97" i="1"/>
  <c r="P97" i="1" s="1"/>
  <c r="Q97" i="1" s="1"/>
  <c r="X97" i="1" s="1"/>
  <c r="Z97" i="1" s="1"/>
  <c r="F99" i="1"/>
  <c r="P99" i="1" s="1"/>
  <c r="Q99" i="1" s="1"/>
  <c r="X99" i="1" s="1"/>
  <c r="Z99" i="1" s="1"/>
  <c r="F130" i="1"/>
  <c r="P130" i="1" s="1"/>
  <c r="F132" i="1"/>
  <c r="P132" i="1" s="1"/>
  <c r="F134" i="1"/>
  <c r="P134" i="1" s="1"/>
  <c r="C99" i="5" s="1"/>
  <c r="F136" i="1"/>
  <c r="P136" i="1" s="1"/>
  <c r="F138" i="1"/>
  <c r="P138" i="1" s="1"/>
  <c r="F169" i="1"/>
  <c r="P169" i="1" s="1"/>
  <c r="F171" i="1"/>
  <c r="P171" i="1" s="1"/>
  <c r="F173" i="1"/>
  <c r="P173" i="1" s="1"/>
  <c r="C141" i="5" s="1"/>
  <c r="C152" i="5" s="1"/>
  <c r="F175" i="1"/>
  <c r="P175" i="1" s="1"/>
  <c r="F177" i="1"/>
  <c r="P177" i="1" s="1"/>
  <c r="N54" i="1"/>
  <c r="N56" i="1"/>
  <c r="N58" i="1"/>
  <c r="N60" i="1"/>
  <c r="N132" i="1"/>
  <c r="N134" i="1"/>
  <c r="N136" i="1"/>
  <c r="N138" i="1"/>
  <c r="F92" i="1"/>
  <c r="P92" i="1" s="1"/>
  <c r="Q92" i="1" s="1"/>
  <c r="F96" i="1"/>
  <c r="P96" i="1" s="1"/>
  <c r="Q96" i="1" s="1"/>
  <c r="X96" i="1" s="1"/>
  <c r="Z96" i="1" s="1"/>
  <c r="F133" i="1"/>
  <c r="P133" i="1" s="1"/>
  <c r="F137" i="1"/>
  <c r="P137" i="1" s="1"/>
  <c r="F170" i="1"/>
  <c r="P170" i="1" s="1"/>
  <c r="F174" i="1"/>
  <c r="P174" i="1" s="1"/>
  <c r="N53" i="1"/>
  <c r="N55" i="1"/>
  <c r="N57" i="1"/>
  <c r="N59" i="1"/>
  <c r="N171" i="1"/>
  <c r="N173" i="1"/>
  <c r="N175" i="1"/>
  <c r="N177" i="1"/>
  <c r="N131" i="1"/>
  <c r="N133" i="1"/>
  <c r="N135" i="1"/>
  <c r="N137" i="1"/>
  <c r="N170" i="1"/>
  <c r="N172" i="1"/>
  <c r="N174" i="1"/>
  <c r="N176" i="1"/>
  <c r="G152" i="5" l="1"/>
  <c r="C165" i="5"/>
  <c r="X222" i="1"/>
  <c r="Z222" i="1" s="1"/>
  <c r="G92" i="3"/>
  <c r="S176" i="1"/>
  <c r="V176" i="1" s="1"/>
  <c r="Q176" i="1"/>
  <c r="Q174" i="1"/>
  <c r="S174" i="1"/>
  <c r="V174" i="1" s="1"/>
  <c r="S170" i="1"/>
  <c r="V170" i="1" s="1"/>
  <c r="Q170" i="1"/>
  <c r="Z170" i="1" s="1"/>
  <c r="Q135" i="1"/>
  <c r="Z135" i="1" s="1"/>
  <c r="S135" i="1"/>
  <c r="V135" i="1" s="1"/>
  <c r="Q133" i="1"/>
  <c r="S133" i="1"/>
  <c r="V133" i="1" s="1"/>
  <c r="Q175" i="1"/>
  <c r="S175" i="1"/>
  <c r="V175" i="1" s="1"/>
  <c r="Q171" i="1"/>
  <c r="S171" i="1"/>
  <c r="V171" i="1" s="1"/>
  <c r="S59" i="1"/>
  <c r="V59" i="1" s="1"/>
  <c r="Q59" i="1"/>
  <c r="S57" i="1"/>
  <c r="V57" i="1" s="1"/>
  <c r="Q57" i="1"/>
  <c r="S55" i="1"/>
  <c r="V55" i="1" s="1"/>
  <c r="Q55" i="1"/>
  <c r="Q53" i="1"/>
  <c r="S53" i="1"/>
  <c r="V53" i="1" s="1"/>
  <c r="Q138" i="1"/>
  <c r="Z138" i="1" s="1"/>
  <c r="S138" i="1"/>
  <c r="V138" i="1" s="1"/>
  <c r="Q134" i="1"/>
  <c r="S134" i="1"/>
  <c r="V134" i="1" s="1"/>
  <c r="N29" i="4"/>
  <c r="N36" i="4" s="1"/>
  <c r="O105" i="1"/>
  <c r="O183" i="1"/>
  <c r="P29" i="4"/>
  <c r="P36" i="4" s="1"/>
  <c r="O66" i="1"/>
  <c r="M29" i="4"/>
  <c r="M36" i="4" s="1"/>
  <c r="S60" i="1"/>
  <c r="V60" i="1" s="1"/>
  <c r="Q60" i="1"/>
  <c r="S58" i="1"/>
  <c r="V58" i="1" s="1"/>
  <c r="Q58" i="1"/>
  <c r="Z58" i="1" s="1"/>
  <c r="Q56" i="1"/>
  <c r="S56" i="1"/>
  <c r="V56" i="1" s="1"/>
  <c r="Q54" i="1"/>
  <c r="S54" i="1"/>
  <c r="V54" i="1" s="1"/>
  <c r="C120" i="5"/>
  <c r="G120" i="5" s="1"/>
  <c r="I120" i="5" s="1"/>
  <c r="C114" i="5"/>
  <c r="C108" i="5"/>
  <c r="G108" i="5" s="1"/>
  <c r="I108" i="5" s="1"/>
  <c r="C118" i="5"/>
  <c r="G118" i="5" s="1"/>
  <c r="I118" i="5" s="1"/>
  <c r="C113" i="5"/>
  <c r="C100" i="5"/>
  <c r="G100" i="5" s="1"/>
  <c r="I100" i="5" s="1"/>
  <c r="C104" i="5"/>
  <c r="G104" i="5" s="1"/>
  <c r="I104" i="5" s="1"/>
  <c r="C112" i="5"/>
  <c r="G112" i="5" s="1"/>
  <c r="I112" i="5" s="1"/>
  <c r="C111" i="5"/>
  <c r="G111" i="5" s="1"/>
  <c r="I111" i="5" s="1"/>
  <c r="C107" i="5"/>
  <c r="G107" i="5" s="1"/>
  <c r="I107" i="5" s="1"/>
  <c r="C115" i="5"/>
  <c r="G115" i="5" s="1"/>
  <c r="I115" i="5" s="1"/>
  <c r="C101" i="5"/>
  <c r="G101" i="5" s="1"/>
  <c r="I101" i="5" s="1"/>
  <c r="C117" i="5"/>
  <c r="G117" i="5" s="1"/>
  <c r="I117" i="5" s="1"/>
  <c r="C109" i="5"/>
  <c r="G109" i="5" s="1"/>
  <c r="I109" i="5" s="1"/>
  <c r="C106" i="5"/>
  <c r="G106" i="5" s="1"/>
  <c r="I106" i="5" s="1"/>
  <c r="C110" i="5"/>
  <c r="G110" i="5" s="1"/>
  <c r="I110" i="5" s="1"/>
  <c r="C103" i="5"/>
  <c r="G103" i="5" s="1"/>
  <c r="I103" i="5" s="1"/>
  <c r="C116" i="5"/>
  <c r="G116" i="5" s="1"/>
  <c r="I116" i="5" s="1"/>
  <c r="C105" i="5"/>
  <c r="G105" i="5" s="1"/>
  <c r="I105" i="5" s="1"/>
  <c r="G99" i="5"/>
  <c r="I99" i="5" s="1"/>
  <c r="C119" i="5"/>
  <c r="G119" i="5" s="1"/>
  <c r="I119" i="5" s="1"/>
  <c r="C102" i="5"/>
  <c r="G102" i="5" s="1"/>
  <c r="I102" i="5" s="1"/>
  <c r="C72" i="5"/>
  <c r="C78" i="5"/>
  <c r="G78" i="5" s="1"/>
  <c r="I78" i="5" s="1"/>
  <c r="C63" i="5"/>
  <c r="G63" i="5" s="1"/>
  <c r="I63" i="5" s="1"/>
  <c r="C73" i="5"/>
  <c r="G73" i="5" s="1"/>
  <c r="I73" i="5" s="1"/>
  <c r="C64" i="5"/>
  <c r="G64" i="5" s="1"/>
  <c r="I64" i="5" s="1"/>
  <c r="C77" i="5"/>
  <c r="G77" i="5" s="1"/>
  <c r="I77" i="5" s="1"/>
  <c r="C68" i="5"/>
  <c r="G68" i="5" s="1"/>
  <c r="I68" i="5" s="1"/>
  <c r="C76" i="5"/>
  <c r="G76" i="5" s="1"/>
  <c r="I76" i="5" s="1"/>
  <c r="C75" i="5"/>
  <c r="G75" i="5" s="1"/>
  <c r="I75" i="5" s="1"/>
  <c r="C71" i="5"/>
  <c r="G71" i="5" s="1"/>
  <c r="I71" i="5" s="1"/>
  <c r="C58" i="5"/>
  <c r="G58" i="5" s="1"/>
  <c r="I58" i="5" s="1"/>
  <c r="C61" i="5"/>
  <c r="G61" i="5" s="1"/>
  <c r="I61" i="5" s="1"/>
  <c r="C69" i="5"/>
  <c r="G69" i="5" s="1"/>
  <c r="I69" i="5" s="1"/>
  <c r="C65" i="5"/>
  <c r="G65" i="5" s="1"/>
  <c r="I65" i="5" s="1"/>
  <c r="C66" i="5"/>
  <c r="G66" i="5" s="1"/>
  <c r="I66" i="5" s="1"/>
  <c r="C74" i="5"/>
  <c r="C67" i="5"/>
  <c r="G67" i="5" s="1"/>
  <c r="I67" i="5" s="1"/>
  <c r="C59" i="5"/>
  <c r="G59" i="5" s="1"/>
  <c r="I59" i="5" s="1"/>
  <c r="C60" i="5"/>
  <c r="G60" i="5" s="1"/>
  <c r="I60" i="5" s="1"/>
  <c r="C70" i="5"/>
  <c r="G70" i="5" s="1"/>
  <c r="I70" i="5" s="1"/>
  <c r="C62" i="5"/>
  <c r="G62" i="5" s="1"/>
  <c r="I62" i="5" s="1"/>
  <c r="G57" i="5"/>
  <c r="I57" i="5" s="1"/>
  <c r="C199" i="5"/>
  <c r="G199" i="5" s="1"/>
  <c r="I199" i="5" s="1"/>
  <c r="C189" i="5"/>
  <c r="G189" i="5" s="1"/>
  <c r="I189" i="5" s="1"/>
  <c r="C196" i="5"/>
  <c r="G196" i="5" s="1"/>
  <c r="I196" i="5" s="1"/>
  <c r="C198" i="5"/>
  <c r="G198" i="5" s="1"/>
  <c r="I198" i="5" s="1"/>
  <c r="C202" i="5"/>
  <c r="G202" i="5" s="1"/>
  <c r="I202" i="5" s="1"/>
  <c r="C187" i="5"/>
  <c r="G187" i="5" s="1"/>
  <c r="I187" i="5" s="1"/>
  <c r="C193" i="5"/>
  <c r="G193" i="5" s="1"/>
  <c r="I193" i="5" s="1"/>
  <c r="C186" i="5"/>
  <c r="G186" i="5" s="1"/>
  <c r="I186" i="5" s="1"/>
  <c r="G183" i="5"/>
  <c r="I183" i="5" s="1"/>
  <c r="C204" i="5"/>
  <c r="G204" i="5" s="1"/>
  <c r="I204" i="5" s="1"/>
  <c r="C190" i="5"/>
  <c r="G190" i="5" s="1"/>
  <c r="I190" i="5" s="1"/>
  <c r="C201" i="5"/>
  <c r="G201" i="5" s="1"/>
  <c r="I201" i="5" s="1"/>
  <c r="C194" i="5"/>
  <c r="G194" i="5" s="1"/>
  <c r="I194" i="5" s="1"/>
  <c r="C200" i="5"/>
  <c r="G200" i="5" s="1"/>
  <c r="I200" i="5" s="1"/>
  <c r="C195" i="5"/>
  <c r="C192" i="5"/>
  <c r="G192" i="5" s="1"/>
  <c r="I192" i="5" s="1"/>
  <c r="C197" i="5"/>
  <c r="C203" i="5"/>
  <c r="G203" i="5" s="1"/>
  <c r="I203" i="5" s="1"/>
  <c r="C185" i="5"/>
  <c r="G185" i="5" s="1"/>
  <c r="I185" i="5" s="1"/>
  <c r="C191" i="5"/>
  <c r="G191" i="5" s="1"/>
  <c r="I191" i="5" s="1"/>
  <c r="C188" i="5"/>
  <c r="G188" i="5" s="1"/>
  <c r="I188" i="5" s="1"/>
  <c r="C184" i="5"/>
  <c r="G184" i="5" s="1"/>
  <c r="I184" i="5" s="1"/>
  <c r="Q130" i="1"/>
  <c r="S130" i="1"/>
  <c r="V130" i="1" s="1"/>
  <c r="S91" i="1"/>
  <c r="V91" i="1" s="1"/>
  <c r="C86" i="3" s="1"/>
  <c r="Q91" i="1"/>
  <c r="S52" i="1"/>
  <c r="V52" i="1" s="1"/>
  <c r="Q52" i="1"/>
  <c r="Q169" i="1"/>
  <c r="S169" i="1"/>
  <c r="V169" i="1" s="1"/>
  <c r="X92" i="1"/>
  <c r="Z92" i="1" s="1"/>
  <c r="Q172" i="1"/>
  <c r="S172" i="1"/>
  <c r="V172" i="1" s="1"/>
  <c r="O144" i="1"/>
  <c r="O29" i="4"/>
  <c r="O36" i="4" s="1"/>
  <c r="S137" i="1"/>
  <c r="V137" i="1" s="1"/>
  <c r="Q137" i="1"/>
  <c r="Q131" i="1"/>
  <c r="S131" i="1"/>
  <c r="V131" i="1" s="1"/>
  <c r="S177" i="1"/>
  <c r="V177" i="1" s="1"/>
  <c r="Q177" i="1"/>
  <c r="Q173" i="1"/>
  <c r="S173" i="1"/>
  <c r="V173" i="1" s="1"/>
  <c r="S136" i="1"/>
  <c r="V136" i="1" s="1"/>
  <c r="Q136" i="1"/>
  <c r="S132" i="1"/>
  <c r="V132" i="1" s="1"/>
  <c r="Q132" i="1"/>
  <c r="C159" i="5"/>
  <c r="G159" i="5" s="1"/>
  <c r="I159" i="5" s="1"/>
  <c r="C155" i="5"/>
  <c r="G155" i="5" s="1"/>
  <c r="I155" i="5" s="1"/>
  <c r="C151" i="5"/>
  <c r="G151" i="5" s="1"/>
  <c r="I151" i="5" s="1"/>
  <c r="C153" i="5"/>
  <c r="C156" i="5"/>
  <c r="G156" i="5" s="1"/>
  <c r="I156" i="5" s="1"/>
  <c r="C161" i="5"/>
  <c r="G161" i="5" s="1"/>
  <c r="I161" i="5" s="1"/>
  <c r="G141" i="5"/>
  <c r="I141" i="5" s="1"/>
  <c r="C145" i="5"/>
  <c r="G145" i="5" s="1"/>
  <c r="I145" i="5" s="1"/>
  <c r="C147" i="5"/>
  <c r="G147" i="5" s="1"/>
  <c r="I147" i="5" s="1"/>
  <c r="C158" i="5"/>
  <c r="G158" i="5" s="1"/>
  <c r="I158" i="5" s="1"/>
  <c r="C162" i="5"/>
  <c r="G162" i="5" s="1"/>
  <c r="I162" i="5" s="1"/>
  <c r="C154" i="5"/>
  <c r="G154" i="5" s="1"/>
  <c r="I154" i="5" s="1"/>
  <c r="C142" i="5"/>
  <c r="G142" i="5" s="1"/>
  <c r="I142" i="5" s="1"/>
  <c r="C148" i="5"/>
  <c r="G148" i="5" s="1"/>
  <c r="I148" i="5" s="1"/>
  <c r="C146" i="5"/>
  <c r="G146" i="5" s="1"/>
  <c r="I146" i="5" s="1"/>
  <c r="C144" i="5"/>
  <c r="G144" i="5" s="1"/>
  <c r="I144" i="5" s="1"/>
  <c r="C149" i="5"/>
  <c r="G149" i="5" s="1"/>
  <c r="I149" i="5" s="1"/>
  <c r="C160" i="5"/>
  <c r="G160" i="5" s="1"/>
  <c r="I160" i="5" s="1"/>
  <c r="C143" i="5"/>
  <c r="G143" i="5" s="1"/>
  <c r="I143" i="5" s="1"/>
  <c r="C157" i="5"/>
  <c r="G157" i="5" s="1"/>
  <c r="I157" i="5" s="1"/>
  <c r="C150" i="5"/>
  <c r="G150" i="5" s="1"/>
  <c r="I150" i="5" s="1"/>
  <c r="X37" i="4"/>
  <c r="N37" i="4"/>
  <c r="O21" i="4"/>
  <c r="O35" i="4" s="1"/>
  <c r="M21" i="4"/>
  <c r="M35" i="4" s="1"/>
  <c r="P21" i="4"/>
  <c r="P35" i="4" s="1"/>
  <c r="G113" i="5" l="1"/>
  <c r="C123" i="5"/>
  <c r="I152" i="5"/>
  <c r="I165" i="5" s="1"/>
  <c r="G165" i="5"/>
  <c r="G195" i="5"/>
  <c r="C207" i="5"/>
  <c r="G72" i="5"/>
  <c r="C81" i="5"/>
  <c r="C84" i="3"/>
  <c r="C88" i="3"/>
  <c r="C90" i="3"/>
  <c r="X132" i="1"/>
  <c r="Z132" i="1" s="1"/>
  <c r="X136" i="1"/>
  <c r="Z136" i="1" s="1"/>
  <c r="X177" i="1"/>
  <c r="Z177" i="1" s="1"/>
  <c r="X137" i="1"/>
  <c r="Z137" i="1" s="1"/>
  <c r="X54" i="1"/>
  <c r="Z54" i="1" s="1"/>
  <c r="X56" i="1"/>
  <c r="Z56" i="1" s="1"/>
  <c r="X134" i="1"/>
  <c r="Z134" i="1" s="1"/>
  <c r="X138" i="1"/>
  <c r="X53" i="1"/>
  <c r="Z53" i="1" s="1"/>
  <c r="X171" i="1"/>
  <c r="Z171" i="1" s="1"/>
  <c r="X175" i="1"/>
  <c r="Z175" i="1" s="1"/>
  <c r="X133" i="1"/>
  <c r="Z133" i="1" s="1"/>
  <c r="X135" i="1"/>
  <c r="X174" i="1"/>
  <c r="Z174" i="1" s="1"/>
  <c r="M37" i="4"/>
  <c r="W37" i="4"/>
  <c r="Y37" i="4"/>
  <c r="O37" i="4"/>
  <c r="T144" i="1"/>
  <c r="E88" i="3" s="1"/>
  <c r="O152" i="1"/>
  <c r="O15" i="1" s="1"/>
  <c r="E35" i="3" s="1"/>
  <c r="Q144" i="1"/>
  <c r="Q152" i="1" s="1"/>
  <c r="Q15" i="1" s="1"/>
  <c r="X169" i="1"/>
  <c r="Z169" i="1" s="1"/>
  <c r="X130" i="1"/>
  <c r="G74" i="5"/>
  <c r="G114" i="5"/>
  <c r="S29" i="4"/>
  <c r="Q105" i="1"/>
  <c r="O113" i="1"/>
  <c r="O14" i="1" s="1"/>
  <c r="E34" i="3" s="1"/>
  <c r="T105" i="1"/>
  <c r="E86" i="3" s="1"/>
  <c r="P37" i="4"/>
  <c r="Z37" i="4"/>
  <c r="G153" i="5"/>
  <c r="X52" i="1"/>
  <c r="X91" i="1"/>
  <c r="G197" i="5"/>
  <c r="Q66" i="1"/>
  <c r="Q74" i="1" s="1"/>
  <c r="Q13" i="1" s="1"/>
  <c r="O74" i="1"/>
  <c r="O13" i="1" s="1"/>
  <c r="T66" i="1"/>
  <c r="E84" i="3" s="1"/>
  <c r="O191" i="1"/>
  <c r="O16" i="1" s="1"/>
  <c r="E36" i="3" s="1"/>
  <c r="T183" i="1"/>
  <c r="E90" i="3" s="1"/>
  <c r="Q183" i="1"/>
  <c r="X173" i="1"/>
  <c r="Z173" i="1" s="1"/>
  <c r="X131" i="1"/>
  <c r="Z131" i="1" s="1"/>
  <c r="X172" i="1"/>
  <c r="Z172" i="1" s="1"/>
  <c r="X58" i="1"/>
  <c r="X60" i="1"/>
  <c r="Z60" i="1" s="1"/>
  <c r="X55" i="1"/>
  <c r="Z55" i="1" s="1"/>
  <c r="X57" i="1"/>
  <c r="Z57" i="1" s="1"/>
  <c r="X59" i="1"/>
  <c r="Z59" i="1" s="1"/>
  <c r="X170" i="1"/>
  <c r="X176" i="1"/>
  <c r="Z176" i="1" s="1"/>
  <c r="I72" i="5" l="1"/>
  <c r="I81" i="5" s="1"/>
  <c r="G81" i="5"/>
  <c r="I195" i="5"/>
  <c r="I207" i="5" s="1"/>
  <c r="G207" i="5"/>
  <c r="I113" i="5"/>
  <c r="I123" i="5" s="1"/>
  <c r="G123" i="5"/>
  <c r="F35" i="3"/>
  <c r="N38" i="4"/>
  <c r="O38" i="4"/>
  <c r="F33" i="3"/>
  <c r="Q191" i="1"/>
  <c r="Q16" i="1" s="1"/>
  <c r="O22" i="1"/>
  <c r="E33" i="3"/>
  <c r="E42" i="3" s="1"/>
  <c r="I197" i="5"/>
  <c r="I153" i="5"/>
  <c r="V105" i="1"/>
  <c r="G86" i="3" s="1"/>
  <c r="T113" i="1"/>
  <c r="T14" i="1" s="1"/>
  <c r="H34" i="3" s="1"/>
  <c r="Q113" i="1"/>
  <c r="Q14" i="1" s="1"/>
  <c r="I74" i="5"/>
  <c r="T191" i="1"/>
  <c r="T16" i="1" s="1"/>
  <c r="H36" i="3" s="1"/>
  <c r="V183" i="1"/>
  <c r="G90" i="3" s="1"/>
  <c r="V66" i="1"/>
  <c r="G84" i="3" s="1"/>
  <c r="T74" i="1"/>
  <c r="T13" i="1" s="1"/>
  <c r="Z91" i="1"/>
  <c r="Z52" i="1"/>
  <c r="I114" i="5"/>
  <c r="V144" i="1"/>
  <c r="G88" i="3" s="1"/>
  <c r="T152" i="1"/>
  <c r="T15" i="1" s="1"/>
  <c r="H35" i="3" s="1"/>
  <c r="M38" i="4"/>
  <c r="Z130" i="1"/>
  <c r="P38" i="4"/>
  <c r="F34" i="3" l="1"/>
  <c r="F36" i="3"/>
  <c r="X144" i="1"/>
  <c r="V152" i="1"/>
  <c r="V15" i="1" s="1"/>
  <c r="X66" i="1"/>
  <c r="V74" i="1"/>
  <c r="V13" i="1" s="1"/>
  <c r="I33" i="3" s="1"/>
  <c r="T22" i="1"/>
  <c r="E43" i="3" s="1"/>
  <c r="H33" i="3"/>
  <c r="X183" i="1"/>
  <c r="V191" i="1"/>
  <c r="V16" i="1" s="1"/>
  <c r="X105" i="1"/>
  <c r="V113" i="1"/>
  <c r="V14" i="1" s="1"/>
  <c r="H42" i="3" l="1"/>
  <c r="H43" i="3" s="1"/>
  <c r="X113" i="1"/>
  <c r="Z113" i="1" s="1"/>
  <c r="Z105" i="1"/>
  <c r="Z183" i="1"/>
  <c r="X191" i="1"/>
  <c r="Z191" i="1" s="1"/>
  <c r="X74" i="1"/>
  <c r="Z74" i="1" s="1"/>
  <c r="Z66" i="1"/>
  <c r="X152" i="1"/>
  <c r="Z152" i="1" s="1"/>
  <c r="Z144" i="1"/>
  <c r="X14" i="1"/>
  <c r="Z14" i="1" s="1"/>
  <c r="I34" i="3"/>
  <c r="X16" i="1"/>
  <c r="Z16" i="1" s="1"/>
  <c r="I36" i="3"/>
  <c r="X13" i="1"/>
  <c r="Z13" i="1" s="1"/>
  <c r="X15" i="1"/>
  <c r="Z15" i="1" s="1"/>
  <c r="I35" i="3"/>
  <c r="O248" i="1" l="1"/>
  <c r="O251" i="1"/>
  <c r="O247" i="1"/>
  <c r="O254" i="1"/>
  <c r="O250" i="1"/>
  <c r="O249" i="1"/>
  <c r="O252" i="1"/>
  <c r="O253" i="1"/>
  <c r="Q253" i="1" l="1"/>
  <c r="T253" i="1"/>
  <c r="V253" i="1" s="1"/>
  <c r="T252" i="1"/>
  <c r="V252" i="1" s="1"/>
  <c r="Q252" i="1"/>
  <c r="T249" i="1"/>
  <c r="V249" i="1" s="1"/>
  <c r="Q249" i="1"/>
  <c r="T250" i="1"/>
  <c r="V250" i="1" s="1"/>
  <c r="Q250" i="1"/>
  <c r="T254" i="1"/>
  <c r="V254" i="1" s="1"/>
  <c r="Q254" i="1"/>
  <c r="Q247" i="1"/>
  <c r="T247" i="1"/>
  <c r="V247" i="1" s="1"/>
  <c r="Q251" i="1"/>
  <c r="T251" i="1"/>
  <c r="V251" i="1" s="1"/>
  <c r="O246" i="1"/>
  <c r="Q248" i="1"/>
  <c r="T248" i="1"/>
  <c r="V248" i="1" s="1"/>
  <c r="X254" i="1" l="1"/>
  <c r="Z254" i="1" s="1"/>
  <c r="X250" i="1"/>
  <c r="Z250" i="1" s="1"/>
  <c r="X249" i="1"/>
  <c r="Z249" i="1" s="1"/>
  <c r="T246" i="1"/>
  <c r="Q246" i="1"/>
  <c r="O258" i="1"/>
  <c r="X252" i="1"/>
  <c r="Z252" i="1" s="1"/>
  <c r="X248" i="1"/>
  <c r="Z248" i="1" s="1"/>
  <c r="X251" i="1"/>
  <c r="Z251" i="1" s="1"/>
  <c r="X247" i="1"/>
  <c r="Z247" i="1" s="1"/>
  <c r="X253" i="1"/>
  <c r="Z253" i="1" s="1"/>
  <c r="T258" i="1" l="1"/>
  <c r="Q258" i="1"/>
  <c r="Q18" i="1" s="1"/>
  <c r="F38" i="3" l="1"/>
  <c r="N213" i="1" l="1"/>
  <c r="N215" i="1"/>
  <c r="N212" i="1"/>
  <c r="N209" i="1"/>
  <c r="N216" i="1"/>
  <c r="N214" i="1"/>
  <c r="N211" i="1"/>
  <c r="N210" i="1"/>
  <c r="Q210" i="1" l="1"/>
  <c r="S210" i="1"/>
  <c r="V210" i="1" s="1"/>
  <c r="S211" i="1"/>
  <c r="V211" i="1" s="1"/>
  <c r="Q211" i="1"/>
  <c r="S214" i="1"/>
  <c r="V214" i="1" s="1"/>
  <c r="Q214" i="1"/>
  <c r="S216" i="1"/>
  <c r="V216" i="1" s="1"/>
  <c r="Q216" i="1"/>
  <c r="Z216" i="1" s="1"/>
  <c r="Q209" i="1"/>
  <c r="Z209" i="1" s="1"/>
  <c r="S209" i="1"/>
  <c r="V209" i="1" s="1"/>
  <c r="S212" i="1"/>
  <c r="V212" i="1" s="1"/>
  <c r="Q212" i="1"/>
  <c r="S215" i="1"/>
  <c r="V215" i="1" s="1"/>
  <c r="Q215" i="1"/>
  <c r="S213" i="1"/>
  <c r="V213" i="1" s="1"/>
  <c r="Q213" i="1"/>
  <c r="X209" i="1" l="1"/>
  <c r="X210" i="1"/>
  <c r="Z210" i="1" s="1"/>
  <c r="X213" i="1"/>
  <c r="Z213" i="1" s="1"/>
  <c r="X215" i="1"/>
  <c r="Z215" i="1" s="1"/>
  <c r="X212" i="1"/>
  <c r="Z212" i="1" s="1"/>
  <c r="X216" i="1"/>
  <c r="X214" i="1"/>
  <c r="Z214" i="1" s="1"/>
  <c r="X211" i="1"/>
  <c r="Z211" i="1" s="1"/>
  <c r="Q21" i="4"/>
  <c r="N208" i="1"/>
  <c r="Q37" i="4" l="1"/>
  <c r="AA37" i="4"/>
  <c r="Q208" i="1"/>
  <c r="S208" i="1"/>
  <c r="V208" i="1" s="1"/>
  <c r="C92" i="3" s="1"/>
  <c r="Q230" i="1" l="1"/>
  <c r="Q17" i="1" s="1"/>
  <c r="Z208" i="1"/>
  <c r="V230" i="1"/>
  <c r="V17" i="1" s="1"/>
  <c r="X208" i="1"/>
  <c r="X230" i="1" s="1"/>
  <c r="O262" i="1" l="1"/>
  <c r="T262" i="1"/>
  <c r="S21" i="4"/>
  <c r="S35" i="4" s="1"/>
  <c r="I37" i="3"/>
  <c r="Z230" i="1"/>
  <c r="X17" i="1" l="1"/>
  <c r="Z17" i="1" s="1"/>
  <c r="AC37" i="4"/>
  <c r="O264" i="1"/>
  <c r="Q262" i="1"/>
  <c r="Q264" i="1" s="1"/>
  <c r="F37" i="3"/>
  <c r="T264" i="1"/>
  <c r="V262" i="1"/>
  <c r="C96" i="3" s="1"/>
  <c r="Q268" i="1" l="1"/>
  <c r="Q19" i="1"/>
  <c r="V264" i="1"/>
  <c r="X262" i="1"/>
  <c r="Z262" i="1" s="1"/>
  <c r="V19" i="1" l="1"/>
  <c r="F39" i="3"/>
  <c r="Q22" i="1"/>
  <c r="X264" i="1"/>
  <c r="F42" i="3" l="1"/>
  <c r="Z264" i="1"/>
  <c r="X19" i="1"/>
  <c r="Z19" i="1" s="1"/>
  <c r="I39" i="3"/>
  <c r="Q38" i="1"/>
  <c r="G11" i="3"/>
  <c r="G20" i="3" s="1"/>
  <c r="F43" i="3" l="1"/>
  <c r="C130" i="4"/>
  <c r="C11" i="3"/>
  <c r="C20" i="3" s="1"/>
  <c r="C23" i="3" l="1"/>
  <c r="V21" i="1"/>
  <c r="I41" i="3" l="1"/>
  <c r="X21" i="1"/>
  <c r="Z21" i="1" s="1"/>
  <c r="D295" i="1" l="1"/>
  <c r="D293" i="1"/>
  <c r="D291" i="1"/>
  <c r="D289" i="1"/>
  <c r="D294" i="1"/>
  <c r="D292" i="1"/>
  <c r="D290" i="1"/>
  <c r="D288" i="1"/>
  <c r="G294" i="1" l="1"/>
  <c r="I294" i="1"/>
  <c r="L294" i="1" s="1"/>
  <c r="I289" i="1"/>
  <c r="L289" i="1" s="1"/>
  <c r="G289" i="1"/>
  <c r="G290" i="1"/>
  <c r="I290" i="1"/>
  <c r="L290" i="1" s="1"/>
  <c r="I288" i="1"/>
  <c r="L288" i="1" s="1"/>
  <c r="G288" i="1"/>
  <c r="G292" i="1"/>
  <c r="I292" i="1"/>
  <c r="L292" i="1" s="1"/>
  <c r="G293" i="1"/>
  <c r="I293" i="1"/>
  <c r="L293" i="1" s="1"/>
  <c r="G295" i="1"/>
  <c r="I295" i="1"/>
  <c r="L295" i="1" s="1"/>
  <c r="I291" i="1"/>
  <c r="L291" i="1" s="1"/>
  <c r="G291" i="1"/>
  <c r="H21" i="4"/>
  <c r="D287" i="1"/>
  <c r="I287" i="1" l="1"/>
  <c r="L287" i="1" s="1"/>
  <c r="G287" i="1"/>
  <c r="H29" i="4" l="1"/>
  <c r="E301" i="1"/>
  <c r="E307" i="1" l="1"/>
  <c r="J307" i="1" s="1"/>
  <c r="J301" i="1"/>
  <c r="G301" i="1"/>
  <c r="G309" i="1" s="1"/>
  <c r="G20" i="1" s="1"/>
  <c r="E111" i="1"/>
  <c r="J111" i="1" s="1"/>
  <c r="E309" i="1" l="1"/>
  <c r="E20" i="1" s="1"/>
  <c r="B40" i="3" s="1"/>
  <c r="L301" i="1"/>
  <c r="J309" i="1"/>
  <c r="J20" i="1" s="1"/>
  <c r="E150" i="1"/>
  <c r="J150" i="1" s="1"/>
  <c r="Y38" i="4"/>
  <c r="E189" i="1"/>
  <c r="J189" i="1" s="1"/>
  <c r="Z38" i="4"/>
  <c r="E72" i="1"/>
  <c r="J72" i="1" s="1"/>
  <c r="L307" i="1" l="1"/>
  <c r="L309" i="1" s="1"/>
  <c r="L20" i="1" s="1"/>
  <c r="C40" i="3" l="1"/>
  <c r="F55" i="3" s="1"/>
  <c r="E228" i="1" l="1"/>
  <c r="J228" i="1" s="1"/>
  <c r="AA38" i="4"/>
  <c r="J32" i="4"/>
  <c r="D99" i="1" l="1"/>
  <c r="D97" i="1"/>
  <c r="D95" i="1"/>
  <c r="D93" i="1"/>
  <c r="D98" i="1"/>
  <c r="D96" i="1"/>
  <c r="D94" i="1"/>
  <c r="I99" i="1" l="1"/>
  <c r="L99" i="1" s="1"/>
  <c r="G99" i="1"/>
  <c r="I95" i="1"/>
  <c r="L95" i="1" s="1"/>
  <c r="G95" i="1"/>
  <c r="I94" i="1"/>
  <c r="L94" i="1" s="1"/>
  <c r="G94" i="1"/>
  <c r="I98" i="1"/>
  <c r="L98" i="1" s="1"/>
  <c r="G98" i="1"/>
  <c r="D169" i="1"/>
  <c r="D130" i="1"/>
  <c r="I96" i="1"/>
  <c r="L96" i="1" s="1"/>
  <c r="G96" i="1"/>
  <c r="I93" i="1"/>
  <c r="L93" i="1" s="1"/>
  <c r="G93" i="1"/>
  <c r="I97" i="1"/>
  <c r="L97" i="1" s="1"/>
  <c r="G97" i="1"/>
  <c r="D91" i="1"/>
  <c r="D170" i="1"/>
  <c r="D172" i="1"/>
  <c r="D174" i="1"/>
  <c r="D176" i="1"/>
  <c r="D132" i="1"/>
  <c r="D134" i="1"/>
  <c r="D136" i="1"/>
  <c r="D138" i="1"/>
  <c r="D171" i="1"/>
  <c r="D173" i="1"/>
  <c r="D175" i="1"/>
  <c r="D177" i="1"/>
  <c r="D92" i="1"/>
  <c r="D131" i="1"/>
  <c r="D133" i="1"/>
  <c r="D135" i="1"/>
  <c r="D137" i="1"/>
  <c r="D52" i="1" l="1"/>
  <c r="I135" i="1"/>
  <c r="L135" i="1" s="1"/>
  <c r="G135" i="1"/>
  <c r="I131" i="1"/>
  <c r="L131" i="1" s="1"/>
  <c r="G131" i="1"/>
  <c r="G92" i="1"/>
  <c r="I92" i="1"/>
  <c r="L92" i="1" s="1"/>
  <c r="E29" i="4"/>
  <c r="E36" i="4" s="1"/>
  <c r="E144" i="1"/>
  <c r="G173" i="1"/>
  <c r="I173" i="1"/>
  <c r="L173" i="1" s="1"/>
  <c r="G134" i="1"/>
  <c r="I134" i="1"/>
  <c r="L134" i="1" s="1"/>
  <c r="G172" i="1"/>
  <c r="I172" i="1"/>
  <c r="L172" i="1" s="1"/>
  <c r="D21" i="4"/>
  <c r="D35" i="4" s="1"/>
  <c r="E21" i="4"/>
  <c r="E35" i="4" s="1"/>
  <c r="I138" i="1"/>
  <c r="L138" i="1" s="1"/>
  <c r="G138" i="1"/>
  <c r="G29" i="4"/>
  <c r="G36" i="4" s="1"/>
  <c r="E222" i="1"/>
  <c r="G137" i="1"/>
  <c r="I137" i="1"/>
  <c r="L137" i="1" s="1"/>
  <c r="I171" i="1"/>
  <c r="L171" i="1" s="1"/>
  <c r="G171" i="1"/>
  <c r="G132" i="1"/>
  <c r="I132" i="1"/>
  <c r="L132" i="1" s="1"/>
  <c r="I170" i="1"/>
  <c r="L170" i="1" s="1"/>
  <c r="G170" i="1"/>
  <c r="I91" i="1"/>
  <c r="L91" i="1" s="1"/>
  <c r="G91" i="1"/>
  <c r="G130" i="1"/>
  <c r="I130" i="1"/>
  <c r="L130" i="1" s="1"/>
  <c r="I176" i="1"/>
  <c r="L176" i="1" s="1"/>
  <c r="G176" i="1"/>
  <c r="F21" i="4"/>
  <c r="F35" i="4" s="1"/>
  <c r="I177" i="1"/>
  <c r="L177" i="1" s="1"/>
  <c r="G177" i="1"/>
  <c r="E105" i="1"/>
  <c r="D29" i="4"/>
  <c r="D36" i="4" s="1"/>
  <c r="G133" i="1"/>
  <c r="I133" i="1"/>
  <c r="L133" i="1" s="1"/>
  <c r="I175" i="1"/>
  <c r="L175" i="1" s="1"/>
  <c r="G175" i="1"/>
  <c r="I136" i="1"/>
  <c r="L136" i="1" s="1"/>
  <c r="G136" i="1"/>
  <c r="I174" i="1"/>
  <c r="L174" i="1" s="1"/>
  <c r="G174" i="1"/>
  <c r="G169" i="1"/>
  <c r="I169" i="1"/>
  <c r="L169" i="1" s="1"/>
  <c r="D55" i="1"/>
  <c r="D60" i="1"/>
  <c r="D54" i="1"/>
  <c r="D58" i="1"/>
  <c r="D53" i="1"/>
  <c r="D57" i="1"/>
  <c r="D56" i="1"/>
  <c r="D59" i="1"/>
  <c r="I58" i="1" l="1"/>
  <c r="L58" i="1" s="1"/>
  <c r="G58" i="1"/>
  <c r="I60" i="1"/>
  <c r="L60" i="1" s="1"/>
  <c r="G60" i="1"/>
  <c r="E66" i="1"/>
  <c r="C29" i="4"/>
  <c r="C36" i="4" s="1"/>
  <c r="J105" i="1"/>
  <c r="E113" i="1"/>
  <c r="E14" i="1" s="1"/>
  <c r="B34" i="3" s="1"/>
  <c r="G105" i="1"/>
  <c r="G53" i="1"/>
  <c r="I53" i="1"/>
  <c r="L53" i="1" s="1"/>
  <c r="G54" i="1"/>
  <c r="I54" i="1"/>
  <c r="L54" i="1" s="1"/>
  <c r="G55" i="1"/>
  <c r="I55" i="1"/>
  <c r="L55" i="1" s="1"/>
  <c r="E230" i="1"/>
  <c r="E17" i="1" s="1"/>
  <c r="B37" i="3" s="1"/>
  <c r="G222" i="1"/>
  <c r="J222" i="1"/>
  <c r="E37" i="4"/>
  <c r="J144" i="1"/>
  <c r="G144" i="1"/>
  <c r="E152" i="1"/>
  <c r="E15" i="1" s="1"/>
  <c r="B35" i="3" s="1"/>
  <c r="C21" i="4"/>
  <c r="C35" i="4" s="1"/>
  <c r="G56" i="1"/>
  <c r="I56" i="1"/>
  <c r="L56" i="1" s="1"/>
  <c r="I59" i="1"/>
  <c r="L59" i="1" s="1"/>
  <c r="G59" i="1"/>
  <c r="I57" i="1"/>
  <c r="L57" i="1" s="1"/>
  <c r="G57" i="1"/>
  <c r="F37" i="4"/>
  <c r="D37" i="4"/>
  <c r="G52" i="1"/>
  <c r="I52" i="1"/>
  <c r="L52" i="1" s="1"/>
  <c r="D38" i="4" l="1"/>
  <c r="E38" i="4"/>
  <c r="L222" i="1"/>
  <c r="J230" i="1"/>
  <c r="J17" i="1" s="1"/>
  <c r="L105" i="1"/>
  <c r="J113" i="1"/>
  <c r="J14" i="1" s="1"/>
  <c r="G38" i="4"/>
  <c r="J152" i="1"/>
  <c r="J15" i="1" s="1"/>
  <c r="L144" i="1"/>
  <c r="C37" i="4"/>
  <c r="J66" i="1"/>
  <c r="E74" i="1"/>
  <c r="E13" i="1" s="1"/>
  <c r="G66" i="1"/>
  <c r="J74" i="1" l="1"/>
  <c r="J13" i="1" s="1"/>
  <c r="L66" i="1"/>
  <c r="C38" i="4"/>
  <c r="B33" i="3"/>
  <c r="F29" i="4" l="1"/>
  <c r="E183" i="1"/>
  <c r="I29" i="4" l="1"/>
  <c r="F36" i="4"/>
  <c r="E191" i="1"/>
  <c r="E16" i="1" s="1"/>
  <c r="G183" i="1"/>
  <c r="J183" i="1"/>
  <c r="F38" i="4" l="1"/>
  <c r="B36" i="3"/>
  <c r="B42" i="3" s="1"/>
  <c r="E22" i="1"/>
  <c r="J191" i="1"/>
  <c r="J16" i="1" s="1"/>
  <c r="J22" i="1" s="1"/>
  <c r="L183" i="1"/>
  <c r="B43" i="3" l="1"/>
  <c r="D213" i="1"/>
  <c r="I213" i="1" l="1"/>
  <c r="L213" i="1" s="1"/>
  <c r="G213" i="1"/>
  <c r="D212" i="1"/>
  <c r="D210" i="1"/>
  <c r="D211" i="1"/>
  <c r="D214" i="1"/>
  <c r="D209" i="1"/>
  <c r="D215" i="1"/>
  <c r="D216" i="1"/>
  <c r="I215" i="1" l="1"/>
  <c r="L215" i="1" s="1"/>
  <c r="G215" i="1"/>
  <c r="G216" i="1"/>
  <c r="I216" i="1"/>
  <c r="L216" i="1" s="1"/>
  <c r="G214" i="1"/>
  <c r="I214" i="1"/>
  <c r="L214" i="1" s="1"/>
  <c r="G210" i="1"/>
  <c r="I210" i="1"/>
  <c r="L210" i="1" s="1"/>
  <c r="D208" i="1"/>
  <c r="G21" i="4"/>
  <c r="G35" i="4" s="1"/>
  <c r="G209" i="1"/>
  <c r="I209" i="1"/>
  <c r="L209" i="1" s="1"/>
  <c r="G211" i="1"/>
  <c r="I211" i="1"/>
  <c r="L211" i="1" s="1"/>
  <c r="G212" i="1"/>
  <c r="I212" i="1"/>
  <c r="L212" i="1" s="1"/>
  <c r="G37" i="4" l="1"/>
  <c r="G208" i="1"/>
  <c r="I208" i="1"/>
  <c r="L208" i="1" s="1"/>
  <c r="G72" i="1" l="1"/>
  <c r="G74" i="1" l="1"/>
  <c r="G13" i="1" s="1"/>
  <c r="C33" i="3" s="1"/>
  <c r="F49" i="3" s="1"/>
  <c r="L72" i="1"/>
  <c r="L74" i="1" s="1"/>
  <c r="L13" i="1" s="1"/>
  <c r="E251" i="1" l="1"/>
  <c r="E248" i="1"/>
  <c r="E262" i="1"/>
  <c r="G262" i="1" s="1"/>
  <c r="E250" i="1"/>
  <c r="G250" i="1" l="1"/>
  <c r="J250" i="1"/>
  <c r="L250" i="1" s="1"/>
  <c r="E264" i="1"/>
  <c r="J262" i="1"/>
  <c r="L262" i="1" s="1"/>
  <c r="G264" i="1"/>
  <c r="J251" i="1"/>
  <c r="L251" i="1" s="1"/>
  <c r="G251" i="1"/>
  <c r="E254" i="1"/>
  <c r="J248" i="1"/>
  <c r="L248" i="1" s="1"/>
  <c r="G248" i="1"/>
  <c r="E247" i="1"/>
  <c r="E253" i="1"/>
  <c r="E252" i="1"/>
  <c r="J254" i="1" l="1"/>
  <c r="L254" i="1" s="1"/>
  <c r="G254" i="1"/>
  <c r="J253" i="1"/>
  <c r="L253" i="1" s="1"/>
  <c r="G253" i="1"/>
  <c r="L264" i="1"/>
  <c r="J264" i="1"/>
  <c r="E246" i="1"/>
  <c r="G252" i="1"/>
  <c r="J252" i="1"/>
  <c r="L252" i="1" s="1"/>
  <c r="J247" i="1"/>
  <c r="L247" i="1" s="1"/>
  <c r="G247" i="1"/>
  <c r="E249" i="1"/>
  <c r="I21" i="4" l="1"/>
  <c r="I35" i="4" s="1"/>
  <c r="J249" i="1"/>
  <c r="L249" i="1" s="1"/>
  <c r="G249" i="1"/>
  <c r="E258" i="1"/>
  <c r="G246" i="1"/>
  <c r="J246" i="1"/>
  <c r="L257" i="1" l="1"/>
  <c r="J258" i="1"/>
  <c r="G258" i="1"/>
  <c r="G18" i="1" l="1"/>
  <c r="C38" i="3" l="1"/>
  <c r="F54" i="3" s="1"/>
  <c r="G228" i="1" l="1"/>
  <c r="G189" i="1"/>
  <c r="G150" i="1" l="1"/>
  <c r="L228" i="1"/>
  <c r="L230" i="1" s="1"/>
  <c r="L17" i="1" s="1"/>
  <c r="G230" i="1"/>
  <c r="G17" i="1" s="1"/>
  <c r="C37" i="3" s="1"/>
  <c r="F53" i="3" s="1"/>
  <c r="L189" i="1"/>
  <c r="L191" i="1" s="1"/>
  <c r="L16" i="1" s="1"/>
  <c r="G191" i="1"/>
  <c r="G16" i="1" s="1"/>
  <c r="C36" i="3" s="1"/>
  <c r="F52" i="3" s="1"/>
  <c r="G152" i="1" l="1"/>
  <c r="G15" i="1" s="1"/>
  <c r="C35" i="3" s="1"/>
  <c r="F51" i="3" s="1"/>
  <c r="L150" i="1"/>
  <c r="L152" i="1" s="1"/>
  <c r="L15" i="1" s="1"/>
  <c r="G266" i="1"/>
  <c r="L266" i="1" l="1"/>
  <c r="G19" i="1"/>
  <c r="C39" i="3" s="1"/>
  <c r="G268" i="1"/>
  <c r="G111" i="1"/>
  <c r="J34" i="4"/>
  <c r="L111" i="1" l="1"/>
  <c r="L113" i="1" s="1"/>
  <c r="L14" i="1" s="1"/>
  <c r="G113" i="1"/>
  <c r="G14" i="1" s="1"/>
  <c r="L19" i="1"/>
  <c r="C34" i="3" l="1"/>
  <c r="G22" i="1"/>
  <c r="G38" i="1" l="1"/>
  <c r="B11" i="3" s="1"/>
  <c r="B20" i="3" s="1"/>
  <c r="F11" i="3"/>
  <c r="F20" i="3" s="1"/>
  <c r="F50" i="3"/>
  <c r="F56" i="3" s="1"/>
  <c r="C42" i="3"/>
  <c r="C43" i="3" s="1"/>
  <c r="B23" i="3" l="1"/>
  <c r="U246" i="1" l="1"/>
  <c r="E226" i="5" l="1"/>
  <c r="G226" i="5" s="1"/>
  <c r="I226" i="5" s="1"/>
  <c r="K246" i="1"/>
  <c r="L246" i="1" s="1"/>
  <c r="L258" i="1" s="1"/>
  <c r="V246" i="1"/>
  <c r="L18" i="1" l="1"/>
  <c r="L22" i="1" s="1"/>
  <c r="L38" i="1" s="1"/>
  <c r="L268" i="1"/>
  <c r="C94" i="3"/>
  <c r="X246" i="1"/>
  <c r="V258" i="1"/>
  <c r="V18" i="1" l="1"/>
  <c r="V268" i="1"/>
  <c r="X258" i="1"/>
  <c r="Z246" i="1"/>
  <c r="I38" i="3" l="1"/>
  <c r="X18" i="1"/>
  <c r="Z18" i="1" s="1"/>
  <c r="V22" i="1"/>
  <c r="Z258" i="1"/>
  <c r="X268" i="1"/>
  <c r="Z268" i="1" s="1"/>
  <c r="I42" i="3" l="1"/>
  <c r="I43" i="3" s="1"/>
  <c r="H11" i="3"/>
  <c r="H20" i="3" s="1"/>
  <c r="V38" i="1"/>
  <c r="X22" i="1"/>
  <c r="Z22" i="1" s="1"/>
  <c r="X38" i="1" l="1"/>
  <c r="Z38" i="1" s="1"/>
  <c r="D130" i="4"/>
  <c r="D11" i="3"/>
  <c r="D20" i="3" s="1"/>
  <c r="E6" i="3" l="1"/>
  <c r="D23" i="3"/>
  <c r="C129" i="4" l="1"/>
  <c r="C132" i="4" s="1"/>
  <c r="D129" i="4" l="1"/>
  <c r="D132" i="4" s="1"/>
</calcChain>
</file>

<file path=xl/comments1.xml><?xml version="1.0" encoding="utf-8"?>
<comments xmlns="http://schemas.openxmlformats.org/spreadsheetml/2006/main">
  <authors>
    <author>Peter J. Thakadiyil</author>
  </authors>
  <commentList>
    <comment ref="C69" authorId="0" shapeId="0">
      <text>
        <r>
          <rPr>
            <b/>
            <sz val="8"/>
            <color indexed="81"/>
            <rFont val="Tahoma"/>
            <family val="2"/>
          </rPr>
          <t>Peter J. Thakadiyil:</t>
        </r>
        <r>
          <rPr>
            <sz val="8"/>
            <color indexed="81"/>
            <rFont val="Tahoma"/>
            <family val="2"/>
          </rPr>
          <t xml:space="preserve">
What is this used for?
It is incorrect.</t>
        </r>
      </text>
    </comment>
  </commentList>
</comments>
</file>

<file path=xl/sharedStrings.xml><?xml version="1.0" encoding="utf-8"?>
<sst xmlns="http://schemas.openxmlformats.org/spreadsheetml/2006/main" count="943" uniqueCount="202">
  <si>
    <t>Line #</t>
  </si>
  <si>
    <t>Total</t>
  </si>
  <si>
    <t>Description</t>
  </si>
  <si>
    <t>Residential</t>
  </si>
  <si>
    <t>Commecial</t>
  </si>
  <si>
    <t>Industrial</t>
  </si>
  <si>
    <t>OPA</t>
  </si>
  <si>
    <t>OWU</t>
  </si>
  <si>
    <t>Private Fire</t>
  </si>
  <si>
    <t>Number of Meters</t>
  </si>
  <si>
    <t xml:space="preserve">Totals </t>
  </si>
  <si>
    <t>Size / #</t>
  </si>
  <si>
    <t>Monthly</t>
  </si>
  <si>
    <t>2"</t>
  </si>
  <si>
    <t>3"</t>
  </si>
  <si>
    <t>1-1/2"</t>
  </si>
  <si>
    <t>4"</t>
  </si>
  <si>
    <t>Total Meters</t>
  </si>
  <si>
    <t>Consumption</t>
  </si>
  <si>
    <t>1st Block</t>
  </si>
  <si>
    <t>2nd Block</t>
  </si>
  <si>
    <t>3rd Block</t>
  </si>
  <si>
    <t>4th Block</t>
  </si>
  <si>
    <t>Fire Service</t>
  </si>
  <si>
    <t>Class/</t>
  </si>
  <si>
    <t>Residential:</t>
  </si>
  <si>
    <t>Minimum Charge:</t>
  </si>
  <si>
    <t>Customer</t>
  </si>
  <si>
    <t>Meter</t>
  </si>
  <si>
    <t>Billings</t>
  </si>
  <si>
    <t>5/8" Monthly</t>
  </si>
  <si>
    <t>3/4" Monthly</t>
  </si>
  <si>
    <t>1" Monthly</t>
  </si>
  <si>
    <t>1-1/2" Monthly</t>
  </si>
  <si>
    <t>2" Monthly</t>
  </si>
  <si>
    <t>3" Monthly</t>
  </si>
  <si>
    <t>4" Monthly</t>
  </si>
  <si>
    <t>6" Monthly</t>
  </si>
  <si>
    <t>8" Monthly</t>
  </si>
  <si>
    <t>Sales</t>
  </si>
  <si>
    <t>Volumetric Charges:</t>
  </si>
  <si>
    <t>First Block</t>
  </si>
  <si>
    <t>Second Block</t>
  </si>
  <si>
    <t>Third Block</t>
  </si>
  <si>
    <t>Fourth Block</t>
  </si>
  <si>
    <t>Current</t>
  </si>
  <si>
    <t>Rate</t>
  </si>
  <si>
    <t>Revenue</t>
  </si>
  <si>
    <t>Service Charge</t>
  </si>
  <si>
    <t>Consumption:</t>
  </si>
  <si>
    <t>Commercial</t>
  </si>
  <si>
    <t>Dollar</t>
  </si>
  <si>
    <t>Change</t>
  </si>
  <si>
    <t>Percentage</t>
  </si>
  <si>
    <t>Commercial:</t>
  </si>
  <si>
    <t>Industrial:</t>
  </si>
  <si>
    <t>Other Public Authority:</t>
  </si>
  <si>
    <t>Private Fire Service:</t>
  </si>
  <si>
    <t>Connection</t>
  </si>
  <si>
    <t>Size</t>
  </si>
  <si>
    <t>6"</t>
  </si>
  <si>
    <t>8"</t>
  </si>
  <si>
    <t>10"</t>
  </si>
  <si>
    <t>12"</t>
  </si>
  <si>
    <t>Number</t>
  </si>
  <si>
    <t>of</t>
  </si>
  <si>
    <t>Connections</t>
  </si>
  <si>
    <t>Monthly Billing:</t>
  </si>
  <si>
    <t>Other Public Authority</t>
  </si>
  <si>
    <t>Other Water Utilities</t>
  </si>
  <si>
    <t>Miscellaneous Revenues:</t>
  </si>
  <si>
    <t>Present Rates for General Water Service</t>
  </si>
  <si>
    <t>Proposed Rates for General Water Service</t>
  </si>
  <si>
    <t>Proposed</t>
  </si>
  <si>
    <t>5/8"</t>
  </si>
  <si>
    <t>3/4"</t>
  </si>
  <si>
    <t>1"</t>
  </si>
  <si>
    <t>Test Year Operating Revenues at Present Rates vs Proposed Rates</t>
  </si>
  <si>
    <t>Private Fire Service</t>
  </si>
  <si>
    <t>Present</t>
  </si>
  <si>
    <t>Operation</t>
  </si>
  <si>
    <t>Link Out Sheet</t>
  </si>
  <si>
    <t>Test Check</t>
  </si>
  <si>
    <t>Total Revenues</t>
  </si>
  <si>
    <t>Water Revenues</t>
  </si>
  <si>
    <t>Public Fire Protection</t>
  </si>
  <si>
    <t>Public Fire Protection:</t>
  </si>
  <si>
    <t>Public Fire Hydrants</t>
  </si>
  <si>
    <t>Res</t>
  </si>
  <si>
    <t>Com</t>
  </si>
  <si>
    <t>Ind</t>
  </si>
  <si>
    <t>Other Water Revenue</t>
  </si>
  <si>
    <t>Total Rev / RRM</t>
  </si>
  <si>
    <t>Per Bill Analysis</t>
  </si>
  <si>
    <t>SFR</t>
  </si>
  <si>
    <t>Check</t>
  </si>
  <si>
    <t>Fifth Block</t>
  </si>
  <si>
    <t>Normalized</t>
  </si>
  <si>
    <t>Attrition Year at Present Rates</t>
  </si>
  <si>
    <t>Attrition Year at Proposed Rates</t>
  </si>
  <si>
    <t>5th Block</t>
  </si>
  <si>
    <t>6th Block</t>
  </si>
  <si>
    <t>Sixth Block</t>
  </si>
  <si>
    <t xml:space="preserve">    First                   </t>
  </si>
  <si>
    <t xml:space="preserve">    Next                </t>
  </si>
  <si>
    <t xml:space="preserve">    Next              </t>
  </si>
  <si>
    <t xml:space="preserve">    Next            </t>
  </si>
  <si>
    <t xml:space="preserve">    Next         </t>
  </si>
  <si>
    <t xml:space="preserve">    All Over   </t>
  </si>
  <si>
    <t>Credits</t>
  </si>
  <si>
    <t>Credits (Cons)</t>
  </si>
  <si>
    <t>Credits ($'s)</t>
  </si>
  <si>
    <t>CHAT</t>
  </si>
  <si>
    <t>Checks</t>
  </si>
  <si>
    <t>Surcharge</t>
  </si>
  <si>
    <t>Present Rates</t>
  </si>
  <si>
    <t>Proposed Rates</t>
  </si>
  <si>
    <t>Water</t>
  </si>
  <si>
    <t>Total Company</t>
  </si>
  <si>
    <t>Other Revenue</t>
  </si>
  <si>
    <t>Base Period</t>
  </si>
  <si>
    <t>Test Year at Present Rates</t>
  </si>
  <si>
    <t>Test Year at Proposed Rates</t>
  </si>
  <si>
    <t>Test Year</t>
  </si>
  <si>
    <t>T-Gals</t>
  </si>
  <si>
    <t>All</t>
  </si>
  <si>
    <t>Residential - 5/8" Meter</t>
  </si>
  <si>
    <t>Difference</t>
  </si>
  <si>
    <t>Average User</t>
  </si>
  <si>
    <t>Thousand Gallons</t>
  </si>
  <si>
    <t>Commercial - 5/8" Meter</t>
  </si>
  <si>
    <t>Industrial - 2" Meter</t>
  </si>
  <si>
    <t>Other Public Authority - 2" Meter</t>
  </si>
  <si>
    <t>Sales for Resale - 6" Meter</t>
  </si>
  <si>
    <t>Fire</t>
  </si>
  <si>
    <t>Typical Bill Comparisons under Present and Proposed Rates</t>
  </si>
  <si>
    <t>14"</t>
  </si>
  <si>
    <t>16"</t>
  </si>
  <si>
    <t>('000 Gal)</t>
  </si>
  <si>
    <t>Base</t>
  </si>
  <si>
    <t>Hydrant</t>
  </si>
  <si>
    <t>Public Hydrants</t>
  </si>
  <si>
    <t>OthRev-Late Pymt Fee</t>
  </si>
  <si>
    <t>OthRev-Rent</t>
  </si>
  <si>
    <t>OthRev-Rent I/C</t>
  </si>
  <si>
    <t>OthRev-CFO</t>
  </si>
  <si>
    <t>OthRev-NSF Ck Chrg</t>
  </si>
  <si>
    <t>OthRev-Appl/InitFee</t>
  </si>
  <si>
    <t>OthRev-Usage Data</t>
  </si>
  <si>
    <t>OthRev-Reconnct Fee</t>
  </si>
  <si>
    <t>OthRev-Misc Svc</t>
  </si>
  <si>
    <t>OthRev WW-Misc Svc</t>
  </si>
  <si>
    <t>Public Fire</t>
  </si>
  <si>
    <t>Private Fire Hydrant</t>
  </si>
  <si>
    <t>Public Fire Hydrant</t>
  </si>
  <si>
    <t>MISC</t>
  </si>
  <si>
    <t>Miscellaneous:</t>
  </si>
  <si>
    <t>Total Other Revenue</t>
  </si>
  <si>
    <t>Total Revenue</t>
  </si>
  <si>
    <t>Rent</t>
  </si>
  <si>
    <t>Rent I/C</t>
  </si>
  <si>
    <t>Collect for Others</t>
  </si>
  <si>
    <t>Usage Data</t>
  </si>
  <si>
    <t>Miscellaneous</t>
  </si>
  <si>
    <t>Owenton</t>
  </si>
  <si>
    <t>Late Payment Fee</t>
  </si>
  <si>
    <t>NSF Check Charge</t>
  </si>
  <si>
    <t>Reconnect Fee</t>
  </si>
  <si>
    <t>Miscellaneous Service</t>
  </si>
  <si>
    <t>WW-Miscellaneous Service</t>
  </si>
  <si>
    <t>Total Fire</t>
  </si>
  <si>
    <t>Application/Initiation Fee</t>
  </si>
  <si>
    <t>Other</t>
  </si>
  <si>
    <t>Forecast Year Operating Revenues at Present Rates vs Proposed Rates</t>
  </si>
  <si>
    <t>Per Books</t>
  </si>
  <si>
    <t>Public Fire Service</t>
  </si>
  <si>
    <t>Base Period at Proposed Rates</t>
  </si>
  <si>
    <t>Base Period at Present Rates</t>
  </si>
  <si>
    <t xml:space="preserve">Proposed </t>
  </si>
  <si>
    <t>Sale for Resale</t>
  </si>
  <si>
    <t>Sale for Resale:</t>
  </si>
  <si>
    <t>Other Water Revenue - Fire</t>
  </si>
  <si>
    <t>Fire Revenue</t>
  </si>
  <si>
    <t>5/8" Meter</t>
  </si>
  <si>
    <t>Usage</t>
  </si>
  <si>
    <t>All Divisions</t>
  </si>
  <si>
    <t>Forecast Year</t>
  </si>
  <si>
    <t>Average User:</t>
  </si>
  <si>
    <t>Other Revenue Increase:</t>
  </si>
  <si>
    <t>Exhibit 37, Schedule N</t>
  </si>
  <si>
    <t>Present Rate</t>
  </si>
  <si>
    <t>Proposed Rate</t>
  </si>
  <si>
    <t>Exhibit 37, Schedule M-2</t>
  </si>
  <si>
    <t>Exhibit 37, Schedule M-3</t>
  </si>
  <si>
    <t>Revenue Classification</t>
  </si>
  <si>
    <t>Revenue  from</t>
  </si>
  <si>
    <t>Billed Consumption</t>
  </si>
  <si>
    <t>in Test Year</t>
  </si>
  <si>
    <t>Revenue From</t>
  </si>
  <si>
    <t>2015 Rate Case</t>
  </si>
  <si>
    <t/>
  </si>
  <si>
    <t>Witness Responsible:   Linda Bridwell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</si>
</sst>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&quot;$&quot;#,##0.0000_);[Red]\(&quot;$&quot;#,##0.0000\)"/>
    <numFmt numFmtId="167" formatCode="#,##0.0"/>
    <numFmt numFmtId="168" formatCode="#,##0.0000_);\(#,##0.0000\)"/>
    <numFmt numFmtId="169" formatCode="&quot;$&quot;#,##0.0000_);\(&quot;$&quot;#,##0.0000\)"/>
    <numFmt numFmtId="170" formatCode="_(&quot;$&quot;* #,##0_);_(&quot;$&quot;* \(#,##0\);_(&quot;$&quot;* &quot;-&quot;??_);_(@_)"/>
    <numFmt numFmtId="171" formatCode="0.000"/>
    <numFmt numFmtId="172" formatCode="#,##0.000"/>
    <numFmt numFmtId="173" formatCode="#,##0.0000"/>
    <numFmt numFmtId="174" formatCode="0.000%"/>
    <numFmt numFmtId="175" formatCode="#,##0.000_);\(#,##0.00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thick">
        <color rgb="FF00FF00"/>
      </left>
      <right/>
      <top/>
      <bottom/>
      <diagonal/>
    </border>
    <border>
      <left/>
      <right style="thick">
        <color rgb="FF00FF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/>
    <xf numFmtId="0" fontId="1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5" borderId="17" applyNumberFormat="0" applyFont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</cellStyleXfs>
  <cellXfs count="329">
    <xf numFmtId="0" fontId="0" fillId="0" borderId="0" xfId="0"/>
    <xf numFmtId="0" fontId="0" fillId="0" borderId="0" xfId="0" applyAlignment="1">
      <alignment horizontal="center"/>
    </xf>
    <xf numFmtId="37" fontId="8" fillId="0" borderId="0" xfId="0" applyNumberFormat="1" applyFont="1" applyBorder="1"/>
    <xf numFmtId="37" fontId="8" fillId="0" borderId="0" xfId="0" applyNumberFormat="1" applyFont="1" applyBorder="1" applyAlignment="1">
      <alignment horizontal="center"/>
    </xf>
    <xf numFmtId="0" fontId="8" fillId="0" borderId="0" xfId="0" applyFont="1"/>
    <xf numFmtId="37" fontId="8" fillId="0" borderId="0" xfId="0" applyNumberFormat="1" applyFont="1" applyBorder="1" applyAlignment="1">
      <alignment horizontal="centerContinuous"/>
    </xf>
    <xf numFmtId="0" fontId="8" fillId="0" borderId="7" xfId="0" applyFont="1" applyBorder="1"/>
    <xf numFmtId="10" fontId="0" fillId="0" borderId="0" xfId="0" applyNumberFormat="1"/>
    <xf numFmtId="0" fontId="0" fillId="0" borderId="0" xfId="0" applyBorder="1"/>
    <xf numFmtId="37" fontId="0" fillId="0" borderId="0" xfId="0" applyNumberFormat="1" applyBorder="1"/>
    <xf numFmtId="37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8" fillId="0" borderId="0" xfId="0" applyFont="1" applyFill="1" applyBorder="1"/>
    <xf numFmtId="0" fontId="0" fillId="0" borderId="0" xfId="0" applyBorder="1" applyAlignment="1">
      <alignment horizontal="centerContinuous"/>
    </xf>
    <xf numFmtId="37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7" fontId="11" fillId="0" borderId="0" xfId="0" applyNumberFormat="1" applyFont="1"/>
    <xf numFmtId="37" fontId="11" fillId="0" borderId="0" xfId="0" applyNumberFormat="1" applyFont="1" applyBorder="1"/>
    <xf numFmtId="37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Border="1"/>
    <xf numFmtId="39" fontId="11" fillId="0" borderId="0" xfId="0" applyNumberFormat="1" applyFont="1" applyBorder="1"/>
    <xf numFmtId="10" fontId="11" fillId="0" borderId="0" xfId="0" applyNumberFormat="1" applyFont="1"/>
    <xf numFmtId="37" fontId="11" fillId="0" borderId="0" xfId="0" applyNumberFormat="1" applyFont="1" applyFill="1" applyBorder="1"/>
    <xf numFmtId="37" fontId="11" fillId="0" borderId="0" xfId="0" applyNumberFormat="1" applyFont="1" applyFill="1" applyBorder="1" applyAlignment="1">
      <alignment horizontal="right" vertical="top"/>
    </xf>
    <xf numFmtId="39" fontId="12" fillId="0" borderId="9" xfId="0" applyNumberFormat="1" applyFont="1" applyFill="1" applyBorder="1"/>
    <xf numFmtId="0" fontId="12" fillId="0" borderId="9" xfId="0" applyFont="1" applyFill="1" applyBorder="1"/>
    <xf numFmtId="0" fontId="12" fillId="0" borderId="14" xfId="0" applyFont="1" applyFill="1" applyBorder="1"/>
    <xf numFmtId="39" fontId="12" fillId="0" borderId="0" xfId="0" applyNumberFormat="1" applyFont="1" applyFill="1" applyBorder="1"/>
    <xf numFmtId="39" fontId="7" fillId="0" borderId="0" xfId="0" applyNumberFormat="1" applyFont="1" applyFill="1" applyBorder="1"/>
    <xf numFmtId="0" fontId="12" fillId="0" borderId="12" xfId="0" applyFont="1" applyFill="1" applyBorder="1"/>
    <xf numFmtId="0" fontId="12" fillId="0" borderId="10" xfId="0" applyFont="1" applyFill="1" applyBorder="1"/>
    <xf numFmtId="0" fontId="8" fillId="0" borderId="16" xfId="0" applyFont="1" applyFill="1" applyBorder="1"/>
    <xf numFmtId="39" fontId="12" fillId="0" borderId="16" xfId="0" applyNumberFormat="1" applyFont="1" applyFill="1" applyBorder="1"/>
    <xf numFmtId="0" fontId="3" fillId="0" borderId="0" xfId="23" applyFont="1"/>
    <xf numFmtId="3" fontId="3" fillId="0" borderId="0" xfId="23" applyNumberFormat="1" applyFont="1" applyAlignment="1">
      <alignment horizontal="centerContinuous"/>
    </xf>
    <xf numFmtId="3" fontId="3" fillId="0" borderId="0" xfId="23" applyNumberFormat="1" applyFont="1"/>
    <xf numFmtId="4" fontId="3" fillId="0" borderId="0" xfId="23" applyNumberFormat="1" applyFont="1"/>
    <xf numFmtId="172" fontId="3" fillId="0" borderId="0" xfId="23" applyNumberFormat="1" applyFont="1"/>
    <xf numFmtId="173" fontId="3" fillId="0" borderId="0" xfId="23" applyNumberFormat="1" applyFont="1"/>
    <xf numFmtId="3" fontId="3" fillId="0" borderId="0" xfId="23" applyNumberFormat="1" applyFont="1" applyAlignment="1">
      <alignment horizontal="center"/>
    </xf>
    <xf numFmtId="3" fontId="14" fillId="0" borderId="0" xfId="23" applyNumberFormat="1" applyFont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1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left"/>
    </xf>
    <xf numFmtId="44" fontId="3" fillId="0" borderId="0" xfId="23" applyNumberFormat="1" applyFont="1" applyAlignment="1">
      <alignment horizontal="center"/>
    </xf>
    <xf numFmtId="44" fontId="3" fillId="0" borderId="0" xfId="23" applyNumberFormat="1" applyFont="1" applyBorder="1" applyAlignment="1">
      <alignment horizontal="right"/>
    </xf>
    <xf numFmtId="10" fontId="0" fillId="0" borderId="0" xfId="24" applyNumberFormat="1" applyFont="1" applyBorder="1" applyAlignment="1">
      <alignment horizontal="right"/>
    </xf>
    <xf numFmtId="174" fontId="0" fillId="0" borderId="0" xfId="24" applyNumberFormat="1" applyFont="1"/>
    <xf numFmtId="3" fontId="3" fillId="0" borderId="0" xfId="23" applyNumberFormat="1" applyFont="1" applyAlignment="1">
      <alignment horizontal="left"/>
    </xf>
    <xf numFmtId="43" fontId="3" fillId="0" borderId="0" xfId="23" applyNumberFormat="1" applyFont="1"/>
    <xf numFmtId="43" fontId="3" fillId="0" borderId="0" xfId="23" applyNumberFormat="1" applyFont="1" applyBorder="1" applyAlignment="1">
      <alignment horizontal="right"/>
    </xf>
    <xf numFmtId="3" fontId="3" fillId="0" borderId="0" xfId="23" applyNumberFormat="1" applyFont="1" applyBorder="1"/>
    <xf numFmtId="43" fontId="3" fillId="0" borderId="0" xfId="23" applyNumberFormat="1" applyFont="1" applyBorder="1"/>
    <xf numFmtId="3" fontId="3" fillId="0" borderId="3" xfId="23" applyNumberFormat="1" applyFont="1" applyBorder="1"/>
    <xf numFmtId="43" fontId="3" fillId="0" borderId="3" xfId="23" applyNumberFormat="1" applyFont="1" applyBorder="1"/>
    <xf numFmtId="43" fontId="3" fillId="0" borderId="3" xfId="23" applyNumberFormat="1" applyFont="1" applyBorder="1" applyAlignment="1">
      <alignment horizontal="right"/>
    </xf>
    <xf numFmtId="3" fontId="3" fillId="0" borderId="3" xfId="23" applyNumberFormat="1" applyFont="1" applyBorder="1" applyAlignment="1">
      <alignment horizontal="center"/>
    </xf>
    <xf numFmtId="10" fontId="0" fillId="0" borderId="20" xfId="24" applyNumberFormat="1" applyFont="1" applyBorder="1" applyAlignment="1">
      <alignment horizontal="right"/>
    </xf>
    <xf numFmtId="44" fontId="3" fillId="0" borderId="0" xfId="23" applyNumberFormat="1" applyFont="1" applyBorder="1"/>
    <xf numFmtId="4" fontId="3" fillId="0" borderId="19" xfId="23" applyNumberFormat="1" applyFont="1" applyBorder="1" applyAlignment="1">
      <alignment horizontal="left"/>
    </xf>
    <xf numFmtId="4" fontId="3" fillId="0" borderId="0" xfId="23" applyNumberFormat="1" applyFont="1" applyBorder="1"/>
    <xf numFmtId="4" fontId="3" fillId="0" borderId="0" xfId="23" applyNumberFormat="1" applyFont="1" applyBorder="1" applyAlignment="1">
      <alignment horizontal="centerContinuous"/>
    </xf>
    <xf numFmtId="3" fontId="3" fillId="0" borderId="0" xfId="23" applyNumberFormat="1" applyFont="1" applyBorder="1" applyAlignment="1">
      <alignment horizontal="centerContinuous"/>
    </xf>
    <xf numFmtId="7" fontId="3" fillId="0" borderId="0" xfId="23" applyNumberFormat="1" applyFont="1"/>
    <xf numFmtId="3" fontId="3" fillId="0" borderId="19" xfId="23" applyNumberFormat="1" applyFont="1" applyBorder="1" applyAlignment="1">
      <alignment horizontal="left"/>
    </xf>
    <xf numFmtId="0" fontId="11" fillId="0" borderId="0" xfId="25" applyFont="1" applyFill="1" applyBorder="1" applyAlignment="1">
      <alignment horizontal="left" indent="2"/>
    </xf>
    <xf numFmtId="3" fontId="3" fillId="0" borderId="0" xfId="23" applyNumberFormat="1" applyFont="1" applyFill="1" applyAlignment="1">
      <alignment horizontal="center"/>
    </xf>
    <xf numFmtId="3" fontId="3" fillId="0" borderId="0" xfId="23" applyNumberFormat="1" applyFont="1" applyFill="1"/>
    <xf numFmtId="3" fontId="14" fillId="0" borderId="0" xfId="23" applyNumberFormat="1" applyFont="1" applyFill="1" applyBorder="1" applyAlignment="1">
      <alignment horizontal="center"/>
    </xf>
    <xf numFmtId="3" fontId="14" fillId="0" borderId="0" xfId="23" applyNumberFormat="1" applyFont="1" applyFill="1" applyAlignment="1">
      <alignment horizontal="center"/>
    </xf>
    <xf numFmtId="3" fontId="14" fillId="0" borderId="1" xfId="23" applyNumberFormat="1" applyFont="1" applyFill="1" applyBorder="1" applyAlignment="1">
      <alignment horizontal="center"/>
    </xf>
    <xf numFmtId="7" fontId="3" fillId="0" borderId="0" xfId="23" applyNumberFormat="1" applyFont="1" applyFill="1"/>
    <xf numFmtId="44" fontId="3" fillId="0" borderId="0" xfId="23" applyNumberFormat="1" applyFont="1" applyFill="1" applyAlignment="1">
      <alignment horizontal="center"/>
    </xf>
    <xf numFmtId="44" fontId="3" fillId="0" borderId="0" xfId="23" applyNumberFormat="1" applyFont="1" applyFill="1" applyBorder="1" applyAlignment="1">
      <alignment horizontal="right"/>
    </xf>
    <xf numFmtId="10" fontId="0" fillId="0" borderId="0" xfId="24" applyNumberFormat="1" applyFont="1" applyFill="1" applyBorder="1" applyAlignment="1">
      <alignment horizontal="right"/>
    </xf>
    <xf numFmtId="43" fontId="3" fillId="0" borderId="0" xfId="23" applyNumberFormat="1" applyFont="1" applyFill="1"/>
    <xf numFmtId="43" fontId="3" fillId="0" borderId="0" xfId="23" applyNumberFormat="1" applyFont="1" applyFill="1" applyBorder="1" applyAlignment="1">
      <alignment horizontal="right"/>
    </xf>
    <xf numFmtId="3" fontId="3" fillId="0" borderId="0" xfId="23" applyNumberFormat="1" applyFont="1" applyFill="1" applyBorder="1"/>
    <xf numFmtId="43" fontId="3" fillId="0" borderId="0" xfId="23" applyNumberFormat="1" applyFont="1" applyFill="1" applyBorder="1"/>
    <xf numFmtId="3" fontId="3" fillId="0" borderId="0" xfId="23" applyNumberFormat="1" applyFont="1" applyFill="1" applyBorder="1" applyAlignment="1">
      <alignment horizontal="center"/>
    </xf>
    <xf numFmtId="3" fontId="3" fillId="0" borderId="0" xfId="23" applyNumberFormat="1" applyFont="1" applyFill="1" applyAlignment="1">
      <alignment horizontal="left"/>
    </xf>
    <xf numFmtId="44" fontId="3" fillId="0" borderId="0" xfId="23" applyNumberFormat="1" applyFont="1" applyFill="1" applyBorder="1"/>
    <xf numFmtId="37" fontId="16" fillId="0" borderId="0" xfId="0" applyNumberFormat="1" applyFont="1" applyBorder="1"/>
    <xf numFmtId="3" fontId="2" fillId="0" borderId="0" xfId="23" applyNumberFormat="1" applyFont="1" applyFill="1" applyBorder="1" applyAlignment="1">
      <alignment horizontal="left"/>
    </xf>
    <xf numFmtId="37" fontId="11" fillId="0" borderId="0" xfId="0" applyNumberFormat="1" applyFont="1" applyFill="1"/>
    <xf numFmtId="0" fontId="3" fillId="0" borderId="0" xfId="23" applyFont="1" applyFill="1"/>
    <xf numFmtId="0" fontId="14" fillId="0" borderId="0" xfId="23" applyFont="1" applyFill="1" applyAlignment="1">
      <alignment horizontal="right"/>
    </xf>
    <xf numFmtId="3" fontId="14" fillId="0" borderId="0" xfId="23" applyNumberFormat="1" applyFont="1" applyBorder="1" applyAlignment="1">
      <alignment horizontal="left"/>
    </xf>
    <xf numFmtId="3" fontId="14" fillId="0" borderId="0" xfId="23" applyNumberFormat="1" applyFont="1" applyBorder="1" applyAlignment="1">
      <alignment horizontal="right"/>
    </xf>
    <xf numFmtId="0" fontId="17" fillId="0" borderId="0" xfId="25" applyFont="1" applyFill="1" applyBorder="1" applyAlignment="1">
      <alignment horizontal="left" indent="2"/>
    </xf>
    <xf numFmtId="3" fontId="14" fillId="0" borderId="0" xfId="23" applyNumberFormat="1" applyFont="1" applyAlignment="1"/>
    <xf numFmtId="10" fontId="11" fillId="0" borderId="0" xfId="0" applyNumberFormat="1" applyFont="1" applyFill="1" applyBorder="1"/>
    <xf numFmtId="10" fontId="11" fillId="0" borderId="0" xfId="0" applyNumberFormat="1" applyFont="1" applyBorder="1"/>
    <xf numFmtId="3" fontId="14" fillId="0" borderId="0" xfId="23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 vertical="top"/>
    </xf>
    <xf numFmtId="37" fontId="16" fillId="0" borderId="0" xfId="0" applyNumberFormat="1" applyFont="1"/>
    <xf numFmtId="37" fontId="16" fillId="0" borderId="0" xfId="0" applyNumberFormat="1" applyFont="1" applyFill="1" applyBorder="1"/>
    <xf numFmtId="37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left" vertical="top"/>
    </xf>
    <xf numFmtId="5" fontId="16" fillId="0" borderId="0" xfId="0" applyNumberFormat="1" applyFont="1" applyBorder="1" applyAlignment="1">
      <alignment horizontal="right" vertical="top"/>
    </xf>
    <xf numFmtId="37" fontId="20" fillId="0" borderId="0" xfId="0" applyNumberFormat="1" applyFont="1" applyFill="1" applyBorder="1"/>
    <xf numFmtId="37" fontId="20" fillId="0" borderId="0" xfId="0" applyNumberFormat="1" applyFont="1" applyBorder="1" applyAlignment="1">
      <alignment horizontal="right"/>
    </xf>
    <xf numFmtId="37" fontId="20" fillId="0" borderId="1" xfId="0" applyNumberFormat="1" applyFont="1" applyFill="1" applyBorder="1"/>
    <xf numFmtId="37" fontId="16" fillId="0" borderId="1" xfId="0" applyNumberFormat="1" applyFont="1" applyFill="1" applyBorder="1"/>
    <xf numFmtId="37" fontId="21" fillId="0" borderId="1" xfId="0" applyNumberFormat="1" applyFont="1" applyFill="1" applyBorder="1" applyAlignment="1"/>
    <xf numFmtId="37" fontId="20" fillId="0" borderId="1" xfId="0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37" fontId="16" fillId="0" borderId="0" xfId="0" applyNumberFormat="1" applyFont="1" applyFill="1" applyBorder="1" applyAlignment="1">
      <alignment horizontal="centerContinuous"/>
    </xf>
    <xf numFmtId="37" fontId="16" fillId="0" borderId="0" xfId="0" applyNumberFormat="1" applyFont="1" applyFill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20" fillId="0" borderId="0" xfId="0" applyNumberFormat="1" applyFont="1" applyBorder="1"/>
    <xf numFmtId="37" fontId="22" fillId="0" borderId="0" xfId="0" applyNumberFormat="1" applyFont="1" applyBorder="1"/>
    <xf numFmtId="5" fontId="16" fillId="0" borderId="0" xfId="0" applyNumberFormat="1" applyFont="1" applyFill="1" applyBorder="1" applyAlignment="1">
      <alignment horizontal="right" vertical="top"/>
    </xf>
    <xf numFmtId="10" fontId="16" fillId="0" borderId="0" xfId="0" applyNumberFormat="1" applyFont="1" applyFill="1" applyBorder="1"/>
    <xf numFmtId="39" fontId="16" fillId="0" borderId="0" xfId="0" applyNumberFormat="1" applyFont="1" applyBorder="1" applyAlignment="1">
      <alignment horizontal="right" vertical="top"/>
    </xf>
    <xf numFmtId="39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/>
    <xf numFmtId="37" fontId="16" fillId="0" borderId="4" xfId="0" applyNumberFormat="1" applyFont="1" applyBorder="1" applyAlignment="1">
      <alignment horizontal="right" vertical="top"/>
    </xf>
    <xf numFmtId="5" fontId="16" fillId="0" borderId="18" xfId="0" applyNumberFormat="1" applyFont="1" applyFill="1" applyBorder="1" applyAlignment="1">
      <alignment horizontal="right" vertical="top"/>
    </xf>
    <xf numFmtId="37" fontId="16" fillId="0" borderId="4" xfId="0" applyNumberFormat="1" applyFont="1" applyFill="1" applyBorder="1" applyAlignment="1">
      <alignment horizontal="right" vertical="top"/>
    </xf>
    <xf numFmtId="5" fontId="16" fillId="0" borderId="18" xfId="0" applyNumberFormat="1" applyFont="1" applyBorder="1" applyAlignment="1">
      <alignment horizontal="right" vertical="top"/>
    </xf>
    <xf numFmtId="10" fontId="16" fillId="0" borderId="18" xfId="0" applyNumberFormat="1" applyFont="1" applyFill="1" applyBorder="1"/>
    <xf numFmtId="42" fontId="1" fillId="0" borderId="0" xfId="11" applyNumberFormat="1" applyFont="1" applyFill="1" applyAlignment="1">
      <alignment horizontal="left" indent="1"/>
    </xf>
    <xf numFmtId="168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right"/>
    </xf>
    <xf numFmtId="37" fontId="22" fillId="0" borderId="0" xfId="0" applyNumberFormat="1" applyFont="1" applyFill="1" applyBorder="1" applyAlignment="1">
      <alignment horizontal="center"/>
    </xf>
    <xf numFmtId="43" fontId="16" fillId="0" borderId="0" xfId="0" applyNumberFormat="1" applyFont="1" applyFill="1" applyBorder="1"/>
    <xf numFmtId="6" fontId="16" fillId="0" borderId="0" xfId="0" applyNumberFormat="1" applyFont="1" applyFill="1" applyBorder="1"/>
    <xf numFmtId="42" fontId="16" fillId="0" borderId="0" xfId="0" applyNumberFormat="1" applyFont="1" applyFill="1" applyBorder="1"/>
    <xf numFmtId="168" fontId="16" fillId="0" borderId="0" xfId="0" applyNumberFormat="1" applyFont="1" applyFill="1" applyBorder="1"/>
    <xf numFmtId="5" fontId="16" fillId="0" borderId="0" xfId="0" applyNumberFormat="1" applyFont="1" applyFill="1" applyBorder="1"/>
    <xf numFmtId="5" fontId="16" fillId="0" borderId="0" xfId="0" applyNumberFormat="1" applyFont="1" applyBorder="1"/>
    <xf numFmtId="168" fontId="16" fillId="0" borderId="0" xfId="0" applyNumberFormat="1" applyFont="1" applyBorder="1"/>
    <xf numFmtId="42" fontId="16" fillId="0" borderId="0" xfId="0" applyNumberFormat="1" applyFont="1" applyBorder="1"/>
    <xf numFmtId="37" fontId="22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37" fontId="22" fillId="0" borderId="0" xfId="0" applyNumberFormat="1" applyFont="1" applyFill="1" applyBorder="1"/>
    <xf numFmtId="10" fontId="16" fillId="0" borderId="4" xfId="0" applyNumberFormat="1" applyFont="1" applyFill="1" applyBorder="1"/>
    <xf numFmtId="6" fontId="16" fillId="0" borderId="0" xfId="0" applyNumberFormat="1" applyFont="1" applyBorder="1"/>
    <xf numFmtId="40" fontId="16" fillId="0" borderId="0" xfId="0" applyNumberFormat="1" applyFont="1" applyBorder="1"/>
    <xf numFmtId="37" fontId="20" fillId="0" borderId="1" xfId="0" applyNumberFormat="1" applyFont="1" applyBorder="1"/>
    <xf numFmtId="37" fontId="16" fillId="0" borderId="1" xfId="0" applyNumberFormat="1" applyFont="1" applyBorder="1"/>
    <xf numFmtId="37" fontId="20" fillId="0" borderId="1" xfId="0" applyNumberFormat="1" applyFont="1" applyBorder="1" applyAlignment="1">
      <alignment horizontal="right"/>
    </xf>
    <xf numFmtId="7" fontId="16" fillId="0" borderId="0" xfId="0" applyNumberFormat="1" applyFont="1" applyFill="1" applyBorder="1" applyAlignment="1">
      <alignment horizontal="right" vertical="top"/>
    </xf>
    <xf numFmtId="7" fontId="16" fillId="0" borderId="0" xfId="0" applyNumberFormat="1" applyFont="1" applyBorder="1" applyAlignment="1">
      <alignment horizontal="right" vertical="top"/>
    </xf>
    <xf numFmtId="169" fontId="16" fillId="0" borderId="0" xfId="0" applyNumberFormat="1" applyFont="1" applyFill="1" applyBorder="1" applyAlignment="1">
      <alignment horizontal="right" vertical="top"/>
    </xf>
    <xf numFmtId="169" fontId="16" fillId="0" borderId="0" xfId="0" applyNumberFormat="1" applyFont="1" applyBorder="1" applyAlignment="1">
      <alignment horizontal="right" vertical="top"/>
    </xf>
    <xf numFmtId="168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/>
    </xf>
    <xf numFmtId="37" fontId="16" fillId="0" borderId="4" xfId="0" applyNumberFormat="1" applyFont="1" applyBorder="1"/>
    <xf numFmtId="6" fontId="16" fillId="0" borderId="4" xfId="0" applyNumberFormat="1" applyFont="1" applyBorder="1"/>
    <xf numFmtId="37" fontId="16" fillId="0" borderId="0" xfId="0" applyNumberFormat="1" applyFont="1" applyFill="1" applyBorder="1" applyAlignment="1">
      <alignment horizontal="left"/>
    </xf>
    <xf numFmtId="37" fontId="16" fillId="0" borderId="4" xfId="0" applyNumberFormat="1" applyFont="1" applyFill="1" applyBorder="1"/>
    <xf numFmtId="6" fontId="16" fillId="0" borderId="4" xfId="0" applyNumberFormat="1" applyFont="1" applyFill="1" applyBorder="1"/>
    <xf numFmtId="39" fontId="16" fillId="0" borderId="0" xfId="0" applyNumberFormat="1" applyFont="1" applyBorder="1"/>
    <xf numFmtId="5" fontId="16" fillId="0" borderId="0" xfId="0" applyNumberFormat="1" applyFont="1" applyBorder="1" applyAlignment="1">
      <alignment horizontal="right"/>
    </xf>
    <xf numFmtId="5" fontId="16" fillId="0" borderId="3" xfId="0" applyNumberFormat="1" applyFont="1" applyFill="1" applyBorder="1" applyAlignment="1">
      <alignment horizontal="right"/>
    </xf>
    <xf numFmtId="5" fontId="16" fillId="0" borderId="0" xfId="0" applyNumberFormat="1" applyFont="1" applyFill="1" applyBorder="1" applyAlignment="1">
      <alignment horizontal="right"/>
    </xf>
    <xf numFmtId="5" fontId="16" fillId="0" borderId="3" xfId="0" applyNumberFormat="1" applyFont="1" applyBorder="1" applyAlignment="1">
      <alignment horizontal="right"/>
    </xf>
    <xf numFmtId="0" fontId="16" fillId="0" borderId="0" xfId="25" applyFont="1" applyFill="1" applyBorder="1" applyAlignment="1"/>
    <xf numFmtId="164" fontId="16" fillId="0" borderId="0" xfId="1" applyNumberFormat="1" applyFont="1" applyBorder="1"/>
    <xf numFmtId="0" fontId="16" fillId="0" borderId="0" xfId="0" applyFont="1" applyFill="1"/>
    <xf numFmtId="0" fontId="16" fillId="0" borderId="0" xfId="0" applyFont="1"/>
    <xf numFmtId="1" fontId="16" fillId="0" borderId="0" xfId="0" applyNumberFormat="1" applyFont="1"/>
    <xf numFmtId="175" fontId="16" fillId="0" borderId="0" xfId="0" applyNumberFormat="1" applyFont="1"/>
    <xf numFmtId="0" fontId="23" fillId="0" borderId="7" xfId="0" applyFont="1" applyBorder="1"/>
    <xf numFmtId="0" fontId="16" fillId="0" borderId="7" xfId="0" applyFont="1" applyBorder="1"/>
    <xf numFmtId="167" fontId="16" fillId="0" borderId="7" xfId="1" applyNumberFormat="1" applyFont="1" applyBorder="1"/>
    <xf numFmtId="43" fontId="16" fillId="0" borderId="7" xfId="1" applyFont="1" applyBorder="1"/>
    <xf numFmtId="8" fontId="23" fillId="0" borderId="0" xfId="0" applyNumberFormat="1" applyFont="1"/>
    <xf numFmtId="8" fontId="16" fillId="0" borderId="0" xfId="0" applyNumberFormat="1" applyFont="1"/>
    <xf numFmtId="0" fontId="16" fillId="0" borderId="0" xfId="0" applyFont="1" applyAlignment="1">
      <alignment horizontal="center"/>
    </xf>
    <xf numFmtId="167" fontId="16" fillId="0" borderId="0" xfId="1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7" fontId="16" fillId="0" borderId="2" xfId="1" applyNumberFormat="1" applyFont="1" applyFill="1" applyBorder="1" applyAlignment="1">
      <alignment horizontal="center"/>
    </xf>
    <xf numFmtId="164" fontId="16" fillId="0" borderId="0" xfId="1" applyNumberFormat="1" applyFont="1" applyFill="1"/>
    <xf numFmtId="0" fontId="16" fillId="0" borderId="0" xfId="25" applyFont="1" applyFill="1" applyBorder="1" applyAlignment="1">
      <alignment horizontal="left" indent="2"/>
    </xf>
    <xf numFmtId="165" fontId="16" fillId="0" borderId="0" xfId="1" applyNumberFormat="1" applyFont="1" applyFill="1"/>
    <xf numFmtId="175" fontId="16" fillId="0" borderId="0" xfId="1" applyNumberFormat="1" applyFont="1" applyFill="1"/>
    <xf numFmtId="164" fontId="16" fillId="0" borderId="3" xfId="1" applyNumberFormat="1" applyFont="1" applyFill="1" applyBorder="1"/>
    <xf numFmtId="37" fontId="16" fillId="0" borderId="3" xfId="1" applyNumberFormat="1" applyFont="1" applyFill="1" applyBorder="1"/>
    <xf numFmtId="43" fontId="16" fillId="0" borderId="0" xfId="1" applyFont="1" applyFill="1"/>
    <xf numFmtId="0" fontId="16" fillId="0" borderId="0" xfId="0" quotePrefix="1" applyFont="1"/>
    <xf numFmtId="164" fontId="16" fillId="0" borderId="0" xfId="0" applyNumberFormat="1" applyFont="1" applyFill="1"/>
    <xf numFmtId="39" fontId="16" fillId="0" borderId="0" xfId="0" applyNumberFormat="1" applyFont="1"/>
    <xf numFmtId="39" fontId="16" fillId="0" borderId="0" xfId="1" applyNumberFormat="1" applyFont="1" applyAlignment="1">
      <alignment horizontal="center"/>
    </xf>
    <xf numFmtId="167" fontId="16" fillId="0" borderId="0" xfId="1" applyNumberFormat="1" applyFont="1" applyAlignment="1">
      <alignment horizontal="center"/>
    </xf>
    <xf numFmtId="39" fontId="16" fillId="0" borderId="0" xfId="0" applyNumberFormat="1" applyFont="1" applyAlignment="1">
      <alignment horizontal="center"/>
    </xf>
    <xf numFmtId="39" fontId="16" fillId="0" borderId="0" xfId="1" applyNumberFormat="1" applyFont="1" applyFill="1" applyAlignment="1">
      <alignment horizontal="center"/>
    </xf>
    <xf numFmtId="39" fontId="16" fillId="0" borderId="0" xfId="0" applyNumberFormat="1" applyFont="1" applyFill="1" applyAlignment="1">
      <alignment horizontal="center"/>
    </xf>
    <xf numFmtId="37" fontId="16" fillId="0" borderId="0" xfId="0" quotePrefix="1" applyNumberFormat="1" applyFont="1" applyFill="1"/>
    <xf numFmtId="39" fontId="16" fillId="0" borderId="0" xfId="0" applyNumberFormat="1" applyFont="1" applyFill="1"/>
    <xf numFmtId="0" fontId="20" fillId="0" borderId="11" xfId="0" applyFont="1" applyFill="1" applyBorder="1"/>
    <xf numFmtId="0" fontId="16" fillId="0" borderId="12" xfId="0" applyFont="1" applyFill="1" applyBorder="1"/>
    <xf numFmtId="39" fontId="21" fillId="0" borderId="12" xfId="0" applyNumberFormat="1" applyFont="1" applyFill="1" applyBorder="1"/>
    <xf numFmtId="0" fontId="21" fillId="0" borderId="12" xfId="0" applyFont="1" applyFill="1" applyBorder="1"/>
    <xf numFmtId="0" fontId="16" fillId="0" borderId="15" xfId="0" applyFont="1" applyFill="1" applyBorder="1"/>
    <xf numFmtId="0" fontId="16" fillId="0" borderId="0" xfId="0" applyFont="1" applyFill="1" applyBorder="1"/>
    <xf numFmtId="39" fontId="21" fillId="0" borderId="0" xfId="0" applyNumberFormat="1" applyFont="1" applyFill="1" applyBorder="1"/>
    <xf numFmtId="0" fontId="20" fillId="0" borderId="15" xfId="0" applyFont="1" applyFill="1" applyBorder="1"/>
    <xf numFmtId="39" fontId="20" fillId="0" borderId="0" xfId="0" applyNumberFormat="1" applyFont="1" applyFill="1" applyBorder="1"/>
    <xf numFmtId="39" fontId="16" fillId="0" borderId="0" xfId="0" applyNumberFormat="1" applyFont="1" applyFill="1" applyBorder="1"/>
    <xf numFmtId="0" fontId="16" fillId="0" borderId="13" xfId="0" applyFont="1" applyFill="1" applyBorder="1"/>
    <xf numFmtId="0" fontId="16" fillId="0" borderId="9" xfId="0" applyFont="1" applyFill="1" applyBorder="1"/>
    <xf numFmtId="39" fontId="21" fillId="0" borderId="9" xfId="0" applyNumberFormat="1" applyFont="1" applyFill="1" applyBorder="1"/>
    <xf numFmtId="0" fontId="21" fillId="0" borderId="9" xfId="0" applyFont="1" applyFill="1" applyBorder="1"/>
    <xf numFmtId="0" fontId="20" fillId="0" borderId="0" xfId="0" applyFont="1"/>
    <xf numFmtId="43" fontId="16" fillId="0" borderId="0" xfId="1" applyFont="1"/>
    <xf numFmtId="44" fontId="16" fillId="0" borderId="0" xfId="0" applyNumberFormat="1" applyFont="1" applyFill="1"/>
    <xf numFmtId="44" fontId="16" fillId="0" borderId="0" xfId="1" applyNumberFormat="1" applyFont="1" applyFill="1"/>
    <xf numFmtId="8" fontId="16" fillId="0" borderId="0" xfId="0" applyNumberFormat="1" applyFont="1" applyFill="1"/>
    <xf numFmtId="8" fontId="16" fillId="0" borderId="0" xfId="1" applyNumberFormat="1" applyFont="1" applyFill="1"/>
    <xf numFmtId="0" fontId="20" fillId="0" borderId="0" xfId="0" applyFont="1" applyFill="1" applyProtection="1"/>
    <xf numFmtId="164" fontId="16" fillId="0" borderId="0" xfId="1" applyNumberFormat="1" applyFont="1"/>
    <xf numFmtId="166" fontId="16" fillId="0" borderId="0" xfId="1" applyNumberFormat="1" applyFont="1" applyFill="1"/>
    <xf numFmtId="3" fontId="16" fillId="0" borderId="0" xfId="0" applyNumberFormat="1" applyFont="1"/>
    <xf numFmtId="3" fontId="16" fillId="0" borderId="0" xfId="1" applyNumberFormat="1" applyFont="1" applyFill="1" applyAlignment="1">
      <alignment horizontal="center"/>
    </xf>
    <xf numFmtId="3" fontId="16" fillId="0" borderId="0" xfId="1" applyNumberFormat="1" applyFont="1" applyAlignment="1">
      <alignment horizontal="center"/>
    </xf>
    <xf numFmtId="171" fontId="16" fillId="0" borderId="0" xfId="0" applyNumberFormat="1" applyFont="1" applyFill="1"/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40" fontId="16" fillId="0" borderId="0" xfId="1" applyNumberFormat="1" applyFont="1" applyFill="1"/>
    <xf numFmtId="7" fontId="16" fillId="0" borderId="0" xfId="1" applyNumberFormat="1" applyFont="1" applyFill="1"/>
    <xf numFmtId="44" fontId="16" fillId="0" borderId="0" xfId="0" applyNumberFormat="1" applyFont="1"/>
    <xf numFmtId="7" fontId="16" fillId="0" borderId="0" xfId="1" applyNumberFormat="1" applyFont="1"/>
    <xf numFmtId="0" fontId="20" fillId="0" borderId="1" xfId="0" applyFont="1" applyFill="1" applyBorder="1"/>
    <xf numFmtId="7" fontId="20" fillId="0" borderId="1" xfId="1" applyNumberFormat="1" applyFont="1" applyFill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16" fillId="0" borderId="0" xfId="0" applyFont="1" applyBorder="1"/>
    <xf numFmtId="0" fontId="20" fillId="0" borderId="0" xfId="0" applyFont="1" applyFill="1" applyBorder="1" applyAlignment="1">
      <alignment horizontal="center"/>
    </xf>
    <xf numFmtId="37" fontId="20" fillId="0" borderId="0" xfId="0" applyNumberFormat="1" applyFont="1" applyBorder="1" applyAlignment="1">
      <alignment horizontal="center"/>
    </xf>
    <xf numFmtId="37" fontId="20" fillId="0" borderId="0" xfId="0" applyNumberFormat="1" applyFont="1" applyFill="1" applyBorder="1" applyAlignment="1">
      <alignment horizontal="center"/>
    </xf>
    <xf numFmtId="43" fontId="16" fillId="0" borderId="0" xfId="0" applyNumberFormat="1" applyFont="1" applyBorder="1"/>
    <xf numFmtId="164" fontId="16" fillId="0" borderId="0" xfId="0" applyNumberFormat="1" applyFont="1" applyFill="1" applyBorder="1"/>
    <xf numFmtId="164" fontId="20" fillId="0" borderId="0" xfId="0" applyNumberFormat="1" applyFont="1" applyFill="1" applyBorder="1" applyAlignment="1">
      <alignment horizontal="center"/>
    </xf>
    <xf numFmtId="164" fontId="16" fillId="0" borderId="0" xfId="0" applyNumberFormat="1" applyFont="1" applyBorder="1"/>
    <xf numFmtId="164" fontId="20" fillId="0" borderId="0" xfId="0" applyNumberFormat="1" applyFont="1" applyBorder="1"/>
    <xf numFmtId="7" fontId="16" fillId="0" borderId="0" xfId="0" applyNumberFormat="1" applyFont="1" applyBorder="1"/>
    <xf numFmtId="0" fontId="20" fillId="0" borderId="0" xfId="0" applyFont="1" applyFill="1" applyBorder="1"/>
    <xf numFmtId="0" fontId="16" fillId="0" borderId="8" xfId="0" applyFont="1" applyBorder="1"/>
    <xf numFmtId="37" fontId="16" fillId="0" borderId="8" xfId="0" applyNumberFormat="1" applyFont="1" applyBorder="1"/>
    <xf numFmtId="0" fontId="17" fillId="0" borderId="0" xfId="0" applyFont="1" applyFill="1" applyAlignment="1">
      <alignment horizontal="center"/>
    </xf>
    <xf numFmtId="3" fontId="16" fillId="0" borderId="0" xfId="0" applyNumberFormat="1" applyFont="1" applyFill="1"/>
    <xf numFmtId="0" fontId="16" fillId="3" borderId="0" xfId="0" applyFont="1" applyFill="1"/>
    <xf numFmtId="3" fontId="16" fillId="3" borderId="0" xfId="0" applyNumberFormat="1" applyFont="1" applyFill="1" applyBorder="1"/>
    <xf numFmtId="3" fontId="16" fillId="0" borderId="0" xfId="0" applyNumberFormat="1" applyFont="1" applyFill="1" applyBorder="1"/>
    <xf numFmtId="0" fontId="20" fillId="0" borderId="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5" fontId="16" fillId="0" borderId="0" xfId="0" applyNumberFormat="1" applyFont="1" applyFill="1"/>
    <xf numFmtId="5" fontId="16" fillId="0" borderId="0" xfId="0" applyNumberFormat="1" applyFont="1"/>
    <xf numFmtId="7" fontId="16" fillId="0" borderId="0" xfId="0" applyNumberFormat="1" applyFont="1"/>
    <xf numFmtId="0" fontId="24" fillId="0" borderId="0" xfId="0" applyFont="1"/>
    <xf numFmtId="42" fontId="24" fillId="0" borderId="0" xfId="0" applyNumberFormat="1" applyFont="1"/>
    <xf numFmtId="0" fontId="24" fillId="0" borderId="0" xfId="0" applyFont="1" applyBorder="1"/>
    <xf numFmtId="37" fontId="20" fillId="0" borderId="0" xfId="0" applyNumberFormat="1" applyFont="1" applyAlignment="1">
      <alignment horizontal="center"/>
    </xf>
    <xf numFmtId="10" fontId="16" fillId="0" borderId="0" xfId="0" applyNumberFormat="1" applyFont="1" applyFill="1"/>
    <xf numFmtId="10" fontId="16" fillId="0" borderId="0" xfId="0" applyNumberFormat="1" applyFont="1"/>
    <xf numFmtId="10" fontId="16" fillId="0" borderId="0" xfId="0" applyNumberFormat="1" applyFont="1" applyBorder="1"/>
    <xf numFmtId="42" fontId="16" fillId="0" borderId="0" xfId="0" applyNumberFormat="1" applyFont="1"/>
    <xf numFmtId="37" fontId="16" fillId="0" borderId="0" xfId="0" applyNumberFormat="1" applyFont="1" applyBorder="1" applyAlignment="1">
      <alignment horizontal="right"/>
    </xf>
    <xf numFmtId="0" fontId="20" fillId="0" borderId="0" xfId="0" applyFont="1" applyFill="1"/>
    <xf numFmtId="164" fontId="16" fillId="0" borderId="0" xfId="1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170" fontId="16" fillId="0" borderId="0" xfId="0" applyNumberFormat="1" applyFont="1"/>
    <xf numFmtId="0" fontId="16" fillId="0" borderId="0" xfId="0" applyFont="1" applyBorder="1" applyAlignment="1">
      <alignment horizontal="center"/>
    </xf>
    <xf numFmtId="37" fontId="20" fillId="0" borderId="0" xfId="0" applyNumberFormat="1" applyFont="1" applyBorder="1" applyAlignment="1"/>
    <xf numFmtId="37" fontId="16" fillId="0" borderId="0" xfId="0" applyNumberFormat="1" applyFont="1" applyBorder="1" applyAlignment="1">
      <alignment horizontal="centerContinuous"/>
    </xf>
    <xf numFmtId="0" fontId="16" fillId="0" borderId="5" xfId="0" applyFont="1" applyBorder="1" applyAlignment="1">
      <alignment horizontal="center"/>
    </xf>
    <xf numFmtId="37" fontId="16" fillId="0" borderId="5" xfId="0" applyNumberFormat="1" applyFont="1" applyBorder="1" applyAlignment="1">
      <alignment horizontal="center"/>
    </xf>
    <xf numFmtId="0" fontId="16" fillId="0" borderId="4" xfId="0" applyFont="1" applyBorder="1"/>
    <xf numFmtId="170" fontId="16" fillId="0" borderId="4" xfId="6" applyNumberFormat="1" applyFont="1" applyBorder="1"/>
    <xf numFmtId="37" fontId="16" fillId="0" borderId="1" xfId="0" applyNumberFormat="1" applyFont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0" xfId="0" applyNumberFormat="1" applyFont="1" applyFill="1" applyAlignment="1">
      <alignment horizontal="right"/>
    </xf>
    <xf numFmtId="5" fontId="16" fillId="0" borderId="0" xfId="0" applyNumberFormat="1" applyFont="1" applyFill="1" applyAlignment="1">
      <alignment horizontal="right"/>
    </xf>
    <xf numFmtId="0" fontId="16" fillId="0" borderId="0" xfId="0" applyFont="1" applyBorder="1" applyAlignment="1">
      <alignment horizontal="right"/>
    </xf>
    <xf numFmtId="37" fontId="16" fillId="0" borderId="6" xfId="0" applyNumberFormat="1" applyFont="1" applyFill="1" applyBorder="1"/>
    <xf numFmtId="0" fontId="16" fillId="0" borderId="6" xfId="0" applyFont="1" applyBorder="1" applyAlignment="1">
      <alignment horizontal="center"/>
    </xf>
    <xf numFmtId="37" fontId="16" fillId="0" borderId="0" xfId="0" applyNumberFormat="1" applyFont="1" applyBorder="1" applyAlignment="1"/>
    <xf numFmtId="5" fontId="20" fillId="0" borderId="0" xfId="0" applyNumberFormat="1" applyFont="1" applyBorder="1" applyAlignment="1">
      <alignment horizontal="right"/>
    </xf>
    <xf numFmtId="39" fontId="16" fillId="0" borderId="0" xfId="0" applyNumberFormat="1" applyFont="1" applyBorder="1" applyAlignment="1">
      <alignment horizontal="right"/>
    </xf>
    <xf numFmtId="44" fontId="16" fillId="0" borderId="0" xfId="0" applyNumberFormat="1" applyFont="1" applyBorder="1" applyAlignment="1">
      <alignment horizontal="right"/>
    </xf>
    <xf numFmtId="37" fontId="16" fillId="3" borderId="0" xfId="0" applyNumberFormat="1" applyFont="1" applyFill="1" applyBorder="1" applyAlignment="1">
      <alignment horizontal="right"/>
    </xf>
    <xf numFmtId="0" fontId="16" fillId="0" borderId="0" xfId="0" applyFont="1" applyBorder="1" applyAlignment="1"/>
    <xf numFmtId="0" fontId="16" fillId="0" borderId="1" xfId="0" applyFont="1" applyBorder="1" applyAlignment="1"/>
    <xf numFmtId="5" fontId="16" fillId="0" borderId="0" xfId="0" applyNumberFormat="1" applyFont="1" applyFill="1" applyBorder="1" applyAlignment="1"/>
    <xf numFmtId="37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6" fontId="16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Continuous"/>
    </xf>
    <xf numFmtId="10" fontId="16" fillId="0" borderId="0" xfId="18" applyNumberFormat="1" applyFont="1"/>
    <xf numFmtId="37" fontId="20" fillId="0" borderId="0" xfId="0" applyNumberFormat="1" applyFont="1"/>
    <xf numFmtId="43" fontId="16" fillId="0" borderId="0" xfId="0" applyNumberFormat="1" applyFont="1"/>
    <xf numFmtId="164" fontId="20" fillId="0" borderId="0" xfId="0" applyNumberFormat="1" applyFont="1"/>
    <xf numFmtId="5" fontId="16" fillId="0" borderId="4" xfId="0" applyNumberFormat="1" applyFont="1" applyFill="1" applyBorder="1" applyAlignment="1">
      <alignment horizontal="right" vertical="top"/>
    </xf>
    <xf numFmtId="37" fontId="16" fillId="0" borderId="18" xfId="0" applyNumberFormat="1" applyFont="1" applyBorder="1" applyAlignment="1">
      <alignment horizontal="right" vertical="top"/>
    </xf>
    <xf numFmtId="42" fontId="16" fillId="0" borderId="0" xfId="0" applyNumberFormat="1" applyFont="1" applyFill="1"/>
    <xf numFmtId="39" fontId="16" fillId="0" borderId="0" xfId="0" applyNumberFormat="1" applyFont="1" applyFill="1" applyBorder="1" applyAlignment="1"/>
    <xf numFmtId="168" fontId="16" fillId="0" borderId="0" xfId="0" applyNumberFormat="1" applyFont="1" applyFill="1" applyBorder="1" applyAlignment="1">
      <alignment horizontal="right"/>
    </xf>
    <xf numFmtId="7" fontId="16" fillId="0" borderId="0" xfId="0" applyNumberFormat="1" applyFont="1" applyFill="1" applyBorder="1" applyAlignment="1">
      <alignment horizontal="right"/>
    </xf>
    <xf numFmtId="3" fontId="3" fillId="0" borderId="18" xfId="23" applyNumberFormat="1" applyFont="1" applyBorder="1"/>
    <xf numFmtId="43" fontId="3" fillId="0" borderId="18" xfId="23" applyNumberFormat="1" applyFont="1" applyBorder="1"/>
    <xf numFmtId="43" fontId="3" fillId="0" borderId="18" xfId="23" applyNumberFormat="1" applyFont="1" applyBorder="1" applyAlignment="1">
      <alignment horizontal="right"/>
    </xf>
    <xf numFmtId="3" fontId="3" fillId="0" borderId="18" xfId="23" applyNumberFormat="1" applyFont="1" applyBorder="1" applyAlignment="1">
      <alignment horizontal="center"/>
    </xf>
    <xf numFmtId="10" fontId="0" fillId="0" borderId="18" xfId="24" applyNumberFormat="1" applyFont="1" applyBorder="1" applyAlignment="1">
      <alignment horizontal="right"/>
    </xf>
    <xf numFmtId="3" fontId="3" fillId="0" borderId="18" xfId="23" applyNumberFormat="1" applyFont="1" applyBorder="1" applyAlignment="1">
      <alignment horizontal="left"/>
    </xf>
    <xf numFmtId="37" fontId="16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20" fillId="0" borderId="5" xfId="0" applyNumberFormat="1" applyFont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37" fontId="20" fillId="0" borderId="0" xfId="0" applyNumberFormat="1" applyFont="1" applyFill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20" fillId="0" borderId="0" xfId="0" applyNumberFormat="1" applyFont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0" xfId="23" applyNumberFormat="1" applyFont="1" applyFill="1" applyAlignment="1">
      <alignment horizontal="center"/>
    </xf>
  </cellXfs>
  <cellStyles count="26">
    <cellStyle name="Comma" xfId="1" builtinId="3"/>
    <cellStyle name="Comma 2" xfId="2"/>
    <cellStyle name="Comma 2 2" xfId="3"/>
    <cellStyle name="Comma 3" xfId="4"/>
    <cellStyle name="Comma 4" xfId="5"/>
    <cellStyle name="Currency" xfId="6" builtinId="4"/>
    <cellStyle name="Currency 2" xfId="7"/>
    <cellStyle name="Normal" xfId="0" builtinId="0"/>
    <cellStyle name="Normal 10" xfId="23"/>
    <cellStyle name="Normal 2" xfId="8"/>
    <cellStyle name="Normal 2 2" xfId="9"/>
    <cellStyle name="Normal 2_Aqua Revenue" xfId="10"/>
    <cellStyle name="Normal 3" xfId="11"/>
    <cellStyle name="Normal 4" xfId="12"/>
    <cellStyle name="Normal 5" xfId="13"/>
    <cellStyle name="Normal 6" xfId="14"/>
    <cellStyle name="Normal 7" xfId="15"/>
    <cellStyle name="Normal 8" xfId="19"/>
    <cellStyle name="Normal 9" xfId="22"/>
    <cellStyle name="Normal_revenue detail model v2.0" xfId="25"/>
    <cellStyle name="Note 2" xfId="21"/>
    <cellStyle name="Percent" xfId="18" builtinId="5"/>
    <cellStyle name="Percent 2" xfId="16"/>
    <cellStyle name="Percent 3" xfId="17"/>
    <cellStyle name="Percent 4" xfId="20"/>
    <cellStyle name="Percent 5" xfId="24"/>
  </cellStyles>
  <dxfs count="0"/>
  <tableStyles count="0" defaultTableStyle="TableStyleMedium9" defaultPivotStyle="PivotStyleLight16"/>
  <colors>
    <mruColors>
      <color rgb="FF00FF00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5%20Water%20Rate%20Case/Discovery/PSC/PSC%20DR2-79/Public%20Workpapers/2015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Analysis%20%20-3-15-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2015-17%20Sewer%20and%20Other%20Plan%20-%20Pass%203%20Rate%20Ca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Revenue%20Exhibi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ates%20-3-21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BY"/>
      <sheetName val="Link Out Monthly BY"/>
      <sheetName val="Link Out Forecast"/>
      <sheetName val="Link Out Rev Req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1">
          <cell r="C11" t="str">
            <v>Case No. 2015-00418</v>
          </cell>
        </row>
        <row r="15">
          <cell r="C15" t="str">
            <v>Base Year for the 12 Months Ended April 30, 2016</v>
          </cell>
        </row>
        <row r="17">
          <cell r="C17" t="str">
            <v>Forecast Year for the 12 Months Ended August 31, 2017</v>
          </cell>
        </row>
      </sheetData>
      <sheetData sheetId="1" refreshError="1"/>
      <sheetData sheetId="2" refreshError="1">
        <row r="116">
          <cell r="M116" t="str">
            <v>Schedule M-3</v>
          </cell>
        </row>
        <row r="119">
          <cell r="M119" t="str">
            <v>Schedule N-3</v>
          </cell>
        </row>
      </sheetData>
      <sheetData sheetId="3">
        <row r="7">
          <cell r="A7" t="str">
            <v>P02</v>
          </cell>
        </row>
      </sheetData>
      <sheetData sheetId="4" refreshError="1"/>
      <sheetData sheetId="5" refreshError="1"/>
      <sheetData sheetId="6">
        <row r="14">
          <cell r="E14">
            <v>88223531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  <sheetName val="Bill Analysis  -3-15-2016"/>
    </sheetNames>
    <sheetDataSet>
      <sheetData sheetId="0"/>
      <sheetData sheetId="1">
        <row r="28">
          <cell r="C28">
            <v>1367034.3646176646</v>
          </cell>
          <cell r="E28">
            <v>12.49</v>
          </cell>
          <cell r="I28">
            <v>1377268</v>
          </cell>
        </row>
        <row r="29">
          <cell r="C29">
            <v>12</v>
          </cell>
          <cell r="E29">
            <v>18.739999999999998</v>
          </cell>
          <cell r="I29">
            <v>12</v>
          </cell>
        </row>
        <row r="30">
          <cell r="C30">
            <v>22836.577009285946</v>
          </cell>
          <cell r="E30">
            <v>31.23</v>
          </cell>
          <cell r="I30">
            <v>21864</v>
          </cell>
        </row>
        <row r="31">
          <cell r="C31">
            <v>156.05204163330666</v>
          </cell>
          <cell r="E31">
            <v>62.45</v>
          </cell>
          <cell r="I31">
            <v>156</v>
          </cell>
        </row>
        <row r="32">
          <cell r="C32">
            <v>1259.4495725042125</v>
          </cell>
          <cell r="E32">
            <v>99.92</v>
          </cell>
          <cell r="I32">
            <v>1176</v>
          </cell>
        </row>
        <row r="33">
          <cell r="C33">
            <v>0</v>
          </cell>
          <cell r="E33">
            <v>187.35</v>
          </cell>
          <cell r="I33">
            <v>0</v>
          </cell>
        </row>
        <row r="34">
          <cell r="C34">
            <v>0</v>
          </cell>
          <cell r="E34">
            <v>312.25</v>
          </cell>
          <cell r="I34">
            <v>0</v>
          </cell>
        </row>
        <row r="35">
          <cell r="C35">
            <v>36</v>
          </cell>
          <cell r="E35">
            <v>624.5</v>
          </cell>
          <cell r="I35">
            <v>36</v>
          </cell>
        </row>
        <row r="36">
          <cell r="C36">
            <v>31.999998488028272</v>
          </cell>
          <cell r="E36">
            <v>999.2</v>
          </cell>
          <cell r="I36">
            <v>12</v>
          </cell>
        </row>
        <row r="38">
          <cell r="C38">
            <v>1391366.4432395762</v>
          </cell>
          <cell r="I38">
            <v>1400524</v>
          </cell>
        </row>
        <row r="42">
          <cell r="C42">
            <v>5731694.4440000001</v>
          </cell>
          <cell r="E42">
            <v>5.3003999999999998</v>
          </cell>
          <cell r="I42">
            <v>5300511</v>
          </cell>
        </row>
        <row r="43">
          <cell r="C43">
            <v>0</v>
          </cell>
          <cell r="I43">
            <v>0</v>
          </cell>
        </row>
        <row r="44">
          <cell r="C44">
            <v>0</v>
          </cell>
          <cell r="I44">
            <v>0</v>
          </cell>
        </row>
        <row r="45">
          <cell r="C45">
            <v>0</v>
          </cell>
          <cell r="I45">
            <v>0</v>
          </cell>
        </row>
        <row r="46">
          <cell r="C46">
            <v>0</v>
          </cell>
          <cell r="I46">
            <v>0</v>
          </cell>
        </row>
        <row r="47">
          <cell r="C47">
            <v>0</v>
          </cell>
          <cell r="I47">
            <v>0</v>
          </cell>
        </row>
        <row r="48">
          <cell r="C48">
            <v>30375.671999999904</v>
          </cell>
          <cell r="G48">
            <v>-124165.60642608817</v>
          </cell>
          <cell r="I48">
            <v>0</v>
          </cell>
          <cell r="M48">
            <v>0</v>
          </cell>
        </row>
        <row r="49">
          <cell r="C49">
            <v>5762070.1160000004</v>
          </cell>
          <cell r="I49">
            <v>5300511</v>
          </cell>
        </row>
        <row r="63">
          <cell r="C63">
            <v>54822.824504633907</v>
          </cell>
          <cell r="E63">
            <v>12.49</v>
          </cell>
          <cell r="I63">
            <v>55013</v>
          </cell>
        </row>
        <row r="64">
          <cell r="C64">
            <v>11.361792956243329</v>
          </cell>
          <cell r="E64">
            <v>18.739999999999998</v>
          </cell>
          <cell r="I64">
            <v>12</v>
          </cell>
        </row>
        <row r="65">
          <cell r="C65">
            <v>30530.478947175696</v>
          </cell>
          <cell r="E65">
            <v>31.23</v>
          </cell>
          <cell r="I65">
            <v>28522</v>
          </cell>
        </row>
        <row r="66">
          <cell r="C66">
            <v>2035.0587670136108</v>
          </cell>
          <cell r="E66">
            <v>62.45</v>
          </cell>
          <cell r="I66">
            <v>2046</v>
          </cell>
        </row>
        <row r="67">
          <cell r="C67">
            <v>20452.626455711445</v>
          </cell>
          <cell r="E67">
            <v>99.92</v>
          </cell>
          <cell r="I67">
            <v>22447</v>
          </cell>
        </row>
        <row r="68">
          <cell r="C68">
            <v>16</v>
          </cell>
          <cell r="E68">
            <v>187.35</v>
          </cell>
          <cell r="I68">
            <v>24</v>
          </cell>
        </row>
        <row r="69">
          <cell r="C69">
            <v>370.39727782225782</v>
          </cell>
          <cell r="E69">
            <v>312.25</v>
          </cell>
          <cell r="I69">
            <v>372</v>
          </cell>
        </row>
        <row r="70">
          <cell r="C70">
            <v>152.95341873498799</v>
          </cell>
          <cell r="E70">
            <v>624.5</v>
          </cell>
          <cell r="I70">
            <v>156</v>
          </cell>
        </row>
        <row r="71">
          <cell r="C71">
            <v>109.00000151197173</v>
          </cell>
          <cell r="E71">
            <v>999.2</v>
          </cell>
          <cell r="I71">
            <v>132</v>
          </cell>
        </row>
        <row r="73">
          <cell r="C73">
            <v>108500.70116556012</v>
          </cell>
          <cell r="I73">
            <v>108724</v>
          </cell>
        </row>
        <row r="77">
          <cell r="C77">
            <v>3712689.4809999997</v>
          </cell>
          <cell r="E77">
            <v>4.8280000000000003</v>
          </cell>
          <cell r="I77">
            <v>3349415</v>
          </cell>
        </row>
        <row r="78">
          <cell r="C78">
            <v>0</v>
          </cell>
          <cell r="I78">
            <v>0</v>
          </cell>
        </row>
        <row r="79">
          <cell r="C79">
            <v>0</v>
          </cell>
          <cell r="I79">
            <v>0</v>
          </cell>
        </row>
        <row r="80">
          <cell r="C80">
            <v>0</v>
          </cell>
          <cell r="I80">
            <v>0</v>
          </cell>
        </row>
        <row r="81">
          <cell r="C81">
            <v>0</v>
          </cell>
          <cell r="I81">
            <v>0</v>
          </cell>
        </row>
        <row r="82">
          <cell r="C82">
            <v>0</v>
          </cell>
          <cell r="I82">
            <v>0</v>
          </cell>
        </row>
        <row r="83">
          <cell r="C83">
            <v>13847.786999999949</v>
          </cell>
          <cell r="G83">
            <v>283783</v>
          </cell>
          <cell r="I83">
            <v>0</v>
          </cell>
          <cell r="M83">
            <v>0</v>
          </cell>
        </row>
        <row r="84">
          <cell r="C84">
            <v>3726537.2679999997</v>
          </cell>
          <cell r="I84">
            <v>3349415</v>
          </cell>
        </row>
        <row r="98">
          <cell r="C98">
            <v>70.164131305044037</v>
          </cell>
          <cell r="E98">
            <v>12.49</v>
          </cell>
          <cell r="I98">
            <v>72</v>
          </cell>
        </row>
        <row r="99">
          <cell r="C99">
            <v>0</v>
          </cell>
          <cell r="E99">
            <v>18.739999999999998</v>
          </cell>
          <cell r="I99">
            <v>0</v>
          </cell>
        </row>
        <row r="100">
          <cell r="C100">
            <v>24</v>
          </cell>
          <cell r="E100">
            <v>31.23</v>
          </cell>
          <cell r="I100">
            <v>24</v>
          </cell>
        </row>
        <row r="101">
          <cell r="C101">
            <v>24</v>
          </cell>
          <cell r="E101">
            <v>62.45</v>
          </cell>
          <cell r="I101">
            <v>24</v>
          </cell>
        </row>
        <row r="102">
          <cell r="C102">
            <v>289.93975180144116</v>
          </cell>
          <cell r="E102">
            <v>99.92</v>
          </cell>
          <cell r="I102">
            <v>296</v>
          </cell>
        </row>
        <row r="103">
          <cell r="C103">
            <v>0</v>
          </cell>
          <cell r="E103">
            <v>187.35</v>
          </cell>
          <cell r="I103">
            <v>0</v>
          </cell>
        </row>
        <row r="104">
          <cell r="C104">
            <v>126</v>
          </cell>
          <cell r="E104">
            <v>312.25</v>
          </cell>
          <cell r="I104">
            <v>120</v>
          </cell>
        </row>
        <row r="105">
          <cell r="C105">
            <v>95.879455564451561</v>
          </cell>
          <cell r="E105">
            <v>624.5</v>
          </cell>
          <cell r="I105">
            <v>96</v>
          </cell>
        </row>
        <row r="106">
          <cell r="C106">
            <v>0</v>
          </cell>
          <cell r="E106">
            <v>999.2</v>
          </cell>
          <cell r="I106">
            <v>0</v>
          </cell>
        </row>
        <row r="108">
          <cell r="C108">
            <v>629.98333867093675</v>
          </cell>
          <cell r="I108">
            <v>632</v>
          </cell>
        </row>
        <row r="112">
          <cell r="C112">
            <v>617787.86100000003</v>
          </cell>
          <cell r="E112">
            <v>3.8946700000000001</v>
          </cell>
          <cell r="I112">
            <v>619086</v>
          </cell>
        </row>
        <row r="113">
          <cell r="C113">
            <v>0</v>
          </cell>
          <cell r="I113">
            <v>0</v>
          </cell>
        </row>
        <row r="114">
          <cell r="C114">
            <v>0</v>
          </cell>
          <cell r="I114">
            <v>0</v>
          </cell>
        </row>
        <row r="115">
          <cell r="C115">
            <v>0</v>
          </cell>
          <cell r="I115">
            <v>0</v>
          </cell>
        </row>
        <row r="116">
          <cell r="C116">
            <v>0</v>
          </cell>
          <cell r="I116">
            <v>0</v>
          </cell>
        </row>
        <row r="117">
          <cell r="C117">
            <v>0</v>
          </cell>
          <cell r="I117">
            <v>0</v>
          </cell>
        </row>
        <row r="118">
          <cell r="C118">
            <v>507.14400000000023</v>
          </cell>
          <cell r="G118">
            <v>111291</v>
          </cell>
          <cell r="I118">
            <v>0</v>
          </cell>
          <cell r="M118">
            <v>0</v>
          </cell>
        </row>
        <row r="119">
          <cell r="C119">
            <v>618295.005</v>
          </cell>
          <cell r="I119">
            <v>619086</v>
          </cell>
        </row>
        <row r="133">
          <cell r="C133">
            <v>1677.5252201761409</v>
          </cell>
          <cell r="E133">
            <v>12.49</v>
          </cell>
          <cell r="I133">
            <v>1672</v>
          </cell>
        </row>
        <row r="134">
          <cell r="C134">
            <v>0</v>
          </cell>
          <cell r="E134">
            <v>18.739999999999998</v>
          </cell>
          <cell r="I134">
            <v>0</v>
          </cell>
        </row>
        <row r="135">
          <cell r="C135">
            <v>2062.8408581492158</v>
          </cell>
          <cell r="E135">
            <v>31.23</v>
          </cell>
          <cell r="I135">
            <v>2056</v>
          </cell>
        </row>
        <row r="136">
          <cell r="C136">
            <v>340.3287429943955</v>
          </cell>
          <cell r="E136">
            <v>62.45</v>
          </cell>
          <cell r="I136">
            <v>336</v>
          </cell>
        </row>
        <row r="137">
          <cell r="C137">
            <v>4426.9592674139312</v>
          </cell>
          <cell r="E137">
            <v>99.92</v>
          </cell>
          <cell r="I137">
            <v>4384</v>
          </cell>
        </row>
        <row r="138">
          <cell r="C138">
            <v>12</v>
          </cell>
          <cell r="E138">
            <v>187.35</v>
          </cell>
          <cell r="I138">
            <v>12</v>
          </cell>
        </row>
        <row r="139">
          <cell r="C139">
            <v>505.49316253002405</v>
          </cell>
          <cell r="E139">
            <v>312.25</v>
          </cell>
          <cell r="I139">
            <v>504</v>
          </cell>
        </row>
        <row r="140">
          <cell r="C140">
            <v>157</v>
          </cell>
          <cell r="E140">
            <v>624.5</v>
          </cell>
          <cell r="I140">
            <v>156</v>
          </cell>
        </row>
        <row r="141">
          <cell r="C141">
            <v>24</v>
          </cell>
          <cell r="E141">
            <v>999.2</v>
          </cell>
          <cell r="I141">
            <v>24</v>
          </cell>
        </row>
        <row r="143">
          <cell r="C143">
            <v>9206.1472512637065</v>
          </cell>
          <cell r="I143">
            <v>9144</v>
          </cell>
        </row>
        <row r="147">
          <cell r="C147">
            <v>1255294.24</v>
          </cell>
          <cell r="E147">
            <v>4.2451999999999996</v>
          </cell>
          <cell r="I147">
            <v>1196002</v>
          </cell>
        </row>
        <row r="148">
          <cell r="C148">
            <v>0</v>
          </cell>
          <cell r="I148">
            <v>0</v>
          </cell>
        </row>
        <row r="149">
          <cell r="C149">
            <v>0</v>
          </cell>
          <cell r="I149">
            <v>0</v>
          </cell>
        </row>
        <row r="150">
          <cell r="C150">
            <v>0</v>
          </cell>
          <cell r="I150">
            <v>0</v>
          </cell>
        </row>
        <row r="151">
          <cell r="C151">
            <v>0</v>
          </cell>
          <cell r="I151">
            <v>0</v>
          </cell>
        </row>
        <row r="152">
          <cell r="C152">
            <v>0</v>
          </cell>
          <cell r="I152">
            <v>0</v>
          </cell>
        </row>
        <row r="153">
          <cell r="C153">
            <v>16390.92399999997</v>
          </cell>
          <cell r="G153">
            <v>-37904.787647999125</v>
          </cell>
          <cell r="I153">
            <v>0</v>
          </cell>
          <cell r="M153">
            <v>0</v>
          </cell>
        </row>
        <row r="154">
          <cell r="C154">
            <v>1271685.1639999999</v>
          </cell>
          <cell r="I154">
            <v>1196002</v>
          </cell>
        </row>
        <row r="168">
          <cell r="C168">
            <v>0</v>
          </cell>
          <cell r="E168">
            <v>12.49</v>
          </cell>
          <cell r="I168">
            <v>0</v>
          </cell>
        </row>
        <row r="169">
          <cell r="C169">
            <v>0</v>
          </cell>
          <cell r="E169">
            <v>18.739999999999998</v>
          </cell>
          <cell r="I169">
            <v>0</v>
          </cell>
        </row>
        <row r="170">
          <cell r="C170">
            <v>0</v>
          </cell>
          <cell r="E170">
            <v>31.23</v>
          </cell>
          <cell r="I170">
            <v>0</v>
          </cell>
        </row>
        <row r="171">
          <cell r="C171">
            <v>48</v>
          </cell>
          <cell r="E171">
            <v>62.45</v>
          </cell>
          <cell r="I171">
            <v>48</v>
          </cell>
        </row>
        <row r="172">
          <cell r="C172">
            <v>92.789031224979979</v>
          </cell>
          <cell r="E172">
            <v>99.92</v>
          </cell>
          <cell r="I172">
            <v>96</v>
          </cell>
        </row>
        <row r="173">
          <cell r="C173">
            <v>0</v>
          </cell>
          <cell r="E173">
            <v>187.35</v>
          </cell>
          <cell r="I173">
            <v>0</v>
          </cell>
        </row>
        <row r="174">
          <cell r="C174">
            <v>83.273979183346682</v>
          </cell>
          <cell r="E174">
            <v>312.25</v>
          </cell>
          <cell r="I174">
            <v>84</v>
          </cell>
        </row>
        <row r="175">
          <cell r="C175">
            <v>59.16986389111289</v>
          </cell>
          <cell r="E175">
            <v>624.5</v>
          </cell>
          <cell r="I175">
            <v>60</v>
          </cell>
        </row>
        <row r="176">
          <cell r="C176">
            <v>0</v>
          </cell>
          <cell r="E176">
            <v>999.2</v>
          </cell>
          <cell r="I176">
            <v>0</v>
          </cell>
        </row>
        <row r="178">
          <cell r="C178">
            <v>283.23287429943952</v>
          </cell>
        </row>
        <row r="182">
          <cell r="C182">
            <v>433178.33600000001</v>
          </cell>
          <cell r="E182">
            <v>4.2092999999999998</v>
          </cell>
          <cell r="I182">
            <v>403500</v>
          </cell>
        </row>
        <row r="183">
          <cell r="C183">
            <v>0</v>
          </cell>
          <cell r="I183">
            <v>0</v>
          </cell>
        </row>
        <row r="184">
          <cell r="C184">
            <v>0</v>
          </cell>
          <cell r="I184">
            <v>0</v>
          </cell>
        </row>
        <row r="185">
          <cell r="C185">
            <v>0</v>
          </cell>
          <cell r="I185">
            <v>0</v>
          </cell>
        </row>
        <row r="186">
          <cell r="C186">
            <v>0</v>
          </cell>
          <cell r="I186">
            <v>0</v>
          </cell>
        </row>
        <row r="187">
          <cell r="C187">
            <v>0</v>
          </cell>
          <cell r="I187">
            <v>0</v>
          </cell>
        </row>
        <row r="188">
          <cell r="C188">
            <v>-647.33199999999488</v>
          </cell>
          <cell r="G188">
            <v>26567.710275200148</v>
          </cell>
          <cell r="I188">
            <v>0</v>
          </cell>
          <cell r="M188">
            <v>0</v>
          </cell>
        </row>
        <row r="189">
          <cell r="C189">
            <v>432531.00400000002</v>
          </cell>
        </row>
        <row r="204">
          <cell r="C204">
            <v>13879.401908831796</v>
          </cell>
          <cell r="E204">
            <v>79.77</v>
          </cell>
          <cell r="I204">
            <v>13620</v>
          </cell>
        </row>
        <row r="205">
          <cell r="C205">
            <v>765.0190582959641</v>
          </cell>
          <cell r="E205">
            <v>8.92</v>
          </cell>
          <cell r="I205">
            <v>828</v>
          </cell>
        </row>
        <row r="206">
          <cell r="C206">
            <v>5036.8401114206135</v>
          </cell>
          <cell r="E206">
            <v>35.9</v>
          </cell>
          <cell r="I206">
            <v>5040</v>
          </cell>
        </row>
        <row r="207">
          <cell r="C207">
            <v>10988.640376517214</v>
          </cell>
          <cell r="E207">
            <v>80.739999999999995</v>
          </cell>
          <cell r="I207">
            <v>10944</v>
          </cell>
        </row>
        <row r="208">
          <cell r="C208">
            <v>3418.0108680507178</v>
          </cell>
          <cell r="E208">
            <v>143.54</v>
          </cell>
          <cell r="I208">
            <v>3420</v>
          </cell>
        </row>
        <row r="209">
          <cell r="C209">
            <v>108</v>
          </cell>
          <cell r="E209">
            <v>224.34</v>
          </cell>
          <cell r="I209">
            <v>108</v>
          </cell>
        </row>
        <row r="210">
          <cell r="C210">
            <v>60</v>
          </cell>
          <cell r="E210">
            <v>323.5</v>
          </cell>
          <cell r="I210">
            <v>60</v>
          </cell>
        </row>
        <row r="211">
          <cell r="C211">
            <v>0</v>
          </cell>
          <cell r="E211">
            <v>439.89</v>
          </cell>
          <cell r="I211">
            <v>0</v>
          </cell>
        </row>
        <row r="212">
          <cell r="C212">
            <v>12</v>
          </cell>
          <cell r="E212">
            <v>574.41999999999996</v>
          </cell>
          <cell r="I212">
            <v>12</v>
          </cell>
        </row>
        <row r="213">
          <cell r="C213">
            <v>0</v>
          </cell>
          <cell r="I213">
            <v>0</v>
          </cell>
        </row>
        <row r="214">
          <cell r="C214">
            <v>34267.912323116303</v>
          </cell>
          <cell r="I214">
            <v>34032</v>
          </cell>
        </row>
        <row r="215">
          <cell r="C215">
            <v>0</v>
          </cell>
          <cell r="I215">
            <v>0</v>
          </cell>
        </row>
        <row r="216">
          <cell r="C216" t="str">
            <v>Sales</v>
          </cell>
          <cell r="I216" t="str">
            <v>Sales</v>
          </cell>
        </row>
        <row r="217">
          <cell r="C217">
            <v>2571.029</v>
          </cell>
          <cell r="I217">
            <v>0</v>
          </cell>
        </row>
        <row r="223">
          <cell r="C223">
            <v>679.18000000000006</v>
          </cell>
        </row>
        <row r="224">
          <cell r="G224">
            <v>12413</v>
          </cell>
        </row>
        <row r="233">
          <cell r="C233">
            <v>89711</v>
          </cell>
          <cell r="E233">
            <v>41.6</v>
          </cell>
          <cell r="I233">
            <v>89916</v>
          </cell>
        </row>
        <row r="238">
          <cell r="G238">
            <v>-9192.8922795124636</v>
          </cell>
          <cell r="M238">
            <v>0</v>
          </cell>
        </row>
        <row r="250">
          <cell r="C250">
            <v>0</v>
          </cell>
          <cell r="I250">
            <v>0</v>
          </cell>
        </row>
        <row r="251">
          <cell r="C251">
            <v>0</v>
          </cell>
          <cell r="I251">
            <v>0</v>
          </cell>
        </row>
        <row r="252">
          <cell r="C252">
            <v>0</v>
          </cell>
          <cell r="I252">
            <v>0</v>
          </cell>
        </row>
        <row r="253">
          <cell r="C253">
            <v>0</v>
          </cell>
          <cell r="I253">
            <v>0</v>
          </cell>
        </row>
        <row r="254">
          <cell r="C254">
            <v>0</v>
          </cell>
          <cell r="I254">
            <v>0</v>
          </cell>
        </row>
        <row r="255">
          <cell r="C255">
            <v>317.42487323191881</v>
          </cell>
          <cell r="I255">
            <v>346.88230584467561</v>
          </cell>
        </row>
        <row r="256">
          <cell r="C256">
            <v>0</v>
          </cell>
          <cell r="I256">
            <v>0</v>
          </cell>
        </row>
        <row r="257">
          <cell r="C257">
            <v>0</v>
          </cell>
          <cell r="I257">
            <v>0</v>
          </cell>
        </row>
        <row r="258">
          <cell r="C258">
            <v>0</v>
          </cell>
          <cell r="I258">
            <v>0</v>
          </cell>
          <cell r="M258">
            <v>0</v>
          </cell>
        </row>
        <row r="264">
          <cell r="C264">
            <v>20772.040037037037</v>
          </cell>
          <cell r="I264">
            <v>4368</v>
          </cell>
        </row>
        <row r="265">
          <cell r="C265">
            <v>0</v>
          </cell>
          <cell r="I265">
            <v>0</v>
          </cell>
        </row>
        <row r="266">
          <cell r="C266">
            <v>0</v>
          </cell>
          <cell r="I266">
            <v>0</v>
          </cell>
        </row>
        <row r="267">
          <cell r="C267">
            <v>0</v>
          </cell>
          <cell r="I267">
            <v>0</v>
          </cell>
        </row>
        <row r="268">
          <cell r="C268">
            <v>0</v>
          </cell>
          <cell r="I268">
            <v>0</v>
          </cell>
        </row>
        <row r="269">
          <cell r="C269">
            <v>0</v>
          </cell>
          <cell r="I269">
            <v>0</v>
          </cell>
        </row>
        <row r="270">
          <cell r="C270">
            <v>-8715.9082592592604</v>
          </cell>
          <cell r="G270">
            <v>27906</v>
          </cell>
          <cell r="I270">
            <v>0</v>
          </cell>
        </row>
      </sheetData>
      <sheetData sheetId="2">
        <row r="218">
          <cell r="C218">
            <v>2571.029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workpaper"/>
      <sheetName val="Proposed Rates"/>
      <sheetName val="2015 "/>
      <sheetName val="2016 &amp; 2017 - Plan"/>
      <sheetName val="KY 2015-17 Sewer and Other Plan"/>
    </sheetNames>
    <sheetDataSet>
      <sheetData sheetId="0"/>
      <sheetData sheetId="1">
        <row r="11">
          <cell r="C11">
            <v>0</v>
          </cell>
          <cell r="G11">
            <v>0</v>
          </cell>
        </row>
        <row r="12">
          <cell r="C12">
            <v>852640</v>
          </cell>
          <cell r="G12">
            <v>852640</v>
          </cell>
        </row>
        <row r="13">
          <cell r="C13">
            <v>69684</v>
          </cell>
          <cell r="G13">
            <v>69684</v>
          </cell>
        </row>
        <row r="14">
          <cell r="C14">
            <v>65400</v>
          </cell>
          <cell r="G14">
            <v>65400</v>
          </cell>
        </row>
        <row r="15">
          <cell r="C15">
            <v>0</v>
          </cell>
          <cell r="G15">
            <v>0</v>
          </cell>
        </row>
        <row r="16">
          <cell r="C16">
            <v>32142</v>
          </cell>
          <cell r="G16">
            <v>32142</v>
          </cell>
        </row>
        <row r="17">
          <cell r="C17">
            <v>743543</v>
          </cell>
          <cell r="G17">
            <v>743543</v>
          </cell>
        </row>
        <row r="18">
          <cell r="C18">
            <v>52634</v>
          </cell>
          <cell r="G18">
            <v>52634</v>
          </cell>
        </row>
        <row r="19">
          <cell r="C19">
            <v>299605</v>
          </cell>
          <cell r="G19">
            <v>299605</v>
          </cell>
        </row>
        <row r="20">
          <cell r="C20">
            <v>59000</v>
          </cell>
          <cell r="G20">
            <v>59000</v>
          </cell>
        </row>
        <row r="21">
          <cell r="C21">
            <v>0</v>
          </cell>
          <cell r="G21">
            <v>0</v>
          </cell>
        </row>
        <row r="29">
          <cell r="C29">
            <v>0</v>
          </cell>
          <cell r="G29">
            <v>0</v>
          </cell>
        </row>
        <row r="30">
          <cell r="C30">
            <v>936548.21000000008</v>
          </cell>
          <cell r="G30">
            <v>936548.21000000008</v>
          </cell>
        </row>
        <row r="31">
          <cell r="C31">
            <v>75360.52</v>
          </cell>
          <cell r="G31">
            <v>75360.52</v>
          </cell>
        </row>
        <row r="32">
          <cell r="C32">
            <v>50904.75</v>
          </cell>
          <cell r="G32">
            <v>50904.75</v>
          </cell>
        </row>
        <row r="33">
          <cell r="C33">
            <v>0</v>
          </cell>
          <cell r="G33">
            <v>0</v>
          </cell>
        </row>
        <row r="34">
          <cell r="C34">
            <v>30740.888888888894</v>
          </cell>
          <cell r="G34">
            <v>30740.888888888894</v>
          </cell>
        </row>
        <row r="35">
          <cell r="C35">
            <v>754380.96999999986</v>
          </cell>
          <cell r="G35">
            <v>754380.96999999986</v>
          </cell>
        </row>
        <row r="36">
          <cell r="C36">
            <v>51945.649999999987</v>
          </cell>
          <cell r="G36">
            <v>51945.649999999987</v>
          </cell>
        </row>
        <row r="37">
          <cell r="C37">
            <v>336164.16000000003</v>
          </cell>
          <cell r="G37">
            <v>336164.16000000003</v>
          </cell>
        </row>
        <row r="38">
          <cell r="C38">
            <v>37772.630000000005</v>
          </cell>
          <cell r="G38">
            <v>37772.630000000005</v>
          </cell>
        </row>
        <row r="39">
          <cell r="C39">
            <v>0</v>
          </cell>
          <cell r="G39">
            <v>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Operating Revenues"/>
      <sheetName val="Other Revenues"/>
      <sheetName val="Proposed Rates"/>
      <sheetName val="Prop Rates Other Revenues"/>
      <sheetName val="Notes"/>
    </sheetNames>
    <sheetDataSet>
      <sheetData sheetId="0"/>
      <sheetData sheetId="1"/>
      <sheetData sheetId="2">
        <row r="44">
          <cell r="K44">
            <v>85529451</v>
          </cell>
          <cell r="O44">
            <v>100993851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Exhibit 3"/>
    </sheetNames>
    <sheetDataSet>
      <sheetData sheetId="0">
        <row r="14">
          <cell r="K14">
            <v>14.85</v>
          </cell>
          <cell r="L14">
            <v>14.85</v>
          </cell>
          <cell r="M14">
            <v>14.85</v>
          </cell>
          <cell r="N14">
            <v>14.85</v>
          </cell>
          <cell r="O14">
            <v>14.85</v>
          </cell>
        </row>
        <row r="15">
          <cell r="K15">
            <v>22.3</v>
          </cell>
          <cell r="L15">
            <v>22.3</v>
          </cell>
          <cell r="M15">
            <v>22.3</v>
          </cell>
          <cell r="N15">
            <v>22.3</v>
          </cell>
          <cell r="O15">
            <v>22.3</v>
          </cell>
        </row>
        <row r="16">
          <cell r="K16">
            <v>37.1</v>
          </cell>
          <cell r="L16">
            <v>37.1</v>
          </cell>
          <cell r="M16">
            <v>37.1</v>
          </cell>
          <cell r="N16">
            <v>37.1</v>
          </cell>
          <cell r="O16">
            <v>37.1</v>
          </cell>
        </row>
        <row r="17">
          <cell r="K17">
            <v>74.3</v>
          </cell>
          <cell r="L17">
            <v>74.3</v>
          </cell>
          <cell r="M17">
            <v>74.3</v>
          </cell>
          <cell r="N17">
            <v>74.3</v>
          </cell>
          <cell r="O17">
            <v>74.3</v>
          </cell>
        </row>
        <row r="18">
          <cell r="K18">
            <v>118.8</v>
          </cell>
          <cell r="L18">
            <v>118.8</v>
          </cell>
          <cell r="M18">
            <v>118.8</v>
          </cell>
          <cell r="N18">
            <v>118.8</v>
          </cell>
          <cell r="O18">
            <v>118.8</v>
          </cell>
        </row>
        <row r="19">
          <cell r="K19">
            <v>222.8</v>
          </cell>
          <cell r="L19">
            <v>222.8</v>
          </cell>
          <cell r="M19">
            <v>222.8</v>
          </cell>
          <cell r="N19">
            <v>222.8</v>
          </cell>
          <cell r="O19">
            <v>222.8</v>
          </cell>
        </row>
        <row r="20">
          <cell r="K20">
            <v>371.3</v>
          </cell>
          <cell r="L20">
            <v>371.3</v>
          </cell>
          <cell r="M20">
            <v>371.3</v>
          </cell>
          <cell r="N20">
            <v>371.3</v>
          </cell>
          <cell r="O20">
            <v>371.3</v>
          </cell>
        </row>
        <row r="21">
          <cell r="K21">
            <v>742.5</v>
          </cell>
          <cell r="L21">
            <v>742.5</v>
          </cell>
          <cell r="M21">
            <v>742.5</v>
          </cell>
          <cell r="N21">
            <v>742.5</v>
          </cell>
          <cell r="O21">
            <v>742.5</v>
          </cell>
        </row>
        <row r="22">
          <cell r="K22">
            <v>1188</v>
          </cell>
          <cell r="L22">
            <v>1188</v>
          </cell>
          <cell r="M22">
            <v>1188</v>
          </cell>
          <cell r="N22">
            <v>1188</v>
          </cell>
          <cell r="O22">
            <v>1188</v>
          </cell>
        </row>
        <row r="28">
          <cell r="K28">
            <v>6.4160000000000004</v>
          </cell>
          <cell r="L28">
            <v>5.585</v>
          </cell>
          <cell r="M28">
            <v>4.9219999999999997</v>
          </cell>
          <cell r="N28">
            <v>5.1950000000000003</v>
          </cell>
          <cell r="O28">
            <v>4.6349999999999998</v>
          </cell>
        </row>
        <row r="38">
          <cell r="L38">
            <v>9.3699999999999992</v>
          </cell>
        </row>
        <row r="39">
          <cell r="L39">
            <v>37.700000000000003</v>
          </cell>
        </row>
        <row r="40">
          <cell r="L40">
            <v>84.78</v>
          </cell>
        </row>
        <row r="41">
          <cell r="L41">
            <v>150.72</v>
          </cell>
        </row>
        <row r="42">
          <cell r="L42">
            <v>235.56</v>
          </cell>
        </row>
        <row r="43">
          <cell r="L43">
            <v>339.68</v>
          </cell>
        </row>
        <row r="44">
          <cell r="L44">
            <v>461.88</v>
          </cell>
        </row>
        <row r="45">
          <cell r="L45">
            <v>603.14</v>
          </cell>
        </row>
        <row r="46">
          <cell r="L46">
            <v>79.77</v>
          </cell>
        </row>
        <row r="48">
          <cell r="L48">
            <v>48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148"/>
  <sheetViews>
    <sheetView tabSelected="1" zoomScale="80" zoomScaleNormal="80" workbookViewId="0">
      <selection activeCell="A78" sqref="A78"/>
    </sheetView>
  </sheetViews>
  <sheetFormatPr defaultRowHeight="12.75" x14ac:dyDescent="0.2"/>
  <cols>
    <col min="1" max="1" width="23.85546875" customWidth="1"/>
    <col min="2" max="2" width="14.140625" customWidth="1"/>
    <col min="3" max="4" width="15.42578125" customWidth="1"/>
    <col min="5" max="6" width="14.85546875" customWidth="1"/>
    <col min="7" max="7" width="20.140625" style="1" customWidth="1"/>
    <col min="8" max="8" width="15" style="1" customWidth="1"/>
    <col min="9" max="9" width="14.140625" style="1" customWidth="1"/>
    <col min="10" max="10" width="19.85546875" style="1" customWidth="1"/>
    <col min="11" max="12" width="12.7109375" style="1" customWidth="1"/>
    <col min="13" max="13" width="13" style="1" customWidth="1"/>
    <col min="14" max="16" width="12.7109375" style="1" customWidth="1"/>
    <col min="17" max="17" width="19.42578125" style="1" customWidth="1"/>
    <col min="18" max="18" width="12.7109375" style="1" customWidth="1"/>
    <col min="19" max="61" width="12.7109375" customWidth="1"/>
  </cols>
  <sheetData>
    <row r="1" spans="1:25" ht="15" x14ac:dyDescent="0.25">
      <c r="A1" s="268" t="str">
        <f>'Link in'!A80</f>
        <v>Kentucky American Water Company</v>
      </c>
      <c r="B1" s="122"/>
      <c r="C1" s="100"/>
      <c r="D1" s="100"/>
      <c r="E1" s="168"/>
      <c r="F1" s="168"/>
      <c r="G1" s="177"/>
      <c r="H1" s="177"/>
      <c r="I1" s="177"/>
      <c r="J1" s="177"/>
      <c r="K1" s="177"/>
      <c r="L1" s="177"/>
      <c r="M1" s="177"/>
      <c r="N1" s="177"/>
      <c r="O1" s="177"/>
    </row>
    <row r="2" spans="1:25" ht="15" x14ac:dyDescent="0.25">
      <c r="A2" s="268" t="s">
        <v>81</v>
      </c>
      <c r="B2" s="122"/>
      <c r="C2" s="100"/>
      <c r="D2" s="100"/>
      <c r="E2" s="168"/>
      <c r="F2" s="168"/>
      <c r="G2" s="177"/>
      <c r="H2" s="177"/>
      <c r="I2" s="177"/>
      <c r="J2" s="177"/>
      <c r="K2" s="177"/>
      <c r="L2" s="177"/>
      <c r="M2" s="177"/>
      <c r="N2" s="177"/>
      <c r="O2" s="177"/>
    </row>
    <row r="3" spans="1:25" ht="15" x14ac:dyDescent="0.25">
      <c r="A3" s="268" t="s">
        <v>199</v>
      </c>
      <c r="B3" s="122"/>
      <c r="C3" s="100"/>
      <c r="D3" s="100"/>
      <c r="E3" s="168"/>
      <c r="F3" s="168"/>
      <c r="G3" s="177"/>
      <c r="H3" s="177"/>
      <c r="I3" s="177"/>
      <c r="J3" s="177"/>
      <c r="K3" s="177"/>
      <c r="L3" s="177"/>
      <c r="M3" s="177"/>
      <c r="N3" s="177"/>
      <c r="O3" s="177"/>
    </row>
    <row r="4" spans="1:25" ht="15" x14ac:dyDescent="0.25">
      <c r="A4" s="168"/>
      <c r="B4" s="100"/>
      <c r="C4" s="100"/>
      <c r="D4" s="100"/>
      <c r="E4" s="168"/>
      <c r="F4" s="168"/>
      <c r="G4" s="177"/>
      <c r="H4" s="177"/>
      <c r="I4" s="177"/>
      <c r="J4" s="177"/>
      <c r="K4" s="177"/>
      <c r="L4" s="177"/>
      <c r="M4" s="177"/>
      <c r="N4" s="177"/>
      <c r="O4" s="177"/>
      <c r="P4" s="12"/>
    </row>
    <row r="5" spans="1:25" ht="15" x14ac:dyDescent="0.25">
      <c r="A5" s="168"/>
      <c r="B5" s="100"/>
      <c r="C5" s="100"/>
      <c r="D5" s="100"/>
      <c r="E5" s="100"/>
      <c r="F5" s="100"/>
      <c r="G5" s="177"/>
      <c r="H5" s="269"/>
      <c r="I5" s="270"/>
      <c r="J5" s="177"/>
      <c r="K5" s="177"/>
      <c r="L5" s="177"/>
      <c r="M5" s="177"/>
      <c r="N5" s="177"/>
      <c r="O5" s="177"/>
    </row>
    <row r="6" spans="1:25" ht="15" x14ac:dyDescent="0.25">
      <c r="A6" s="168"/>
      <c r="B6" s="100"/>
      <c r="C6" s="100"/>
      <c r="D6" s="100"/>
      <c r="E6" s="271">
        <f>D20-C20</f>
        <v>15464400</v>
      </c>
      <c r="F6" s="168"/>
      <c r="G6" s="177"/>
      <c r="H6" s="177"/>
      <c r="I6" s="177"/>
      <c r="J6" s="318"/>
      <c r="K6" s="318"/>
      <c r="L6" s="318"/>
      <c r="M6" s="318"/>
      <c r="N6" s="318"/>
      <c r="O6" s="318"/>
      <c r="P6" s="11"/>
      <c r="Q6" s="11"/>
      <c r="R6" s="11"/>
      <c r="S6" s="8"/>
      <c r="T6" s="8"/>
    </row>
    <row r="7" spans="1:25" ht="15" x14ac:dyDescent="0.25">
      <c r="A7" s="168"/>
      <c r="B7" s="100"/>
      <c r="C7" s="100"/>
      <c r="D7" s="100"/>
      <c r="E7" s="168"/>
      <c r="F7" s="168"/>
      <c r="G7" s="177"/>
      <c r="H7" s="177"/>
      <c r="I7" s="177"/>
      <c r="J7" s="272"/>
      <c r="K7" s="272"/>
      <c r="L7" s="272"/>
      <c r="M7" s="272"/>
      <c r="N7" s="272"/>
      <c r="O7" s="272"/>
      <c r="P7" s="11"/>
      <c r="Q7" s="11"/>
      <c r="R7" s="11"/>
      <c r="S7" s="8"/>
      <c r="T7" s="8"/>
    </row>
    <row r="8" spans="1:25" ht="15.75" thickBot="1" x14ac:dyDescent="0.3">
      <c r="A8" s="168"/>
      <c r="B8" s="320" t="s">
        <v>83</v>
      </c>
      <c r="C8" s="320"/>
      <c r="D8" s="320"/>
      <c r="E8" s="273"/>
      <c r="F8" s="320" t="s">
        <v>84</v>
      </c>
      <c r="G8" s="320"/>
      <c r="H8" s="320"/>
      <c r="I8" s="273"/>
      <c r="J8" s="86"/>
      <c r="K8" s="272"/>
      <c r="L8" s="316"/>
      <c r="M8" s="316"/>
      <c r="N8" s="272"/>
      <c r="O8" s="274"/>
      <c r="P8" s="14"/>
      <c r="Q8" s="11"/>
      <c r="R8" s="317"/>
      <c r="S8" s="317"/>
      <c r="T8" s="5"/>
      <c r="U8" s="14"/>
      <c r="V8" s="11"/>
      <c r="W8" s="5"/>
      <c r="X8" s="14"/>
      <c r="Y8" s="8"/>
    </row>
    <row r="9" spans="1:25" ht="15" x14ac:dyDescent="0.25">
      <c r="A9" s="168"/>
      <c r="B9" s="270" t="s">
        <v>139</v>
      </c>
      <c r="C9" s="270" t="s">
        <v>123</v>
      </c>
      <c r="D9" s="270" t="s">
        <v>123</v>
      </c>
      <c r="E9" s="111"/>
      <c r="F9" s="270" t="s">
        <v>97</v>
      </c>
      <c r="G9" s="270" t="s">
        <v>123</v>
      </c>
      <c r="H9" s="270" t="s">
        <v>123</v>
      </c>
      <c r="I9" s="111"/>
      <c r="J9" s="111"/>
      <c r="K9" s="235"/>
      <c r="L9" s="235"/>
      <c r="M9" s="235"/>
      <c r="N9" s="235"/>
      <c r="O9" s="235"/>
      <c r="P9" s="8"/>
      <c r="Q9" s="11"/>
      <c r="R9" s="11"/>
      <c r="S9" s="11"/>
      <c r="T9" s="8"/>
      <c r="U9" s="11"/>
      <c r="V9" s="1"/>
      <c r="W9" s="8"/>
      <c r="X9" s="8"/>
      <c r="Y9" s="8"/>
    </row>
    <row r="10" spans="1:25" ht="15.75" thickBot="1" x14ac:dyDescent="0.3">
      <c r="A10" s="275" t="s">
        <v>80</v>
      </c>
      <c r="B10" s="276" t="s">
        <v>115</v>
      </c>
      <c r="C10" s="276" t="s">
        <v>115</v>
      </c>
      <c r="D10" s="276" t="s">
        <v>116</v>
      </c>
      <c r="E10" s="113"/>
      <c r="F10" s="276" t="s">
        <v>115</v>
      </c>
      <c r="G10" s="276" t="s">
        <v>115</v>
      </c>
      <c r="H10" s="276" t="s">
        <v>116</v>
      </c>
      <c r="I10" s="111"/>
      <c r="J10" s="111"/>
      <c r="K10" s="111"/>
      <c r="L10" s="111"/>
      <c r="M10" s="111"/>
      <c r="N10" s="272"/>
      <c r="O10" s="111"/>
      <c r="P10" s="3"/>
      <c r="Q10" s="8"/>
      <c r="R10" s="3"/>
      <c r="S10" s="3"/>
      <c r="T10" s="8"/>
      <c r="U10" s="8"/>
      <c r="W10" s="8"/>
      <c r="X10" s="8"/>
      <c r="Y10" s="8"/>
    </row>
    <row r="11" spans="1:25" ht="15" x14ac:dyDescent="0.25">
      <c r="A11" s="168" t="s">
        <v>185</v>
      </c>
      <c r="B11" s="256">
        <f>'Sch M'!$G$38</f>
        <v>90183751.778888881</v>
      </c>
      <c r="C11" s="256">
        <f>'Sch M'!$Q$38</f>
        <v>85529451</v>
      </c>
      <c r="D11" s="256">
        <f>'Sch M'!$V$38</f>
        <v>100993851</v>
      </c>
      <c r="E11" s="203"/>
      <c r="F11" s="256">
        <f>'Sch M'!$G$22</f>
        <v>87909934</v>
      </c>
      <c r="G11" s="256">
        <f>'Sch M'!$Q$22</f>
        <v>83354803</v>
      </c>
      <c r="H11" s="256">
        <f>'Sch M'!$V$22</f>
        <v>98819203</v>
      </c>
      <c r="I11" s="86"/>
      <c r="J11" s="86"/>
      <c r="K11" s="111"/>
      <c r="L11" s="111"/>
      <c r="M11" s="111"/>
      <c r="N11" s="272"/>
      <c r="O11" s="111"/>
      <c r="P11" s="3"/>
      <c r="Q11" s="8"/>
      <c r="R11" s="3"/>
      <c r="S11" s="3"/>
      <c r="T11" s="8"/>
      <c r="U11" s="8"/>
    </row>
    <row r="12" spans="1:25" ht="15" x14ac:dyDescent="0.25">
      <c r="A12" s="168"/>
      <c r="B12" s="257"/>
      <c r="C12" s="257"/>
      <c r="D12" s="257"/>
      <c r="E12" s="168"/>
      <c r="F12" s="257"/>
      <c r="G12" s="257"/>
      <c r="H12" s="257"/>
      <c r="I12" s="86"/>
      <c r="J12" s="86"/>
      <c r="K12" s="161"/>
      <c r="L12" s="267"/>
      <c r="M12" s="267"/>
      <c r="N12" s="267"/>
      <c r="O12" s="267"/>
      <c r="P12" s="15"/>
      <c r="Q12" s="15"/>
      <c r="R12" s="15"/>
      <c r="S12" s="15"/>
      <c r="T12" s="8"/>
    </row>
    <row r="13" spans="1:25" ht="15" x14ac:dyDescent="0.25">
      <c r="A13" s="168"/>
      <c r="B13" s="257"/>
      <c r="C13" s="257"/>
      <c r="D13" s="257"/>
      <c r="E13" s="168"/>
      <c r="F13" s="257"/>
      <c r="G13" s="257"/>
      <c r="H13" s="257"/>
      <c r="I13" s="86"/>
      <c r="J13" s="86"/>
      <c r="K13" s="161"/>
      <c r="L13" s="267"/>
      <c r="M13" s="267"/>
      <c r="N13" s="267"/>
      <c r="O13" s="267"/>
      <c r="P13" s="15"/>
      <c r="Q13" s="15"/>
      <c r="R13" s="15"/>
      <c r="S13" s="15"/>
      <c r="T13" s="8"/>
    </row>
    <row r="14" spans="1:25" ht="15" x14ac:dyDescent="0.25">
      <c r="A14" s="168"/>
      <c r="B14" s="257"/>
      <c r="C14" s="257"/>
      <c r="D14" s="257"/>
      <c r="E14" s="168"/>
      <c r="F14" s="257"/>
      <c r="G14" s="257"/>
      <c r="H14" s="257"/>
      <c r="I14" s="86"/>
      <c r="J14" s="86"/>
      <c r="K14" s="161"/>
      <c r="L14" s="267"/>
      <c r="M14" s="267"/>
      <c r="N14" s="267"/>
      <c r="O14" s="267"/>
      <c r="P14" s="15"/>
      <c r="Q14" s="15"/>
      <c r="R14" s="15"/>
      <c r="S14" s="15"/>
      <c r="T14" s="8"/>
    </row>
    <row r="15" spans="1:25" ht="15" x14ac:dyDescent="0.25">
      <c r="A15" s="168"/>
      <c r="B15" s="257"/>
      <c r="C15" s="257"/>
      <c r="D15" s="257"/>
      <c r="E15" s="168"/>
      <c r="F15" s="257"/>
      <c r="G15" s="257"/>
      <c r="H15" s="257"/>
      <c r="I15" s="86"/>
      <c r="J15" s="86"/>
      <c r="K15" s="161"/>
      <c r="L15" s="267"/>
      <c r="M15" s="267"/>
      <c r="N15" s="267"/>
      <c r="O15" s="267"/>
      <c r="P15" s="15"/>
      <c r="Q15" s="15"/>
      <c r="R15" s="15"/>
      <c r="S15" s="15"/>
      <c r="T15" s="8"/>
    </row>
    <row r="16" spans="1:25" ht="15" x14ac:dyDescent="0.25">
      <c r="A16" s="168"/>
      <c r="B16" s="100"/>
      <c r="C16" s="100"/>
      <c r="D16" s="168"/>
      <c r="E16" s="168"/>
      <c r="F16" s="168"/>
      <c r="G16" s="168"/>
      <c r="H16" s="168"/>
      <c r="I16" s="86"/>
      <c r="J16" s="86"/>
      <c r="K16" s="161"/>
      <c r="L16" s="267"/>
      <c r="M16" s="267"/>
      <c r="N16" s="267"/>
      <c r="O16" s="267"/>
      <c r="P16" s="15"/>
      <c r="Q16" s="15"/>
      <c r="R16" s="15"/>
      <c r="S16" s="15"/>
      <c r="T16" s="8"/>
    </row>
    <row r="17" spans="1:22" ht="15" x14ac:dyDescent="0.25">
      <c r="A17" s="168"/>
      <c r="B17" s="100"/>
      <c r="C17" s="100"/>
      <c r="D17" s="168"/>
      <c r="E17" s="168"/>
      <c r="F17" s="168"/>
      <c r="G17" s="168"/>
      <c r="H17" s="168"/>
      <c r="I17" s="86"/>
      <c r="J17" s="86"/>
      <c r="K17" s="161"/>
      <c r="L17" s="267"/>
      <c r="M17" s="267"/>
      <c r="N17" s="267"/>
      <c r="O17" s="267"/>
      <c r="P17" s="15"/>
      <c r="Q17" s="15"/>
      <c r="R17" s="15"/>
      <c r="S17" s="15"/>
      <c r="T17" s="8"/>
    </row>
    <row r="18" spans="1:22" ht="15" x14ac:dyDescent="0.25">
      <c r="A18" s="168"/>
      <c r="B18" s="100"/>
      <c r="C18" s="100"/>
      <c r="D18" s="168"/>
      <c r="E18" s="168"/>
      <c r="F18" s="100"/>
      <c r="G18" s="177"/>
      <c r="H18" s="235"/>
      <c r="I18" s="86"/>
      <c r="J18" s="86"/>
      <c r="K18" s="235"/>
      <c r="L18" s="235"/>
      <c r="M18" s="235"/>
      <c r="N18" s="272"/>
      <c r="O18" s="272"/>
      <c r="P18" s="11"/>
      <c r="Q18" s="11"/>
      <c r="R18" s="11"/>
      <c r="S18" s="11"/>
      <c r="T18" s="8"/>
    </row>
    <row r="19" spans="1:22" ht="15" x14ac:dyDescent="0.25">
      <c r="A19" s="168"/>
      <c r="B19" s="100"/>
      <c r="C19" s="100"/>
      <c r="D19" s="168"/>
      <c r="E19" s="168"/>
      <c r="F19" s="100"/>
      <c r="G19" s="177"/>
      <c r="H19" s="235"/>
      <c r="I19" s="86"/>
      <c r="J19" s="86"/>
      <c r="K19" s="161"/>
      <c r="L19" s="267"/>
      <c r="M19" s="161"/>
      <c r="N19" s="272"/>
      <c r="O19" s="267"/>
      <c r="P19" s="16"/>
      <c r="Q19" s="2"/>
      <c r="R19" s="15"/>
      <c r="S19" s="16"/>
      <c r="T19" s="8"/>
    </row>
    <row r="20" spans="1:22" ht="15.75" thickBot="1" x14ac:dyDescent="0.3">
      <c r="A20" s="277" t="s">
        <v>1</v>
      </c>
      <c r="B20" s="278">
        <f>SUM(B11:B19)</f>
        <v>90183751.778888881</v>
      </c>
      <c r="C20" s="278">
        <f t="shared" ref="C20:D20" si="0">SUM(C11:C19)</f>
        <v>85529451</v>
      </c>
      <c r="D20" s="278">
        <f t="shared" si="0"/>
        <v>100993851</v>
      </c>
      <c r="E20" s="168"/>
      <c r="F20" s="278">
        <f t="shared" ref="F20:H20" si="1">SUM(F11:F19)</f>
        <v>87909934</v>
      </c>
      <c r="G20" s="278">
        <f t="shared" si="1"/>
        <v>83354803</v>
      </c>
      <c r="H20" s="278">
        <f t="shared" si="1"/>
        <v>98819203</v>
      </c>
      <c r="I20" s="86"/>
      <c r="J20" s="86"/>
      <c r="K20" s="86"/>
      <c r="L20" s="86"/>
      <c r="M20" s="86"/>
      <c r="N20" s="272"/>
      <c r="O20" s="86"/>
      <c r="P20" s="9"/>
      <c r="Q20" s="2"/>
      <c r="R20" s="9"/>
      <c r="S20" s="9"/>
      <c r="T20" s="8"/>
    </row>
    <row r="21" spans="1:22" ht="15.75" thickTop="1" x14ac:dyDescent="0.25">
      <c r="A21" s="168"/>
      <c r="B21" s="168"/>
      <c r="C21" s="168"/>
      <c r="D21" s="168"/>
      <c r="E21" s="168"/>
      <c r="F21" s="168"/>
      <c r="G21" s="177"/>
      <c r="H21" s="272"/>
      <c r="I21" s="272"/>
      <c r="J21" s="272"/>
      <c r="K21" s="272"/>
      <c r="L21" s="272"/>
      <c r="M21" s="272"/>
      <c r="N21" s="272"/>
      <c r="O21" s="272"/>
      <c r="P21" s="11"/>
      <c r="Q21" s="10"/>
      <c r="R21" s="11"/>
      <c r="S21" s="11"/>
      <c r="T21" s="8"/>
    </row>
    <row r="22" spans="1:22" ht="15" x14ac:dyDescent="0.25">
      <c r="A22" s="168"/>
      <c r="B22" s="219"/>
      <c r="C22" s="219"/>
      <c r="D22" s="219"/>
      <c r="E22" s="168"/>
      <c r="F22" s="100"/>
      <c r="G22" s="177"/>
      <c r="H22" s="272"/>
      <c r="I22" s="86"/>
      <c r="J22" s="86"/>
      <c r="K22" s="272"/>
      <c r="L22" s="111"/>
      <c r="M22" s="111"/>
      <c r="N22" s="272"/>
      <c r="O22" s="272"/>
      <c r="P22" s="11"/>
      <c r="Q22" s="8"/>
      <c r="R22" s="8"/>
      <c r="S22" s="8"/>
      <c r="T22" s="8"/>
    </row>
    <row r="23" spans="1:22" ht="15" x14ac:dyDescent="0.25">
      <c r="A23" s="168" t="s">
        <v>119</v>
      </c>
      <c r="B23" s="122">
        <f>B20-F20</f>
        <v>2273817.7788888812</v>
      </c>
      <c r="C23" s="122">
        <f>C20-G20</f>
        <v>2174648</v>
      </c>
      <c r="D23" s="122">
        <f>D20-H20</f>
        <v>2174648</v>
      </c>
      <c r="E23" s="168"/>
      <c r="F23" s="100"/>
      <c r="G23" s="177"/>
      <c r="H23" s="272"/>
      <c r="I23" s="86"/>
      <c r="J23" s="86"/>
      <c r="K23" s="272"/>
      <c r="L23" s="111"/>
      <c r="M23" s="111"/>
      <c r="N23" s="272"/>
      <c r="O23" s="272"/>
      <c r="P23" s="11"/>
      <c r="Q23" s="8"/>
      <c r="R23" s="8"/>
      <c r="S23" s="8"/>
      <c r="T23" s="8"/>
    </row>
    <row r="24" spans="1:22" ht="15" x14ac:dyDescent="0.25">
      <c r="A24" s="168"/>
      <c r="B24" s="100"/>
      <c r="C24" s="100"/>
      <c r="D24" s="100"/>
      <c r="E24" s="100"/>
      <c r="F24" s="168"/>
      <c r="G24" s="100"/>
      <c r="H24" s="100"/>
      <c r="I24" s="177"/>
      <c r="J24" s="272"/>
      <c r="K24" s="86"/>
      <c r="L24" s="86"/>
      <c r="M24" s="272"/>
      <c r="N24" s="111"/>
      <c r="O24" s="111"/>
      <c r="P24" s="11"/>
      <c r="Q24" s="11"/>
      <c r="R24" s="11"/>
      <c r="S24" s="8"/>
      <c r="T24" s="8"/>
      <c r="U24" s="8"/>
      <c r="V24" s="8"/>
    </row>
    <row r="25" spans="1:22" ht="15" x14ac:dyDescent="0.25">
      <c r="A25" s="168"/>
      <c r="B25" s="100"/>
      <c r="C25" s="100"/>
      <c r="D25" s="100"/>
      <c r="E25" s="168"/>
      <c r="F25" s="168"/>
      <c r="G25" s="100"/>
      <c r="H25" s="100"/>
      <c r="I25" s="177"/>
      <c r="J25" s="272"/>
      <c r="K25" s="272"/>
      <c r="L25" s="272"/>
      <c r="M25" s="272"/>
      <c r="N25" s="272"/>
      <c r="O25" s="272"/>
      <c r="P25" s="11"/>
      <c r="Q25" s="11"/>
      <c r="R25" s="11"/>
      <c r="S25" s="8"/>
      <c r="T25" s="8"/>
      <c r="U25" s="8"/>
      <c r="V25" s="8"/>
    </row>
    <row r="26" spans="1:22" ht="15" x14ac:dyDescent="0.25">
      <c r="A26" s="168"/>
      <c r="B26" s="100"/>
      <c r="C26" s="100"/>
      <c r="D26" s="100"/>
      <c r="E26" s="168"/>
      <c r="F26" s="168"/>
      <c r="G26" s="100"/>
      <c r="H26" s="100"/>
      <c r="I26" s="177"/>
      <c r="J26" s="272"/>
      <c r="K26" s="272"/>
      <c r="L26" s="272"/>
      <c r="M26" s="272"/>
      <c r="N26" s="272"/>
      <c r="O26" s="272"/>
      <c r="P26" s="11"/>
      <c r="Q26" s="11"/>
      <c r="R26" s="11"/>
      <c r="S26" s="8"/>
      <c r="T26" s="8"/>
      <c r="U26" s="8"/>
      <c r="V26" s="8"/>
    </row>
    <row r="27" spans="1:22" ht="15" x14ac:dyDescent="0.25">
      <c r="A27" s="168"/>
      <c r="B27" s="100"/>
      <c r="C27" s="100"/>
      <c r="D27" s="100"/>
      <c r="E27" s="168"/>
      <c r="F27" s="168"/>
      <c r="G27" s="100"/>
      <c r="H27" s="100"/>
      <c r="I27" s="177"/>
      <c r="J27" s="86"/>
      <c r="K27" s="272"/>
      <c r="L27" s="272"/>
      <c r="M27" s="272"/>
      <c r="N27" s="272"/>
      <c r="O27" s="272"/>
      <c r="P27" s="11"/>
      <c r="Q27" s="9"/>
      <c r="R27" s="11"/>
      <c r="S27" s="11"/>
      <c r="T27" s="11"/>
      <c r="U27" s="11"/>
      <c r="V27" s="11"/>
    </row>
    <row r="28" spans="1:22" ht="15" x14ac:dyDescent="0.25">
      <c r="A28" s="168"/>
      <c r="B28" s="100"/>
      <c r="C28" s="100"/>
      <c r="D28" s="100"/>
      <c r="E28" s="168"/>
      <c r="F28" s="168"/>
      <c r="G28" s="100"/>
      <c r="H28" s="100"/>
      <c r="I28" s="177"/>
      <c r="J28" s="272"/>
      <c r="K28" s="272"/>
      <c r="L28" s="272"/>
      <c r="M28" s="272"/>
      <c r="N28" s="272"/>
      <c r="O28" s="272"/>
      <c r="P28" s="11"/>
      <c r="Q28" s="11"/>
      <c r="R28" s="11"/>
      <c r="S28" s="11"/>
      <c r="T28" s="11"/>
      <c r="U28" s="11"/>
      <c r="V28" s="11"/>
    </row>
    <row r="29" spans="1:22" ht="15" x14ac:dyDescent="0.25">
      <c r="A29" s="100" t="str">
        <f>+'Sch M'!A6</f>
        <v/>
      </c>
      <c r="B29" s="319" t="s">
        <v>120</v>
      </c>
      <c r="C29" s="319"/>
      <c r="D29" s="177"/>
      <c r="E29" s="279" t="s">
        <v>123</v>
      </c>
      <c r="F29" s="280"/>
      <c r="G29" s="272"/>
      <c r="H29" s="279" t="s">
        <v>123</v>
      </c>
      <c r="I29" s="280"/>
      <c r="J29" s="235"/>
      <c r="K29" s="274"/>
      <c r="L29" s="281"/>
      <c r="M29" s="272"/>
      <c r="N29" s="272"/>
      <c r="O29" s="274"/>
      <c r="P29" s="14"/>
      <c r="Q29" s="8"/>
      <c r="R29" s="5"/>
      <c r="S29" s="14"/>
    </row>
    <row r="30" spans="1:22" ht="15" x14ac:dyDescent="0.25">
      <c r="A30" s="168"/>
      <c r="B30" s="168"/>
      <c r="C30" s="168"/>
      <c r="D30" s="177"/>
      <c r="E30" s="177"/>
      <c r="F30" s="177"/>
      <c r="G30" s="235"/>
      <c r="H30" s="177"/>
      <c r="I30" s="177"/>
      <c r="J30" s="235"/>
      <c r="K30" s="272"/>
      <c r="L30" s="272"/>
      <c r="M30" s="272"/>
      <c r="N30" s="235"/>
      <c r="O30" s="235"/>
      <c r="P30" s="8"/>
      <c r="Q30" s="8"/>
      <c r="R30" s="11"/>
      <c r="S30" s="11"/>
    </row>
    <row r="31" spans="1:22" ht="15" x14ac:dyDescent="0.25">
      <c r="A31" s="168"/>
      <c r="B31" s="111" t="s">
        <v>39</v>
      </c>
      <c r="C31" s="111" t="s">
        <v>117</v>
      </c>
      <c r="D31" s="177"/>
      <c r="E31" s="111" t="s">
        <v>39</v>
      </c>
      <c r="F31" s="111" t="s">
        <v>117</v>
      </c>
      <c r="G31" s="235"/>
      <c r="H31" s="111" t="s">
        <v>39</v>
      </c>
      <c r="I31" s="111" t="s">
        <v>117</v>
      </c>
      <c r="J31" s="235"/>
      <c r="K31" s="111"/>
      <c r="L31" s="111"/>
      <c r="M31" s="272"/>
      <c r="N31" s="235"/>
      <c r="O31" s="111"/>
      <c r="P31" s="3"/>
      <c r="Q31" s="8"/>
      <c r="R31" s="3"/>
      <c r="S31" s="3"/>
    </row>
    <row r="32" spans="1:22" ht="15" x14ac:dyDescent="0.25">
      <c r="A32" s="168"/>
      <c r="B32" s="114" t="s">
        <v>138</v>
      </c>
      <c r="C32" s="114" t="s">
        <v>47</v>
      </c>
      <c r="D32" s="177"/>
      <c r="E32" s="114" t="s">
        <v>138</v>
      </c>
      <c r="F32" s="114" t="s">
        <v>47</v>
      </c>
      <c r="G32" s="235"/>
      <c r="H32" s="114" t="s">
        <v>138</v>
      </c>
      <c r="I32" s="114" t="s">
        <v>47</v>
      </c>
      <c r="J32" s="235"/>
      <c r="K32" s="111"/>
      <c r="L32" s="111"/>
      <c r="M32" s="272"/>
      <c r="N32" s="235"/>
      <c r="O32" s="111"/>
      <c r="P32" s="3"/>
      <c r="Q32" s="8"/>
      <c r="R32" s="3"/>
      <c r="S32" s="3"/>
    </row>
    <row r="33" spans="1:22" ht="15" x14ac:dyDescent="0.25">
      <c r="A33" s="86" t="s">
        <v>3</v>
      </c>
      <c r="B33" s="282">
        <f>+'Sch M'!E13</f>
        <v>5762070.1160000004</v>
      </c>
      <c r="C33" s="283">
        <f>+'Sch M'!G13</f>
        <v>48233822</v>
      </c>
      <c r="D33" s="179"/>
      <c r="E33" s="282">
        <f>+'Sch M'!O13</f>
        <v>5300511</v>
      </c>
      <c r="F33" s="283">
        <f>+'Sch M'!Q13</f>
        <v>46141664</v>
      </c>
      <c r="G33" s="101"/>
      <c r="H33" s="282">
        <f>+'Sch M'!T13</f>
        <v>5300511</v>
      </c>
      <c r="I33" s="283">
        <f>+'Sch M'!V13</f>
        <v>55464217</v>
      </c>
      <c r="J33" s="284"/>
      <c r="K33" s="267"/>
      <c r="L33" s="161"/>
      <c r="M33" s="272"/>
      <c r="N33" s="86"/>
      <c r="O33" s="267"/>
      <c r="P33" s="16"/>
      <c r="Q33" s="17"/>
      <c r="R33" s="15"/>
      <c r="S33" s="16"/>
    </row>
    <row r="34" spans="1:22" ht="15" x14ac:dyDescent="0.25">
      <c r="A34" s="86" t="s">
        <v>50</v>
      </c>
      <c r="B34" s="282">
        <f>+'Sch M'!E14</f>
        <v>3726537.2679999997</v>
      </c>
      <c r="C34" s="283">
        <f>+'Sch M'!G14</f>
        <v>22340867</v>
      </c>
      <c r="D34" s="179"/>
      <c r="E34" s="282">
        <f>+'Sch M'!O14</f>
        <v>3349415</v>
      </c>
      <c r="F34" s="283">
        <f>+'Sch M'!Q14</f>
        <v>20469701</v>
      </c>
      <c r="G34" s="101"/>
      <c r="H34" s="282">
        <f>+'Sch M'!T14</f>
        <v>3349415</v>
      </c>
      <c r="I34" s="283">
        <f>+'Sch M'!V14</f>
        <v>23816699</v>
      </c>
      <c r="J34" s="284"/>
      <c r="K34" s="267"/>
      <c r="L34" s="161"/>
      <c r="M34" s="272"/>
      <c r="N34" s="86"/>
      <c r="O34" s="267"/>
      <c r="P34" s="16"/>
      <c r="Q34" s="17"/>
      <c r="R34" s="15"/>
      <c r="S34" s="16"/>
    </row>
    <row r="35" spans="1:22" ht="15" x14ac:dyDescent="0.25">
      <c r="A35" s="86" t="s">
        <v>5</v>
      </c>
      <c r="B35" s="282">
        <f>+'Sch M'!E15</f>
        <v>618295.005</v>
      </c>
      <c r="C35" s="283">
        <f>+'Sch M'!G15</f>
        <v>2648688</v>
      </c>
      <c r="D35" s="179"/>
      <c r="E35" s="282">
        <f>+'Sch M'!O15</f>
        <v>619086</v>
      </c>
      <c r="F35" s="283">
        <f>+'Sch M'!Q15</f>
        <v>2541282</v>
      </c>
      <c r="G35" s="101"/>
      <c r="H35" s="282">
        <f>+'Sch M'!T15</f>
        <v>619086</v>
      </c>
      <c r="I35" s="283">
        <f>+'Sch M'!V15</f>
        <v>3201884</v>
      </c>
      <c r="J35" s="284"/>
      <c r="K35" s="267"/>
      <c r="L35" s="161"/>
      <c r="M35" s="272"/>
      <c r="N35" s="86"/>
      <c r="O35" s="267"/>
      <c r="P35" s="16"/>
      <c r="Q35" s="17"/>
      <c r="R35" s="15"/>
      <c r="S35" s="16"/>
    </row>
    <row r="36" spans="1:22" ht="15" x14ac:dyDescent="0.25">
      <c r="A36" s="86" t="s">
        <v>68</v>
      </c>
      <c r="B36" s="282">
        <f>+'Sch M'!E16</f>
        <v>1271685.1639999999</v>
      </c>
      <c r="C36" s="283">
        <f>+'Sch M'!G16</f>
        <v>6122157</v>
      </c>
      <c r="D36" s="179"/>
      <c r="E36" s="282">
        <f>+'Sch M'!O16</f>
        <v>1196002</v>
      </c>
      <c r="F36" s="283">
        <f>+'Sch M'!Q16</f>
        <v>5902417</v>
      </c>
      <c r="G36" s="101"/>
      <c r="H36" s="282">
        <f>+'Sch M'!T16</f>
        <v>1196002</v>
      </c>
      <c r="I36" s="283">
        <f>+'Sch M'!V16</f>
        <v>7194272</v>
      </c>
      <c r="J36" s="284"/>
      <c r="K36" s="267"/>
      <c r="L36" s="161"/>
      <c r="M36" s="272"/>
      <c r="N36" s="86"/>
      <c r="O36" s="267"/>
      <c r="P36" s="16"/>
      <c r="Q36" s="17"/>
      <c r="R36" s="15"/>
      <c r="S36" s="16"/>
    </row>
    <row r="37" spans="1:22" ht="15" x14ac:dyDescent="0.25">
      <c r="A37" s="86" t="s">
        <v>69</v>
      </c>
      <c r="B37" s="282">
        <f>+'Sch M'!E17</f>
        <v>432531.00400000002</v>
      </c>
      <c r="C37" s="283">
        <f>+'Sch M'!G17</f>
        <v>1925169</v>
      </c>
      <c r="D37" s="179"/>
      <c r="E37" s="282">
        <f>+'Sch M'!O17</f>
        <v>403500</v>
      </c>
      <c r="F37" s="283">
        <f>+'Sch M'!Q17</f>
        <v>1774742</v>
      </c>
      <c r="G37" s="101"/>
      <c r="H37" s="282">
        <f>+'Sch M'!T17</f>
        <v>403500</v>
      </c>
      <c r="I37" s="283">
        <f>+'Sch M'!V17</f>
        <v>1960933</v>
      </c>
      <c r="J37" s="284"/>
      <c r="K37" s="267"/>
      <c r="L37" s="161"/>
      <c r="M37" s="272"/>
      <c r="N37" s="86"/>
      <c r="O37" s="267"/>
      <c r="P37" s="16"/>
      <c r="Q37" s="17"/>
      <c r="R37" s="15"/>
      <c r="S37" s="16"/>
    </row>
    <row r="38" spans="1:22" ht="15" x14ac:dyDescent="0.25">
      <c r="A38" s="86" t="s">
        <v>8</v>
      </c>
      <c r="B38" s="282">
        <f>+'Sch M'!E18</f>
        <v>3250</v>
      </c>
      <c r="C38" s="283">
        <f>+'Sch M'!G18</f>
        <v>2723183</v>
      </c>
      <c r="D38" s="179"/>
      <c r="E38" s="282">
        <f>+'Sch M'!O18</f>
        <v>0</v>
      </c>
      <c r="F38" s="283">
        <f>+'Sch M'!Q18</f>
        <v>2699847</v>
      </c>
      <c r="G38" s="101"/>
      <c r="H38" s="282">
        <f>+'Sch M'!T18</f>
        <v>0</v>
      </c>
      <c r="I38" s="283">
        <f>+'Sch M'!V18</f>
        <v>2780586</v>
      </c>
      <c r="J38" s="284"/>
      <c r="K38" s="267"/>
      <c r="L38" s="161"/>
      <c r="M38" s="272"/>
      <c r="N38" s="86"/>
      <c r="O38" s="267"/>
      <c r="P38" s="16"/>
      <c r="Q38" s="17"/>
      <c r="R38" s="15"/>
      <c r="S38" s="16"/>
    </row>
    <row r="39" spans="1:22" ht="15" x14ac:dyDescent="0.25">
      <c r="A39" s="86" t="s">
        <v>152</v>
      </c>
      <c r="B39" s="282"/>
      <c r="C39" s="283">
        <f>+'Sch M'!G19</f>
        <v>3735198</v>
      </c>
      <c r="D39" s="179"/>
      <c r="E39" s="282"/>
      <c r="F39" s="283">
        <f>+'Sch M'!Q19</f>
        <v>3740506</v>
      </c>
      <c r="G39" s="101"/>
      <c r="H39" s="282"/>
      <c r="I39" s="283">
        <f>+'Sch M'!V19</f>
        <v>4315968</v>
      </c>
      <c r="J39" s="284"/>
      <c r="K39" s="267"/>
      <c r="L39" s="161"/>
      <c r="M39" s="272"/>
      <c r="N39" s="86"/>
      <c r="O39" s="267"/>
      <c r="P39" s="16"/>
      <c r="Q39" s="17"/>
      <c r="R39" s="15"/>
      <c r="S39" s="16"/>
    </row>
    <row r="40" spans="1:22" ht="15" x14ac:dyDescent="0.25">
      <c r="A40" s="86" t="s">
        <v>163</v>
      </c>
      <c r="B40" s="282">
        <f>+'Sch M'!E20</f>
        <v>12056.131777777777</v>
      </c>
      <c r="C40" s="283">
        <f>+'Sch M'!G20</f>
        <v>180850</v>
      </c>
      <c r="D40" s="179"/>
      <c r="E40" s="282">
        <f>+'Sch M'!O20</f>
        <v>4368</v>
      </c>
      <c r="F40" s="283">
        <f>+'Sch M'!Q20</f>
        <v>84644</v>
      </c>
      <c r="G40" s="101"/>
      <c r="H40" s="282">
        <f>+'Sch M'!T20</f>
        <v>4368</v>
      </c>
      <c r="I40" s="283">
        <f>+'Sch M'!V20</f>
        <v>84644</v>
      </c>
      <c r="J40" s="284"/>
      <c r="K40" s="267"/>
      <c r="L40" s="161"/>
      <c r="M40" s="272"/>
      <c r="N40" s="86"/>
      <c r="O40" s="267"/>
      <c r="P40" s="16"/>
      <c r="Q40" s="17"/>
      <c r="R40" s="15"/>
      <c r="S40" s="16"/>
    </row>
    <row r="41" spans="1:22" ht="15" x14ac:dyDescent="0.25">
      <c r="A41" s="101" t="s">
        <v>172</v>
      </c>
      <c r="B41" s="167"/>
      <c r="C41" s="283">
        <f>+'Sch M'!G21</f>
        <v>0</v>
      </c>
      <c r="D41" s="167"/>
      <c r="E41" s="167"/>
      <c r="F41" s="283">
        <f>+'Sch M'!Q21</f>
        <v>0</v>
      </c>
      <c r="G41" s="179"/>
      <c r="H41" s="179"/>
      <c r="I41" s="283">
        <f>+'Sch M'!V21</f>
        <v>0</v>
      </c>
      <c r="J41" s="284"/>
      <c r="K41" s="267"/>
      <c r="L41" s="161"/>
      <c r="M41" s="272"/>
      <c r="N41" s="86"/>
      <c r="O41" s="267"/>
      <c r="P41" s="16"/>
      <c r="Q41" s="17"/>
      <c r="R41" s="15"/>
      <c r="S41" s="16"/>
    </row>
    <row r="42" spans="1:22" ht="15.75" thickBot="1" x14ac:dyDescent="0.3">
      <c r="A42" s="155" t="s">
        <v>1</v>
      </c>
      <c r="B42" s="155">
        <f>SUM(B33:B41)</f>
        <v>11826424.688777778</v>
      </c>
      <c r="C42" s="155">
        <f>SUM(C33:C41)</f>
        <v>87909934</v>
      </c>
      <c r="D42" s="177"/>
      <c r="E42" s="155">
        <f>SUM(E33:E41)</f>
        <v>10872882</v>
      </c>
      <c r="F42" s="155">
        <f>SUM(F33:F41)</f>
        <v>83354803</v>
      </c>
      <c r="G42" s="86"/>
      <c r="H42" s="155">
        <f>SUM(H33:H41)</f>
        <v>10872882</v>
      </c>
      <c r="I42" s="155">
        <f>SUM(I33:I41)</f>
        <v>98819203</v>
      </c>
      <c r="J42" s="235"/>
      <c r="K42" s="86"/>
      <c r="L42" s="86"/>
      <c r="M42" s="272"/>
      <c r="N42" s="86"/>
      <c r="O42" s="267"/>
      <c r="P42" s="16"/>
      <c r="Q42" s="8"/>
      <c r="R42" s="15"/>
      <c r="S42" s="16"/>
    </row>
    <row r="43" spans="1:22" ht="16.5" thickTop="1" thickBot="1" x14ac:dyDescent="0.3">
      <c r="A43" s="285" t="s">
        <v>82</v>
      </c>
      <c r="B43" s="286" t="str">
        <f>IF(B42='Sch M'!$E$22,"OK","FIX IT")</f>
        <v>OK</v>
      </c>
      <c r="C43" s="286" t="str">
        <f>IF(C42='Sch M'!$G$22,"OK","FIX IT")</f>
        <v>OK</v>
      </c>
      <c r="D43" s="177"/>
      <c r="E43" s="286" t="str">
        <f>IF(E42='Sch M'!$T$22,"OK","FIX IT")</f>
        <v>OK</v>
      </c>
      <c r="F43" s="286" t="str">
        <f>IF(F42='Sch M'!$Q$22,"OK","FIX IT")</f>
        <v>OK</v>
      </c>
      <c r="G43" s="101"/>
      <c r="H43" s="286" t="str">
        <f>IF(H42='Sch M'!$T$22,"OK","FIX IT")</f>
        <v>OK</v>
      </c>
      <c r="I43" s="286" t="str">
        <f>IF(I42='Sch M'!$V$22,"OK","FIX IT")</f>
        <v>OK</v>
      </c>
      <c r="J43" s="235"/>
      <c r="K43" s="272"/>
      <c r="L43" s="272"/>
      <c r="M43" s="272"/>
      <c r="N43" s="86"/>
      <c r="O43" s="267"/>
      <c r="P43" s="16"/>
      <c r="Q43" s="8"/>
      <c r="R43" s="15"/>
      <c r="S43" s="16"/>
    </row>
    <row r="44" spans="1:22" ht="15.75" thickTop="1" x14ac:dyDescent="0.25">
      <c r="A44" s="168"/>
      <c r="B44" s="168"/>
      <c r="C44" s="168"/>
      <c r="D44" s="168"/>
      <c r="E44" s="168"/>
      <c r="F44" s="168"/>
      <c r="G44" s="177"/>
      <c r="H44" s="177"/>
      <c r="I44" s="177"/>
      <c r="J44" s="272"/>
      <c r="K44" s="272"/>
      <c r="L44" s="272"/>
      <c r="M44" s="272"/>
      <c r="N44" s="272"/>
      <c r="O44" s="272"/>
      <c r="P44" s="11"/>
      <c r="Q44" s="2"/>
      <c r="R44" s="9"/>
      <c r="S44" s="9"/>
      <c r="T44" s="8"/>
      <c r="U44" s="9"/>
      <c r="V44" s="9"/>
    </row>
    <row r="45" spans="1:22" ht="15" x14ac:dyDescent="0.25">
      <c r="A45" s="168"/>
      <c r="B45" s="168"/>
      <c r="C45" s="168"/>
      <c r="D45" s="168"/>
      <c r="E45" s="168"/>
      <c r="F45" s="168"/>
      <c r="G45" s="177"/>
      <c r="H45" s="177"/>
      <c r="I45" s="177"/>
      <c r="J45" s="272"/>
      <c r="K45" s="272"/>
      <c r="L45" s="272"/>
      <c r="M45" s="272"/>
      <c r="N45" s="272"/>
      <c r="O45" s="272"/>
      <c r="P45" s="11"/>
      <c r="Q45" s="10"/>
      <c r="R45" s="11"/>
      <c r="S45" s="11"/>
      <c r="T45" s="8"/>
      <c r="U45" s="11"/>
      <c r="V45" s="11"/>
    </row>
    <row r="46" spans="1:22" ht="15" x14ac:dyDescent="0.25">
      <c r="A46" s="168"/>
      <c r="B46" s="168"/>
      <c r="C46" s="168"/>
      <c r="D46" s="168"/>
      <c r="E46" s="168"/>
      <c r="F46" s="168"/>
      <c r="G46" s="177"/>
      <c r="H46" s="177"/>
      <c r="I46" s="177"/>
      <c r="J46" s="272"/>
      <c r="K46" s="272"/>
      <c r="L46" s="272"/>
      <c r="M46" s="272"/>
      <c r="N46" s="272"/>
      <c r="O46" s="272"/>
      <c r="P46" s="11"/>
      <c r="Q46" s="11"/>
      <c r="R46" s="11"/>
      <c r="S46" s="8"/>
      <c r="T46" s="8"/>
      <c r="U46" s="8"/>
      <c r="V46" s="8"/>
    </row>
    <row r="47" spans="1:22" ht="15" x14ac:dyDescent="0.25">
      <c r="A47" s="86"/>
      <c r="B47" s="316"/>
      <c r="C47" s="316"/>
      <c r="D47" s="281"/>
      <c r="E47" s="316"/>
      <c r="F47" s="316"/>
      <c r="G47" s="272"/>
      <c r="H47" s="274"/>
      <c r="I47" s="281"/>
      <c r="J47" s="272"/>
      <c r="K47" s="274"/>
      <c r="L47" s="281"/>
      <c r="M47" s="272"/>
      <c r="N47" s="272"/>
      <c r="O47" s="272"/>
      <c r="P47" s="11"/>
      <c r="Q47" s="9"/>
      <c r="R47" s="11"/>
      <c r="S47" s="11"/>
      <c r="T47" s="11"/>
      <c r="U47" s="11"/>
      <c r="V47" s="11"/>
    </row>
    <row r="48" spans="1:22" ht="15" x14ac:dyDescent="0.25">
      <c r="A48" s="235"/>
      <c r="B48" s="235" t="s">
        <v>174</v>
      </c>
      <c r="C48" s="235"/>
      <c r="D48" s="235"/>
      <c r="E48" s="235"/>
      <c r="F48" s="235"/>
      <c r="G48" s="272"/>
      <c r="H48" s="272"/>
      <c r="I48" s="272"/>
      <c r="J48" s="235"/>
      <c r="K48" s="272"/>
      <c r="L48" s="272"/>
      <c r="M48" s="272"/>
      <c r="N48" s="272"/>
      <c r="O48" s="272"/>
      <c r="P48" s="11"/>
      <c r="Q48" s="11"/>
      <c r="R48" s="11"/>
      <c r="S48" s="11"/>
      <c r="T48" s="11"/>
      <c r="U48" s="11"/>
      <c r="V48" s="11"/>
    </row>
    <row r="49" spans="1:22" ht="15" x14ac:dyDescent="0.25">
      <c r="A49" s="86" t="s">
        <v>3</v>
      </c>
      <c r="B49" s="111"/>
      <c r="C49" s="111"/>
      <c r="D49" s="111"/>
      <c r="E49" s="111"/>
      <c r="F49" s="113">
        <f t="shared" ref="F49:F54" si="2">F33-C33</f>
        <v>-2092158</v>
      </c>
      <c r="G49" s="272"/>
      <c r="H49" s="111"/>
      <c r="I49" s="111"/>
      <c r="J49" s="235"/>
      <c r="K49" s="111"/>
      <c r="L49" s="111"/>
      <c r="M49" s="235"/>
      <c r="N49" s="274"/>
      <c r="O49" s="281"/>
      <c r="P49" s="11"/>
      <c r="Q49" s="11"/>
      <c r="R49" s="5"/>
      <c r="S49" s="14"/>
      <c r="T49" s="8"/>
      <c r="U49" s="5"/>
      <c r="V49" s="14"/>
    </row>
    <row r="50" spans="1:22" ht="15" x14ac:dyDescent="0.25">
      <c r="A50" s="86" t="s">
        <v>50</v>
      </c>
      <c r="B50" s="111"/>
      <c r="C50" s="111"/>
      <c r="D50" s="111"/>
      <c r="E50" s="111"/>
      <c r="F50" s="113">
        <f t="shared" si="2"/>
        <v>-1871166</v>
      </c>
      <c r="G50" s="272"/>
      <c r="H50" s="111"/>
      <c r="I50" s="111"/>
      <c r="J50" s="235"/>
      <c r="K50" s="111"/>
      <c r="L50" s="111"/>
      <c r="M50" s="235"/>
      <c r="N50" s="272"/>
      <c r="O50" s="272"/>
      <c r="P50" s="11"/>
      <c r="Q50" s="8"/>
      <c r="R50" s="8"/>
      <c r="S50" s="8"/>
      <c r="T50" s="8"/>
      <c r="U50" s="11"/>
      <c r="V50" s="11"/>
    </row>
    <row r="51" spans="1:22" ht="15" x14ac:dyDescent="0.25">
      <c r="A51" s="86" t="s">
        <v>5</v>
      </c>
      <c r="B51" s="267"/>
      <c r="C51" s="161"/>
      <c r="D51" s="161"/>
      <c r="E51" s="267"/>
      <c r="F51" s="113">
        <f t="shared" si="2"/>
        <v>-107406</v>
      </c>
      <c r="G51" s="272"/>
      <c r="H51" s="267"/>
      <c r="I51" s="161"/>
      <c r="J51" s="86"/>
      <c r="K51" s="267"/>
      <c r="L51" s="161"/>
      <c r="M51" s="235"/>
      <c r="N51" s="111"/>
      <c r="O51" s="111"/>
      <c r="P51" s="11"/>
      <c r="Q51" s="8"/>
      <c r="R51" s="3"/>
      <c r="S51" s="3"/>
      <c r="T51" s="8"/>
      <c r="U51" s="3"/>
      <c r="V51" s="3"/>
    </row>
    <row r="52" spans="1:22" ht="15" x14ac:dyDescent="0.25">
      <c r="A52" s="86" t="s">
        <v>68</v>
      </c>
      <c r="B52" s="267"/>
      <c r="C52" s="161"/>
      <c r="D52" s="161"/>
      <c r="E52" s="267"/>
      <c r="F52" s="113">
        <f t="shared" si="2"/>
        <v>-219740</v>
      </c>
      <c r="G52" s="272"/>
      <c r="H52" s="267"/>
      <c r="I52" s="161"/>
      <c r="J52" s="86"/>
      <c r="K52" s="267"/>
      <c r="L52" s="161"/>
      <c r="M52" s="235"/>
      <c r="N52" s="111"/>
      <c r="O52" s="111"/>
      <c r="P52" s="11"/>
      <c r="Q52" s="8"/>
      <c r="R52" s="3"/>
      <c r="S52" s="3"/>
      <c r="T52" s="8"/>
      <c r="U52" s="3"/>
      <c r="V52" s="3"/>
    </row>
    <row r="53" spans="1:22" ht="15" x14ac:dyDescent="0.25">
      <c r="A53" s="86" t="s">
        <v>69</v>
      </c>
      <c r="B53" s="267"/>
      <c r="C53" s="161"/>
      <c r="D53" s="161"/>
      <c r="E53" s="267"/>
      <c r="F53" s="113">
        <f t="shared" si="2"/>
        <v>-150427</v>
      </c>
      <c r="G53" s="272"/>
      <c r="H53" s="267"/>
      <c r="I53" s="161"/>
      <c r="J53" s="86"/>
      <c r="K53" s="267"/>
      <c r="L53" s="161"/>
      <c r="M53" s="284"/>
      <c r="N53" s="267"/>
      <c r="O53" s="161"/>
      <c r="P53" s="11"/>
      <c r="Q53" s="2"/>
      <c r="R53" s="15"/>
      <c r="S53" s="16"/>
      <c r="T53" s="17"/>
      <c r="U53" s="15"/>
      <c r="V53" s="16"/>
    </row>
    <row r="54" spans="1:22" ht="15" x14ac:dyDescent="0.25">
      <c r="A54" s="86" t="s">
        <v>134</v>
      </c>
      <c r="B54" s="267"/>
      <c r="C54" s="161"/>
      <c r="D54" s="161"/>
      <c r="E54" s="267"/>
      <c r="F54" s="113">
        <f t="shared" si="2"/>
        <v>-23336</v>
      </c>
      <c r="G54" s="272"/>
      <c r="H54" s="267"/>
      <c r="I54" s="161"/>
      <c r="J54" s="86"/>
      <c r="K54" s="267"/>
      <c r="L54" s="161"/>
      <c r="M54" s="284"/>
      <c r="N54" s="267"/>
      <c r="O54" s="161"/>
      <c r="P54" s="11"/>
      <c r="Q54" s="2"/>
      <c r="R54" s="15"/>
      <c r="S54" s="16"/>
      <c r="T54" s="17"/>
      <c r="U54" s="15"/>
      <c r="V54" s="16"/>
    </row>
    <row r="55" spans="1:22" ht="15" x14ac:dyDescent="0.25">
      <c r="A55" s="86" t="s">
        <v>163</v>
      </c>
      <c r="B55" s="267"/>
      <c r="C55" s="161"/>
      <c r="D55" s="161"/>
      <c r="E55" s="267"/>
      <c r="F55" s="113">
        <f>F40-C40</f>
        <v>-96206</v>
      </c>
      <c r="G55" s="272"/>
      <c r="H55" s="267"/>
      <c r="I55" s="161"/>
      <c r="J55" s="86"/>
      <c r="K55" s="267"/>
      <c r="L55" s="161"/>
      <c r="M55" s="284"/>
      <c r="N55" s="267"/>
      <c r="O55" s="161"/>
      <c r="P55" s="11"/>
      <c r="Q55" s="2"/>
      <c r="R55" s="15"/>
      <c r="S55" s="16"/>
      <c r="T55" s="17"/>
      <c r="U55" s="15"/>
      <c r="V55" s="16"/>
    </row>
    <row r="56" spans="1:22" ht="15" x14ac:dyDescent="0.25">
      <c r="A56" s="86" t="s">
        <v>1</v>
      </c>
      <c r="B56" s="267"/>
      <c r="C56" s="161"/>
      <c r="D56" s="161"/>
      <c r="E56" s="267"/>
      <c r="F56" s="163">
        <f>SUM(F49:F55)</f>
        <v>-4560439</v>
      </c>
      <c r="G56" s="272"/>
      <c r="H56" s="267"/>
      <c r="I56" s="161"/>
      <c r="J56" s="86"/>
      <c r="K56" s="267"/>
      <c r="L56" s="161"/>
      <c r="M56" s="284"/>
      <c r="N56" s="267"/>
      <c r="O56" s="161"/>
      <c r="P56" s="11"/>
      <c r="Q56" s="2"/>
      <c r="R56" s="15"/>
      <c r="S56" s="16"/>
      <c r="T56" s="17"/>
      <c r="U56" s="15"/>
      <c r="V56" s="16"/>
    </row>
    <row r="57" spans="1:22" ht="15" x14ac:dyDescent="0.25">
      <c r="A57" s="235"/>
      <c r="B57" s="235"/>
      <c r="C57" s="235"/>
      <c r="D57" s="235"/>
      <c r="E57" s="235"/>
      <c r="F57" s="235"/>
      <c r="G57" s="272"/>
      <c r="H57" s="272"/>
      <c r="I57" s="272"/>
      <c r="J57" s="272"/>
      <c r="K57" s="272"/>
      <c r="L57" s="272"/>
      <c r="M57" s="284"/>
      <c r="N57" s="267"/>
      <c r="O57" s="161"/>
      <c r="P57" s="11"/>
      <c r="Q57" s="2"/>
      <c r="R57" s="15"/>
      <c r="S57" s="16"/>
      <c r="T57" s="17"/>
      <c r="U57" s="15"/>
      <c r="V57" s="16"/>
    </row>
    <row r="58" spans="1:22" ht="15" x14ac:dyDescent="0.25">
      <c r="A58" s="86"/>
      <c r="B58" s="267"/>
      <c r="C58" s="161"/>
      <c r="D58" s="161"/>
      <c r="E58" s="267"/>
      <c r="F58" s="161"/>
      <c r="G58" s="272"/>
      <c r="H58" s="267"/>
      <c r="I58" s="161"/>
      <c r="J58" s="86"/>
      <c r="K58" s="267"/>
      <c r="L58" s="161"/>
      <c r="M58" s="284"/>
      <c r="N58" s="267"/>
      <c r="O58" s="161"/>
      <c r="P58" s="11"/>
      <c r="Q58" s="2"/>
      <c r="R58" s="15"/>
      <c r="S58" s="16"/>
      <c r="T58" s="17"/>
      <c r="U58" s="15"/>
      <c r="V58" s="16"/>
    </row>
    <row r="59" spans="1:22" ht="15" x14ac:dyDescent="0.25">
      <c r="A59" s="86"/>
      <c r="B59" s="86"/>
      <c r="C59" s="86"/>
      <c r="D59" s="86"/>
      <c r="E59" s="86"/>
      <c r="F59" s="86"/>
      <c r="G59" s="272"/>
      <c r="H59" s="86"/>
      <c r="I59" s="86"/>
      <c r="J59" s="86"/>
      <c r="K59" s="86"/>
      <c r="L59" s="86"/>
      <c r="M59" s="284"/>
      <c r="N59" s="267"/>
      <c r="O59" s="161"/>
      <c r="P59" s="11"/>
      <c r="Q59" s="2"/>
      <c r="R59" s="15"/>
      <c r="S59" s="16"/>
      <c r="T59" s="17"/>
      <c r="U59" s="15"/>
      <c r="V59" s="16"/>
    </row>
    <row r="60" spans="1:22" ht="15" x14ac:dyDescent="0.25">
      <c r="A60" s="101"/>
      <c r="B60" s="272"/>
      <c r="C60" s="272"/>
      <c r="D60" s="272"/>
      <c r="E60" s="272"/>
      <c r="F60" s="272"/>
      <c r="G60" s="272"/>
      <c r="H60" s="272"/>
      <c r="I60" s="272"/>
      <c r="J60" s="101"/>
      <c r="K60" s="272"/>
      <c r="L60" s="272"/>
      <c r="M60" s="284"/>
      <c r="N60" s="267"/>
      <c r="O60" s="161"/>
      <c r="P60" s="11"/>
      <c r="Q60" s="2"/>
      <c r="R60" s="15"/>
      <c r="S60" s="16"/>
      <c r="T60" s="17"/>
      <c r="U60" s="15"/>
      <c r="V60" s="16"/>
    </row>
    <row r="61" spans="1:22" ht="15" x14ac:dyDescent="0.25">
      <c r="A61" s="235"/>
      <c r="B61" s="235"/>
      <c r="C61" s="235"/>
      <c r="D61" s="235"/>
      <c r="E61" s="235"/>
      <c r="F61" s="235"/>
      <c r="G61" s="272"/>
      <c r="H61" s="272"/>
      <c r="I61" s="272"/>
      <c r="J61" s="272"/>
      <c r="K61" s="272"/>
      <c r="L61" s="272"/>
      <c r="M61" s="272"/>
      <c r="N61" s="272"/>
      <c r="O61" s="272"/>
      <c r="P61" s="11"/>
      <c r="Q61" s="11"/>
      <c r="R61" s="11"/>
      <c r="S61" s="8"/>
      <c r="T61" s="8"/>
      <c r="U61" s="8"/>
      <c r="V61" s="8"/>
    </row>
    <row r="62" spans="1:22" ht="15" x14ac:dyDescent="0.25">
      <c r="A62" s="235"/>
      <c r="B62" s="235"/>
      <c r="C62" s="235"/>
      <c r="D62" s="235"/>
      <c r="E62" s="235"/>
      <c r="F62" s="235"/>
      <c r="G62" s="272"/>
      <c r="H62" s="272"/>
      <c r="I62" s="272"/>
      <c r="J62" s="272"/>
      <c r="K62" s="272"/>
      <c r="L62" s="272"/>
      <c r="M62" s="272"/>
      <c r="N62" s="272"/>
      <c r="O62" s="272"/>
      <c r="P62" s="11"/>
      <c r="Q62" s="11"/>
      <c r="R62" s="11"/>
      <c r="S62" s="8"/>
      <c r="T62" s="8"/>
      <c r="U62" s="8"/>
      <c r="V62" s="8"/>
    </row>
    <row r="63" spans="1:22" ht="15" x14ac:dyDescent="0.25">
      <c r="A63" s="235" t="s">
        <v>182</v>
      </c>
      <c r="B63" s="235"/>
      <c r="C63" s="235"/>
      <c r="D63" s="235"/>
      <c r="E63" s="235"/>
      <c r="F63" s="235"/>
      <c r="G63" s="272"/>
      <c r="H63" s="272"/>
      <c r="I63" s="272"/>
      <c r="J63" s="272"/>
      <c r="K63" s="272"/>
      <c r="L63" s="272"/>
      <c r="M63" s="272"/>
      <c r="N63" s="272"/>
      <c r="O63" s="272"/>
      <c r="P63" s="11"/>
      <c r="Q63" s="11"/>
      <c r="R63" s="11"/>
      <c r="S63" s="8"/>
      <c r="T63" s="8"/>
      <c r="U63" s="8"/>
      <c r="V63" s="8"/>
    </row>
    <row r="64" spans="1:22" ht="15" x14ac:dyDescent="0.25">
      <c r="A64" s="86" t="s">
        <v>183</v>
      </c>
      <c r="B64" s="307">
        <f>'Sch M'!U91</f>
        <v>14.85</v>
      </c>
      <c r="C64" s="287"/>
      <c r="D64" s="281"/>
      <c r="E64" s="316"/>
      <c r="F64" s="316"/>
      <c r="G64" s="272"/>
      <c r="H64" s="274"/>
      <c r="I64" s="281"/>
      <c r="J64" s="272"/>
      <c r="K64" s="274"/>
      <c r="L64" s="281"/>
      <c r="M64" s="272"/>
      <c r="N64" s="272"/>
      <c r="O64" s="272"/>
      <c r="P64" s="11"/>
      <c r="Q64" s="9"/>
      <c r="R64" s="11"/>
      <c r="S64" s="11"/>
      <c r="T64" s="11"/>
      <c r="U64" s="11"/>
      <c r="V64" s="11"/>
    </row>
    <row r="65" spans="1:22" ht="15" x14ac:dyDescent="0.25">
      <c r="A65" s="235" t="s">
        <v>184</v>
      </c>
      <c r="B65" s="203">
        <f>'Sch M'!U105</f>
        <v>5.585</v>
      </c>
      <c r="C65" s="235"/>
      <c r="D65" s="235"/>
      <c r="E65" s="235"/>
      <c r="F65" s="235"/>
      <c r="G65" s="272"/>
      <c r="H65" s="272"/>
      <c r="I65" s="272"/>
      <c r="J65" s="235"/>
      <c r="K65" s="272"/>
      <c r="L65" s="272"/>
      <c r="M65" s="272"/>
      <c r="N65" s="272"/>
      <c r="O65" s="272"/>
      <c r="P65" s="11"/>
      <c r="Q65" s="11"/>
      <c r="R65" s="11"/>
      <c r="S65" s="11"/>
      <c r="T65" s="11"/>
      <c r="U65" s="11"/>
      <c r="V65" s="11"/>
    </row>
    <row r="66" spans="1:22" ht="15" x14ac:dyDescent="0.25">
      <c r="A66" s="235"/>
      <c r="B66" s="111"/>
      <c r="C66" s="111"/>
      <c r="D66" s="111"/>
      <c r="E66" s="111"/>
      <c r="F66" s="111"/>
      <c r="G66" s="272"/>
      <c r="H66" s="111"/>
      <c r="I66" s="111"/>
      <c r="J66" s="235"/>
      <c r="K66" s="111"/>
      <c r="L66" s="111"/>
      <c r="M66" s="235"/>
      <c r="N66" s="274"/>
      <c r="O66" s="281"/>
      <c r="P66" s="11"/>
      <c r="Q66" s="11"/>
      <c r="R66" s="5"/>
      <c r="S66" s="14"/>
      <c r="T66" s="8"/>
      <c r="U66" s="5"/>
      <c r="V66" s="14"/>
    </row>
    <row r="67" spans="1:22" ht="15" x14ac:dyDescent="0.25">
      <c r="A67" s="203"/>
      <c r="B67" s="113" t="s">
        <v>18</v>
      </c>
      <c r="C67" s="113"/>
      <c r="D67" s="111"/>
      <c r="E67" s="111"/>
      <c r="F67" s="111"/>
      <c r="G67" s="272"/>
      <c r="H67" s="111"/>
      <c r="I67" s="111"/>
      <c r="J67" s="235"/>
      <c r="K67" s="111"/>
      <c r="L67" s="111"/>
      <c r="M67" s="235"/>
      <c r="N67" s="272"/>
      <c r="O67" s="272"/>
      <c r="P67" s="11"/>
      <c r="Q67" s="8"/>
      <c r="R67" s="8"/>
      <c r="S67" s="8"/>
      <c r="T67" s="8"/>
      <c r="U67" s="11"/>
      <c r="V67" s="11"/>
    </row>
    <row r="68" spans="1:22" ht="15" x14ac:dyDescent="0.25">
      <c r="A68" s="101"/>
      <c r="B68" s="130" t="s">
        <v>129</v>
      </c>
      <c r="C68" s="163"/>
      <c r="D68" s="161"/>
      <c r="E68" s="267"/>
      <c r="F68" s="161"/>
      <c r="G68" s="272"/>
      <c r="H68" s="267"/>
      <c r="I68" s="161"/>
      <c r="J68" s="86"/>
      <c r="K68" s="267"/>
      <c r="L68" s="161"/>
      <c r="M68" s="235"/>
      <c r="N68" s="111"/>
      <c r="O68" s="111"/>
      <c r="P68" s="11"/>
      <c r="Q68" s="8"/>
      <c r="R68" s="3"/>
      <c r="S68" s="3"/>
      <c r="T68" s="8"/>
      <c r="U68" s="3"/>
      <c r="V68" s="3"/>
    </row>
    <row r="69" spans="1:22" ht="15" x14ac:dyDescent="0.25">
      <c r="A69" s="101" t="s">
        <v>187</v>
      </c>
      <c r="B69" s="308">
        <v>4.5091999999999999</v>
      </c>
      <c r="C69" s="309">
        <v>32.799999999999997</v>
      </c>
      <c r="D69" s="161"/>
      <c r="E69" s="267"/>
      <c r="F69" s="161"/>
      <c r="G69" s="272"/>
      <c r="H69" s="267"/>
      <c r="I69" s="161"/>
      <c r="J69" s="86"/>
      <c r="K69" s="267"/>
      <c r="L69" s="161"/>
      <c r="M69" s="235"/>
      <c r="N69" s="111"/>
      <c r="O69" s="111"/>
      <c r="P69" s="11"/>
      <c r="Q69" s="8"/>
      <c r="R69" s="3"/>
      <c r="S69" s="3"/>
      <c r="T69" s="8"/>
      <c r="U69" s="3"/>
      <c r="V69" s="3"/>
    </row>
    <row r="70" spans="1:22" ht="15" x14ac:dyDescent="0.25">
      <c r="A70" s="86"/>
      <c r="B70" s="267"/>
      <c r="C70" s="161"/>
      <c r="D70" s="161"/>
      <c r="E70" s="267"/>
      <c r="F70" s="161"/>
      <c r="G70" s="272"/>
      <c r="H70" s="267"/>
      <c r="I70" s="161"/>
      <c r="J70" s="86"/>
      <c r="K70" s="267"/>
      <c r="L70" s="161"/>
      <c r="M70" s="284"/>
      <c r="N70" s="267"/>
      <c r="O70" s="161"/>
      <c r="P70" s="11"/>
      <c r="Q70" s="2"/>
      <c r="R70" s="15"/>
      <c r="S70" s="16"/>
      <c r="T70" s="17"/>
      <c r="U70" s="15"/>
      <c r="V70" s="16"/>
    </row>
    <row r="71" spans="1:22" ht="15" x14ac:dyDescent="0.25">
      <c r="A71" s="86"/>
      <c r="B71" s="106" t="s">
        <v>184</v>
      </c>
      <c r="C71" s="161"/>
      <c r="D71" s="288" t="s">
        <v>190</v>
      </c>
      <c r="E71" s="267"/>
      <c r="F71" s="288" t="s">
        <v>191</v>
      </c>
      <c r="G71" s="272"/>
      <c r="H71" s="267"/>
      <c r="I71" s="161"/>
      <c r="J71" s="86"/>
      <c r="K71" s="267"/>
      <c r="L71" s="161"/>
      <c r="M71" s="284"/>
      <c r="N71" s="267"/>
      <c r="O71" s="161"/>
      <c r="P71" s="11"/>
      <c r="Q71" s="2"/>
      <c r="R71" s="15"/>
      <c r="S71" s="16"/>
      <c r="T71" s="17"/>
      <c r="U71" s="15"/>
      <c r="V71" s="16"/>
    </row>
    <row r="72" spans="1:22" ht="15" x14ac:dyDescent="0.25">
      <c r="A72" s="116" t="s">
        <v>128</v>
      </c>
      <c r="B72" s="289">
        <f>'Sch N'!A20</f>
        <v>4</v>
      </c>
      <c r="C72" s="161"/>
      <c r="D72" s="290">
        <f>'Sch N'!C39</f>
        <v>33.69</v>
      </c>
      <c r="E72" s="290"/>
      <c r="F72" s="290">
        <f>'Sch N'!E39</f>
        <v>40.51</v>
      </c>
      <c r="G72" s="272"/>
      <c r="H72" s="267"/>
      <c r="I72" s="161"/>
      <c r="J72" s="86"/>
      <c r="K72" s="267"/>
      <c r="L72" s="161"/>
      <c r="M72" s="284"/>
      <c r="N72" s="267"/>
      <c r="O72" s="161"/>
      <c r="P72" s="11"/>
      <c r="Q72" s="2"/>
      <c r="R72" s="15"/>
      <c r="S72" s="16"/>
      <c r="T72" s="17"/>
      <c r="U72" s="15"/>
      <c r="V72" s="16"/>
    </row>
    <row r="73" spans="1:22" ht="15" x14ac:dyDescent="0.25">
      <c r="A73" s="86"/>
      <c r="B73" s="267"/>
      <c r="C73" s="161"/>
      <c r="D73" s="161"/>
      <c r="E73" s="267"/>
      <c r="F73" s="161"/>
      <c r="G73" s="272"/>
      <c r="H73" s="267"/>
      <c r="I73" s="161"/>
      <c r="J73" s="86"/>
      <c r="K73" s="267"/>
      <c r="L73" s="161"/>
      <c r="M73" s="284"/>
      <c r="N73" s="267"/>
      <c r="O73" s="161"/>
      <c r="P73" s="11"/>
      <c r="Q73" s="2"/>
      <c r="R73" s="15"/>
      <c r="S73" s="16"/>
      <c r="T73" s="17"/>
      <c r="U73" s="15"/>
      <c r="V73" s="16"/>
    </row>
    <row r="74" spans="1:22" ht="15" x14ac:dyDescent="0.25">
      <c r="A74" s="235"/>
      <c r="B74" s="235"/>
      <c r="C74" s="235"/>
      <c r="D74" s="235"/>
      <c r="E74" s="235"/>
      <c r="F74" s="235"/>
      <c r="G74" s="272"/>
      <c r="H74" s="272"/>
      <c r="I74" s="272"/>
      <c r="J74" s="272"/>
      <c r="K74" s="272"/>
      <c r="L74" s="272"/>
      <c r="M74" s="284"/>
      <c r="N74" s="267"/>
      <c r="O74" s="161"/>
      <c r="P74" s="11"/>
      <c r="Q74" s="2"/>
      <c r="R74" s="15"/>
      <c r="S74" s="16"/>
      <c r="T74" s="17"/>
      <c r="U74" s="15"/>
      <c r="V74" s="16"/>
    </row>
    <row r="75" spans="1:22" ht="15" x14ac:dyDescent="0.25">
      <c r="A75" s="86" t="s">
        <v>188</v>
      </c>
      <c r="B75" s="291">
        <f>'Sch M'!X36</f>
        <v>0</v>
      </c>
      <c r="C75" s="161"/>
      <c r="D75" s="161"/>
      <c r="E75" s="267"/>
      <c r="F75" s="161"/>
      <c r="G75" s="272"/>
      <c r="H75" s="267"/>
      <c r="I75" s="161"/>
      <c r="J75" s="86"/>
      <c r="K75" s="267"/>
      <c r="L75" s="161"/>
      <c r="M75" s="284"/>
      <c r="N75" s="267"/>
      <c r="O75" s="161"/>
      <c r="P75" s="11"/>
      <c r="Q75" s="2"/>
      <c r="R75" s="15"/>
      <c r="S75" s="16"/>
      <c r="T75" s="17"/>
      <c r="U75" s="15"/>
      <c r="V75" s="16"/>
    </row>
    <row r="76" spans="1:22" ht="15" x14ac:dyDescent="0.25">
      <c r="A76" s="86"/>
      <c r="B76" s="86"/>
      <c r="C76" s="86"/>
      <c r="D76" s="86"/>
      <c r="E76" s="86"/>
      <c r="F76" s="86"/>
      <c r="G76" s="272"/>
      <c r="H76" s="86"/>
      <c r="I76" s="86"/>
      <c r="J76" s="86"/>
      <c r="K76" s="86"/>
      <c r="L76" s="86"/>
      <c r="M76" s="284"/>
      <c r="N76" s="267"/>
      <c r="O76" s="161"/>
      <c r="P76" s="11"/>
      <c r="Q76" s="2"/>
      <c r="R76" s="15"/>
      <c r="S76" s="16"/>
      <c r="T76" s="17"/>
      <c r="U76" s="15"/>
      <c r="V76" s="16"/>
    </row>
    <row r="77" spans="1:22" ht="15" x14ac:dyDescent="0.25">
      <c r="A77" s="101"/>
      <c r="B77" s="272"/>
      <c r="C77" s="272"/>
      <c r="D77" s="272"/>
      <c r="E77" s="272"/>
      <c r="F77" s="272"/>
      <c r="G77" s="272"/>
      <c r="H77" s="272"/>
      <c r="I77" s="272"/>
      <c r="J77" s="101"/>
      <c r="K77" s="272"/>
      <c r="L77" s="272"/>
      <c r="M77" s="284"/>
      <c r="N77" s="267"/>
      <c r="O77" s="161"/>
      <c r="P77" s="11"/>
      <c r="Q77" s="2"/>
      <c r="R77" s="15"/>
      <c r="S77" s="16"/>
      <c r="T77" s="17"/>
      <c r="U77" s="15"/>
      <c r="V77" s="16"/>
    </row>
    <row r="78" spans="1:22" ht="15" x14ac:dyDescent="0.25">
      <c r="A78" s="101" t="e">
        <f ca="1">'Sch M'!Z6</f>
        <v>#VALUE!</v>
      </c>
      <c r="B78" s="235"/>
      <c r="C78" s="235"/>
      <c r="D78" s="235"/>
      <c r="E78" s="235"/>
      <c r="F78" s="235"/>
      <c r="G78" s="272"/>
      <c r="H78" s="272"/>
      <c r="I78" s="272"/>
      <c r="J78" s="272"/>
      <c r="K78" s="272"/>
      <c r="L78" s="272"/>
      <c r="M78" s="272"/>
      <c r="N78" s="272"/>
      <c r="O78" s="272"/>
      <c r="P78" s="11"/>
      <c r="Q78" s="11"/>
      <c r="R78" s="11"/>
      <c r="S78" s="8"/>
      <c r="T78" s="8"/>
      <c r="U78" s="8"/>
      <c r="V78" s="8"/>
    </row>
    <row r="79" spans="1:22" ht="15" x14ac:dyDescent="0.25">
      <c r="A79" s="235"/>
      <c r="B79" s="235"/>
      <c r="C79" s="235"/>
      <c r="D79" s="235"/>
      <c r="E79" s="235"/>
      <c r="F79" s="235"/>
      <c r="G79" s="272"/>
      <c r="H79" s="272"/>
      <c r="I79" s="272"/>
      <c r="J79" s="272"/>
      <c r="K79" s="272"/>
      <c r="L79" s="272"/>
      <c r="M79" s="272"/>
      <c r="N79" s="272"/>
      <c r="O79" s="272"/>
      <c r="P79" s="11"/>
      <c r="Q79" s="11"/>
      <c r="R79" s="11"/>
      <c r="S79" s="8"/>
      <c r="T79" s="8"/>
      <c r="U79" s="8"/>
      <c r="V79" s="8"/>
    </row>
    <row r="80" spans="1:22" ht="15" x14ac:dyDescent="0.25">
      <c r="A80" s="292"/>
      <c r="B80" s="292"/>
      <c r="C80" s="292"/>
      <c r="D80" s="235" t="s">
        <v>122</v>
      </c>
      <c r="E80" s="235"/>
      <c r="F80" s="235"/>
      <c r="G80" s="272"/>
      <c r="H80" s="272"/>
      <c r="I80" s="272"/>
      <c r="J80" s="272"/>
      <c r="K80" s="272"/>
      <c r="L80" s="272"/>
      <c r="M80" s="272"/>
      <c r="N80" s="272"/>
      <c r="O80" s="272"/>
      <c r="P80" s="11"/>
      <c r="Q80" s="11"/>
      <c r="R80" s="11"/>
      <c r="S80" s="8"/>
      <c r="T80" s="8"/>
      <c r="U80" s="8"/>
      <c r="V80" s="8"/>
    </row>
    <row r="81" spans="1:23" ht="15" x14ac:dyDescent="0.25">
      <c r="A81" s="111" t="s">
        <v>194</v>
      </c>
      <c r="B81" s="111"/>
      <c r="C81" s="292" t="s">
        <v>195</v>
      </c>
      <c r="D81" s="111"/>
      <c r="E81" s="287" t="s">
        <v>196</v>
      </c>
      <c r="F81" s="287"/>
      <c r="G81" s="287" t="s">
        <v>198</v>
      </c>
      <c r="H81" s="287"/>
      <c r="I81" s="287"/>
      <c r="J81" s="287"/>
      <c r="K81" s="274"/>
      <c r="L81" s="281"/>
      <c r="M81" s="272"/>
      <c r="N81" s="272"/>
      <c r="O81" s="272"/>
      <c r="P81" s="11"/>
      <c r="Q81" s="9"/>
      <c r="R81" s="11"/>
      <c r="S81" s="11"/>
      <c r="T81" s="11"/>
      <c r="U81" s="11"/>
      <c r="V81" s="11"/>
      <c r="W81" s="8"/>
    </row>
    <row r="82" spans="1:23" ht="15" x14ac:dyDescent="0.25">
      <c r="A82" s="114" t="s">
        <v>2</v>
      </c>
      <c r="B82" s="111"/>
      <c r="C82" s="293" t="s">
        <v>48</v>
      </c>
      <c r="D82" s="114"/>
      <c r="E82" s="287" t="s">
        <v>197</v>
      </c>
      <c r="F82" s="287"/>
      <c r="G82" s="287" t="s">
        <v>196</v>
      </c>
      <c r="H82" s="287"/>
      <c r="I82" s="287"/>
      <c r="J82" s="287"/>
      <c r="K82" s="272"/>
      <c r="L82" s="272"/>
      <c r="M82" s="272"/>
      <c r="N82" s="272"/>
      <c r="O82" s="272"/>
      <c r="P82" s="11"/>
      <c r="Q82" s="11"/>
      <c r="R82" s="11"/>
      <c r="S82" s="11"/>
      <c r="T82" s="11"/>
      <c r="U82" s="11"/>
      <c r="V82" s="11"/>
      <c r="W82" s="8"/>
    </row>
    <row r="83" spans="1:23" ht="15" x14ac:dyDescent="0.25">
      <c r="A83" s="168"/>
      <c r="B83" s="116"/>
      <c r="C83" s="292"/>
      <c r="D83" s="116"/>
      <c r="E83" s="287"/>
      <c r="F83" s="287"/>
      <c r="G83" s="287"/>
      <c r="H83" s="287"/>
      <c r="I83" s="287"/>
      <c r="J83" s="287"/>
      <c r="K83" s="111"/>
      <c r="L83" s="111"/>
      <c r="M83" s="235"/>
      <c r="N83" s="274"/>
      <c r="O83" s="281"/>
      <c r="Q83" s="11"/>
      <c r="R83" s="5"/>
      <c r="S83" s="14"/>
      <c r="T83" s="8"/>
      <c r="U83" s="5"/>
      <c r="V83" s="14"/>
      <c r="W83" s="8"/>
    </row>
    <row r="84" spans="1:23" ht="15" x14ac:dyDescent="0.25">
      <c r="A84" s="116" t="s">
        <v>25</v>
      </c>
      <c r="B84" s="117"/>
      <c r="C84" s="294">
        <f>SUM('Sch M'!V52:V61)</f>
        <v>21456138</v>
      </c>
      <c r="D84" s="113"/>
      <c r="E84" s="295">
        <f>SUM('Sch M'!T66:T72)</f>
        <v>5300511</v>
      </c>
      <c r="F84" s="295"/>
      <c r="G84" s="295">
        <f>SUM('Sch M'!V66:V72)</f>
        <v>34008079</v>
      </c>
      <c r="H84" s="287"/>
      <c r="I84" s="287"/>
      <c r="J84" s="287"/>
      <c r="K84" s="111"/>
      <c r="L84" s="111"/>
      <c r="M84" s="235"/>
      <c r="N84" s="272"/>
      <c r="O84" s="272"/>
      <c r="Q84" s="8"/>
      <c r="R84" s="8"/>
      <c r="S84" s="8"/>
      <c r="T84" s="8"/>
      <c r="U84" s="11"/>
      <c r="V84" s="11"/>
      <c r="W84" s="8"/>
    </row>
    <row r="85" spans="1:23" ht="15" x14ac:dyDescent="0.25">
      <c r="A85" s="86"/>
      <c r="B85" s="86"/>
      <c r="C85" s="296"/>
      <c r="D85" s="163"/>
      <c r="E85" s="295"/>
      <c r="F85" s="295"/>
      <c r="G85" s="295"/>
      <c r="H85" s="287"/>
      <c r="I85" s="287"/>
      <c r="J85" s="287"/>
      <c r="K85" s="267"/>
      <c r="L85" s="161"/>
      <c r="M85" s="235"/>
      <c r="N85" s="111"/>
      <c r="O85" s="111"/>
      <c r="Q85" s="8"/>
      <c r="R85" s="3"/>
      <c r="S85" s="3"/>
      <c r="T85" s="8"/>
      <c r="U85" s="3"/>
      <c r="V85" s="3"/>
      <c r="W85" s="8"/>
    </row>
    <row r="86" spans="1:23" ht="15" x14ac:dyDescent="0.25">
      <c r="A86" s="86" t="str">
        <f>'Sch M'!B89</f>
        <v>Commercial:</v>
      </c>
      <c r="B86" s="86"/>
      <c r="C86" s="294">
        <f>SUM('Sch M'!V91:V100)</f>
        <v>5110216</v>
      </c>
      <c r="D86" s="113"/>
      <c r="E86" s="295">
        <f>SUM('Sch M'!T105:T111)</f>
        <v>3349415</v>
      </c>
      <c r="F86" s="295"/>
      <c r="G86" s="295">
        <f>SUM('Sch M'!V105:V111)</f>
        <v>18706483</v>
      </c>
      <c r="H86" s="287"/>
      <c r="I86" s="287"/>
      <c r="J86" s="287"/>
      <c r="K86" s="267"/>
      <c r="L86" s="161"/>
      <c r="M86" s="235"/>
      <c r="N86" s="111"/>
      <c r="O86" s="111"/>
      <c r="Q86" s="8"/>
      <c r="R86" s="3"/>
      <c r="S86" s="3"/>
      <c r="T86" s="8"/>
      <c r="U86" s="3"/>
      <c r="V86" s="3"/>
      <c r="W86" s="8"/>
    </row>
    <row r="87" spans="1:23" ht="15" x14ac:dyDescent="0.25">
      <c r="A87" s="86"/>
      <c r="B87" s="86"/>
      <c r="C87" s="296"/>
      <c r="D87" s="163"/>
      <c r="E87" s="295"/>
      <c r="F87" s="295"/>
      <c r="G87" s="295"/>
      <c r="H87" s="287"/>
      <c r="I87" s="287"/>
      <c r="J87" s="287"/>
      <c r="K87" s="267"/>
      <c r="L87" s="161"/>
      <c r="M87" s="284"/>
      <c r="N87" s="267"/>
      <c r="O87" s="161"/>
      <c r="Q87" s="2"/>
      <c r="R87" s="15"/>
      <c r="S87" s="16"/>
      <c r="T87" s="17"/>
      <c r="U87" s="15"/>
      <c r="V87" s="16"/>
      <c r="W87" s="8"/>
    </row>
    <row r="88" spans="1:23" ht="15" x14ac:dyDescent="0.25">
      <c r="A88" s="86" t="str">
        <f>'Sch M'!B128</f>
        <v>Industrial:</v>
      </c>
      <c r="B88" s="86"/>
      <c r="C88" s="294">
        <f>SUM('Sch M'!V130:V138)</f>
        <v>154743</v>
      </c>
      <c r="D88" s="113"/>
      <c r="E88" s="295">
        <f>SUM('Sch M'!T144:T150)</f>
        <v>619086</v>
      </c>
      <c r="F88" s="295"/>
      <c r="G88" s="295">
        <f>SUM('Sch M'!V144:V150)</f>
        <v>3047141</v>
      </c>
      <c r="H88" s="287"/>
      <c r="I88" s="287"/>
      <c r="J88" s="287"/>
      <c r="K88" s="267"/>
      <c r="L88" s="161"/>
      <c r="M88" s="284"/>
      <c r="N88" s="267"/>
      <c r="O88" s="161"/>
      <c r="Q88" s="2"/>
      <c r="R88" s="15"/>
      <c r="S88" s="16"/>
      <c r="T88" s="17"/>
      <c r="U88" s="15"/>
      <c r="V88" s="16"/>
      <c r="W88" s="8"/>
    </row>
    <row r="89" spans="1:23" ht="15" x14ac:dyDescent="0.25">
      <c r="A89" s="86"/>
      <c r="B89" s="86"/>
      <c r="C89" s="296"/>
      <c r="D89" s="163"/>
      <c r="E89" s="295"/>
      <c r="F89" s="295"/>
      <c r="G89" s="295"/>
      <c r="H89" s="287"/>
      <c r="I89" s="287"/>
      <c r="J89" s="287"/>
      <c r="K89" s="267"/>
      <c r="L89" s="161"/>
      <c r="M89" s="284"/>
      <c r="N89" s="267"/>
      <c r="O89" s="161"/>
      <c r="Q89" s="2"/>
      <c r="R89" s="15"/>
      <c r="S89" s="16"/>
      <c r="T89" s="17"/>
      <c r="U89" s="15"/>
      <c r="V89" s="16"/>
      <c r="W89" s="8"/>
    </row>
    <row r="90" spans="1:23" ht="15" x14ac:dyDescent="0.25">
      <c r="A90" s="86" t="str">
        <f>'Sch M'!B167</f>
        <v>Other Public Authority:</v>
      </c>
      <c r="B90" s="86"/>
      <c r="C90" s="294">
        <f>SUM('Sch M'!V169:V178)</f>
        <v>981042</v>
      </c>
      <c r="D90" s="113"/>
      <c r="E90" s="295">
        <f>SUM('Sch M'!T183:T189)</f>
        <v>1196002</v>
      </c>
      <c r="F90" s="295"/>
      <c r="G90" s="295">
        <f>SUM('Sch M'!V183:V189)</f>
        <v>6213230</v>
      </c>
      <c r="H90" s="287"/>
      <c r="I90" s="287"/>
      <c r="J90" s="287"/>
      <c r="K90" s="267"/>
      <c r="L90" s="161"/>
      <c r="M90" s="284"/>
      <c r="N90" s="267"/>
      <c r="O90" s="161"/>
      <c r="Q90" s="2"/>
      <c r="R90" s="15"/>
      <c r="S90" s="16"/>
      <c r="T90" s="17"/>
      <c r="U90" s="15"/>
      <c r="V90" s="16"/>
      <c r="W90" s="8"/>
    </row>
    <row r="91" spans="1:23" ht="15" x14ac:dyDescent="0.25">
      <c r="A91" s="86"/>
      <c r="B91" s="86"/>
      <c r="C91" s="296"/>
      <c r="D91" s="163"/>
      <c r="E91" s="295"/>
      <c r="F91" s="295"/>
      <c r="G91" s="295"/>
      <c r="H91" s="287"/>
      <c r="I91" s="287"/>
      <c r="J91" s="287"/>
      <c r="K91" s="272"/>
      <c r="L91" s="272"/>
      <c r="M91" s="284"/>
      <c r="N91" s="267"/>
      <c r="O91" s="161"/>
      <c r="Q91" s="2"/>
      <c r="R91" s="15"/>
      <c r="S91" s="16"/>
      <c r="T91" s="17"/>
      <c r="U91" s="15"/>
      <c r="V91" s="16"/>
      <c r="W91" s="8"/>
    </row>
    <row r="92" spans="1:23" ht="15" x14ac:dyDescent="0.25">
      <c r="A92" s="86" t="str">
        <f>'Sch M'!B206</f>
        <v>Sale for Resale:</v>
      </c>
      <c r="B92" s="86"/>
      <c r="C92" s="294">
        <f>SUM('Sch M'!V208:V217)</f>
        <v>90710</v>
      </c>
      <c r="D92" s="113"/>
      <c r="E92" s="295">
        <f>SUM('Sch M'!T222:T228)</f>
        <v>403500</v>
      </c>
      <c r="F92" s="295"/>
      <c r="G92" s="295">
        <f>SUM('Sch M'!V222:V228)</f>
        <v>1870223</v>
      </c>
      <c r="H92" s="287"/>
      <c r="I92" s="287"/>
      <c r="J92" s="287"/>
      <c r="K92" s="267"/>
      <c r="L92" s="161"/>
      <c r="M92" s="284"/>
      <c r="N92" s="267"/>
      <c r="O92" s="161"/>
      <c r="Q92" s="2"/>
      <c r="R92" s="15"/>
      <c r="S92" s="16"/>
      <c r="T92" s="17"/>
      <c r="U92" s="15"/>
      <c r="V92" s="16"/>
      <c r="W92" s="8"/>
    </row>
    <row r="93" spans="1:23" ht="15" x14ac:dyDescent="0.25">
      <c r="A93" s="86"/>
      <c r="B93" s="86"/>
      <c r="C93" s="296"/>
      <c r="D93" s="163"/>
      <c r="E93" s="295"/>
      <c r="F93" s="295"/>
      <c r="G93" s="295"/>
      <c r="H93" s="287"/>
      <c r="I93" s="287"/>
      <c r="J93" s="287"/>
      <c r="K93" s="86"/>
      <c r="L93" s="86"/>
      <c r="M93" s="284"/>
      <c r="N93" s="267"/>
      <c r="O93" s="161"/>
      <c r="Q93" s="2"/>
      <c r="R93" s="15"/>
      <c r="S93" s="16"/>
      <c r="T93" s="17"/>
      <c r="U93" s="15"/>
      <c r="V93" s="16"/>
      <c r="W93" s="8"/>
    </row>
    <row r="94" spans="1:23" ht="15" x14ac:dyDescent="0.25">
      <c r="A94" s="86" t="str">
        <f>'Sch M'!B245</f>
        <v>Private Fire Service:</v>
      </c>
      <c r="B94" s="86"/>
      <c r="C94" s="294">
        <f>SUM('Sch M'!V246:V254)</f>
        <v>2780586</v>
      </c>
      <c r="D94" s="163"/>
      <c r="E94" s="295">
        <f>'Sch M'!V100</f>
        <v>0</v>
      </c>
      <c r="F94" s="295"/>
      <c r="G94" s="295">
        <f>'Sch M'!V178</f>
        <v>0</v>
      </c>
      <c r="H94" s="287"/>
      <c r="I94" s="287"/>
      <c r="J94" s="287"/>
      <c r="K94" s="272"/>
      <c r="L94" s="272"/>
      <c r="M94" s="284"/>
      <c r="N94" s="267"/>
      <c r="O94" s="161"/>
      <c r="Q94" s="2"/>
      <c r="R94" s="15"/>
      <c r="S94" s="16"/>
      <c r="T94" s="17"/>
      <c r="U94" s="15"/>
      <c r="V94" s="16"/>
      <c r="W94" s="8"/>
    </row>
    <row r="95" spans="1:23" ht="15" x14ac:dyDescent="0.25">
      <c r="A95" s="86"/>
      <c r="B95" s="86"/>
      <c r="C95" s="296"/>
      <c r="D95" s="297"/>
      <c r="E95" s="295"/>
      <c r="F95" s="295"/>
      <c r="G95" s="295"/>
      <c r="H95" s="287"/>
      <c r="I95" s="287"/>
      <c r="J95" s="287"/>
      <c r="K95" s="272"/>
      <c r="L95" s="272"/>
      <c r="M95" s="284"/>
      <c r="N95" s="267"/>
      <c r="O95" s="161"/>
      <c r="Q95" s="2"/>
      <c r="R95" s="15"/>
      <c r="S95" s="16"/>
      <c r="T95" s="17"/>
      <c r="U95" s="15"/>
      <c r="V95" s="16"/>
      <c r="W95" s="8"/>
    </row>
    <row r="96" spans="1:23" ht="15" x14ac:dyDescent="0.25">
      <c r="A96" s="86" t="str">
        <f>'Sch M'!B261</f>
        <v>Public Fire Protection:</v>
      </c>
      <c r="B96" s="86"/>
      <c r="C96" s="294">
        <f>'Sch M'!V262</f>
        <v>4315968</v>
      </c>
      <c r="D96" s="297"/>
      <c r="E96" s="295"/>
      <c r="F96" s="295"/>
      <c r="G96" s="295"/>
      <c r="H96" s="287"/>
      <c r="I96" s="287"/>
      <c r="J96" s="287"/>
      <c r="K96" s="272"/>
      <c r="L96" s="272"/>
      <c r="M96" s="284"/>
      <c r="N96" s="267"/>
      <c r="O96" s="161"/>
      <c r="Q96" s="2"/>
      <c r="R96" s="15"/>
      <c r="S96" s="16"/>
      <c r="T96" s="17"/>
      <c r="U96" s="15"/>
      <c r="V96" s="16"/>
      <c r="W96" s="8"/>
    </row>
    <row r="97" spans="1:23" ht="15" x14ac:dyDescent="0.25">
      <c r="A97" s="86"/>
      <c r="B97" s="86"/>
      <c r="C97" s="296"/>
      <c r="D97" s="203"/>
      <c r="E97" s="295"/>
      <c r="F97" s="295"/>
      <c r="G97" s="295"/>
      <c r="H97" s="287"/>
      <c r="I97" s="287"/>
      <c r="J97" s="287"/>
      <c r="K97" s="272"/>
      <c r="L97" s="272"/>
      <c r="M97" s="272"/>
      <c r="N97" s="272"/>
      <c r="O97" s="272"/>
      <c r="Q97" s="11"/>
      <c r="R97" s="11"/>
      <c r="S97" s="8"/>
      <c r="T97" s="8"/>
      <c r="U97" s="8"/>
      <c r="V97" s="8"/>
      <c r="W97" s="8"/>
    </row>
    <row r="98" spans="1:23" ht="15" x14ac:dyDescent="0.25">
      <c r="A98" s="86" t="str">
        <f>'Sch M'!B285</f>
        <v>Miscellaneous:</v>
      </c>
      <c r="B98" s="117"/>
      <c r="C98" s="298">
        <f>'Sch M'!V309</f>
        <v>84644</v>
      </c>
      <c r="D98" s="299"/>
      <c r="E98" s="295">
        <f>SUM('Sch M'!T301:T307)</f>
        <v>4368</v>
      </c>
      <c r="F98" s="295"/>
      <c r="G98" s="295">
        <f>SUM('Sch M'!V301:V307)</f>
        <v>19656</v>
      </c>
      <c r="H98" s="287"/>
      <c r="I98" s="287"/>
      <c r="J98" s="287"/>
      <c r="K98" s="274"/>
      <c r="L98" s="281"/>
      <c r="M98" s="272"/>
      <c r="N98" s="272"/>
      <c r="O98" s="272"/>
      <c r="Q98" s="11"/>
      <c r="R98" s="11"/>
      <c r="S98" s="8"/>
      <c r="T98" s="8"/>
      <c r="U98" s="8"/>
      <c r="V98" s="8"/>
      <c r="W98" s="8"/>
    </row>
    <row r="99" spans="1:23" ht="15" x14ac:dyDescent="0.25">
      <c r="A99" s="86"/>
      <c r="B99" s="86"/>
      <c r="C99" s="292"/>
      <c r="D99" s="161"/>
      <c r="E99" s="287"/>
      <c r="F99" s="287"/>
      <c r="G99" s="287"/>
      <c r="H99" s="287"/>
      <c r="I99" s="287"/>
      <c r="J99" s="287"/>
      <c r="K99" s="272"/>
      <c r="L99" s="272"/>
      <c r="M99" s="177"/>
      <c r="N99" s="177"/>
      <c r="O99" s="177"/>
    </row>
    <row r="100" spans="1:23" ht="15" x14ac:dyDescent="0.25">
      <c r="A100" s="86"/>
      <c r="B100" s="86"/>
      <c r="C100" s="292"/>
      <c r="D100" s="161"/>
      <c r="E100" s="287"/>
      <c r="F100" s="287"/>
      <c r="G100" s="287"/>
      <c r="H100" s="287"/>
      <c r="I100" s="287"/>
      <c r="J100" s="287"/>
      <c r="K100" s="111"/>
      <c r="L100" s="111"/>
      <c r="M100" s="177"/>
      <c r="N100" s="177"/>
      <c r="O100" s="177"/>
    </row>
    <row r="101" spans="1:23" ht="15" x14ac:dyDescent="0.25">
      <c r="A101" s="86"/>
      <c r="B101" s="86"/>
      <c r="C101" s="292"/>
      <c r="D101" s="161"/>
      <c r="E101" s="287"/>
      <c r="F101" s="287"/>
      <c r="G101" s="287"/>
      <c r="H101" s="287"/>
      <c r="I101" s="287"/>
      <c r="J101" s="287"/>
      <c r="K101" s="111"/>
      <c r="L101" s="111"/>
      <c r="M101" s="177"/>
      <c r="N101" s="177"/>
      <c r="O101" s="177"/>
    </row>
    <row r="102" spans="1:23" ht="15" x14ac:dyDescent="0.25">
      <c r="A102" s="86"/>
      <c r="B102" s="86"/>
      <c r="C102" s="292"/>
      <c r="D102" s="161"/>
      <c r="E102" s="287"/>
      <c r="F102" s="287"/>
      <c r="G102" s="287"/>
      <c r="H102" s="287"/>
      <c r="I102" s="287"/>
      <c r="J102" s="287"/>
      <c r="K102" s="267"/>
      <c r="L102" s="161"/>
      <c r="M102" s="177"/>
      <c r="N102" s="177"/>
      <c r="O102" s="177"/>
    </row>
    <row r="103" spans="1:23" ht="15" x14ac:dyDescent="0.25">
      <c r="A103" s="86"/>
      <c r="B103" s="86"/>
      <c r="C103" s="292"/>
      <c r="D103" s="161"/>
      <c r="E103" s="287"/>
      <c r="F103" s="287"/>
      <c r="G103" s="287"/>
      <c r="H103" s="287"/>
      <c r="I103" s="287"/>
      <c r="J103" s="287"/>
      <c r="K103" s="267"/>
      <c r="L103" s="161"/>
      <c r="M103" s="177"/>
      <c r="N103" s="177"/>
      <c r="O103" s="177"/>
    </row>
    <row r="104" spans="1:23" ht="15" x14ac:dyDescent="0.25">
      <c r="A104" s="86"/>
      <c r="B104" s="86"/>
      <c r="C104" s="292"/>
      <c r="D104" s="161"/>
      <c r="E104" s="287"/>
      <c r="F104" s="287"/>
      <c r="G104" s="287"/>
      <c r="H104" s="287"/>
      <c r="I104" s="287"/>
      <c r="J104" s="287"/>
      <c r="K104" s="267"/>
      <c r="L104" s="161"/>
      <c r="M104" s="177"/>
      <c r="N104" s="177"/>
      <c r="O104" s="177"/>
    </row>
    <row r="105" spans="1:23" ht="15" x14ac:dyDescent="0.25">
      <c r="A105" s="101"/>
      <c r="B105" s="101"/>
      <c r="C105" s="292"/>
      <c r="D105" s="161"/>
      <c r="E105" s="287"/>
      <c r="F105" s="287"/>
      <c r="G105" s="287"/>
      <c r="H105" s="287"/>
      <c r="I105" s="287"/>
      <c r="J105" s="287"/>
      <c r="K105" s="267"/>
      <c r="L105" s="161"/>
      <c r="M105" s="177"/>
      <c r="N105" s="177"/>
      <c r="O105" s="177"/>
    </row>
    <row r="106" spans="1:23" ht="15" x14ac:dyDescent="0.25">
      <c r="A106" s="86"/>
      <c r="B106" s="86"/>
      <c r="C106" s="292"/>
      <c r="D106" s="161"/>
      <c r="E106" s="287"/>
      <c r="F106" s="287"/>
      <c r="G106" s="287"/>
      <c r="H106" s="287"/>
      <c r="I106" s="287"/>
      <c r="J106" s="287"/>
      <c r="K106" s="267"/>
      <c r="L106" s="161"/>
      <c r="M106" s="177"/>
      <c r="N106" s="177"/>
      <c r="O106" s="177"/>
    </row>
    <row r="107" spans="1:23" ht="15" x14ac:dyDescent="0.25">
      <c r="A107" s="86"/>
      <c r="B107" s="86"/>
      <c r="C107" s="292"/>
      <c r="D107" s="161"/>
      <c r="E107" s="287"/>
      <c r="F107" s="287"/>
      <c r="G107" s="287"/>
      <c r="H107" s="287"/>
      <c r="I107" s="287"/>
      <c r="J107" s="287"/>
      <c r="K107" s="267"/>
      <c r="L107" s="161"/>
      <c r="M107" s="177"/>
      <c r="N107" s="177"/>
      <c r="O107" s="177"/>
    </row>
    <row r="108" spans="1:23" ht="15" x14ac:dyDescent="0.25">
      <c r="A108" s="292"/>
      <c r="B108" s="292"/>
      <c r="C108" s="292"/>
      <c r="D108" s="235"/>
      <c r="E108" s="287"/>
      <c r="F108" s="287"/>
      <c r="G108" s="287"/>
      <c r="H108" s="287"/>
      <c r="I108" s="287"/>
      <c r="J108" s="287"/>
      <c r="K108" s="272"/>
      <c r="L108" s="272"/>
      <c r="M108" s="177"/>
      <c r="N108" s="177"/>
      <c r="O108" s="177"/>
    </row>
    <row r="109" spans="1:23" ht="15" x14ac:dyDescent="0.25">
      <c r="A109" s="86"/>
      <c r="B109" s="267"/>
      <c r="C109" s="161"/>
      <c r="D109" s="161"/>
      <c r="E109" s="267"/>
      <c r="F109" s="161"/>
      <c r="G109" s="272"/>
      <c r="H109" s="267"/>
      <c r="I109" s="161"/>
      <c r="J109" s="86"/>
      <c r="K109" s="267"/>
      <c r="L109" s="161"/>
      <c r="M109" s="177"/>
      <c r="N109" s="177"/>
      <c r="O109" s="177"/>
    </row>
    <row r="110" spans="1:23" ht="15" x14ac:dyDescent="0.25">
      <c r="A110" s="86"/>
      <c r="B110" s="86"/>
      <c r="C110" s="86"/>
      <c r="D110" s="86"/>
      <c r="E110" s="86"/>
      <c r="F110" s="86"/>
      <c r="G110" s="272"/>
      <c r="H110" s="86"/>
      <c r="I110" s="86"/>
      <c r="J110" s="86"/>
      <c r="K110" s="86"/>
      <c r="L110" s="86"/>
      <c r="M110" s="177"/>
      <c r="N110" s="177"/>
      <c r="O110" s="177"/>
    </row>
    <row r="111" spans="1:23" ht="15" x14ac:dyDescent="0.25">
      <c r="A111" s="101"/>
      <c r="B111" s="272"/>
      <c r="C111" s="272"/>
      <c r="D111" s="272"/>
      <c r="E111" s="272"/>
      <c r="F111" s="272"/>
      <c r="G111" s="272"/>
      <c r="H111" s="272"/>
      <c r="I111" s="272"/>
      <c r="J111" s="101"/>
      <c r="K111" s="272"/>
      <c r="L111" s="272"/>
      <c r="M111" s="177"/>
      <c r="N111" s="177"/>
      <c r="O111" s="177"/>
    </row>
    <row r="112" spans="1:23" ht="15" x14ac:dyDescent="0.25">
      <c r="A112" s="168"/>
      <c r="B112" s="168"/>
      <c r="C112" s="168"/>
      <c r="D112" s="168"/>
      <c r="E112" s="168"/>
      <c r="F112" s="168"/>
      <c r="G112" s="177"/>
      <c r="H112" s="177"/>
      <c r="I112" s="177"/>
      <c r="J112" s="177"/>
      <c r="K112" s="177"/>
      <c r="L112" s="177"/>
      <c r="M112" s="177"/>
      <c r="N112" s="177"/>
      <c r="O112" s="177"/>
    </row>
    <row r="113" spans="1:18" ht="15" x14ac:dyDescent="0.25">
      <c r="A113" s="168"/>
      <c r="B113" s="168"/>
      <c r="C113" s="168"/>
      <c r="D113" s="168"/>
      <c r="E113" s="168"/>
      <c r="F113" s="168"/>
      <c r="G113" s="177"/>
      <c r="H113" s="177"/>
      <c r="I113" s="177"/>
      <c r="J113" s="177"/>
      <c r="K113" s="177"/>
      <c r="L113" s="177"/>
      <c r="M113" s="177"/>
      <c r="N113" s="177"/>
      <c r="O113" s="177"/>
    </row>
    <row r="114" spans="1:18" ht="15" x14ac:dyDescent="0.25">
      <c r="A114" s="168"/>
      <c r="B114" s="168"/>
      <c r="C114" s="168"/>
      <c r="D114" s="168"/>
      <c r="E114" s="168"/>
      <c r="F114" s="168"/>
      <c r="G114" s="177"/>
      <c r="H114" s="177"/>
      <c r="I114" s="177"/>
      <c r="J114" s="177"/>
      <c r="K114" s="177"/>
      <c r="L114" s="177"/>
      <c r="M114" s="177"/>
      <c r="N114" s="177"/>
      <c r="O114" s="177"/>
    </row>
    <row r="115" spans="1:18" ht="15" x14ac:dyDescent="0.25">
      <c r="A115" s="212"/>
      <c r="B115" s="212"/>
      <c r="C115" s="212"/>
      <c r="D115" s="255"/>
      <c r="E115" s="255"/>
      <c r="F115" s="255"/>
      <c r="G115" s="255"/>
      <c r="H115" s="255"/>
      <c r="I115" s="177"/>
      <c r="J115" s="177"/>
      <c r="K115" s="177"/>
      <c r="L115" s="177"/>
      <c r="M115" s="177"/>
      <c r="N115" s="177"/>
      <c r="O115" s="177"/>
      <c r="P115"/>
      <c r="Q115"/>
      <c r="R115"/>
    </row>
    <row r="116" spans="1:18" ht="15" x14ac:dyDescent="0.25">
      <c r="A116" s="168"/>
      <c r="B116" s="100"/>
      <c r="C116" s="300"/>
      <c r="D116" s="177"/>
      <c r="E116" s="100"/>
      <c r="F116" s="300"/>
      <c r="G116" s="177"/>
      <c r="H116" s="100"/>
      <c r="I116" s="300"/>
      <c r="J116" s="177"/>
      <c r="K116" s="177"/>
      <c r="L116" s="177"/>
      <c r="M116" s="177"/>
      <c r="N116" s="177"/>
      <c r="O116" s="177"/>
      <c r="P116"/>
      <c r="Q116"/>
      <c r="R116"/>
    </row>
    <row r="117" spans="1:18" ht="15" x14ac:dyDescent="0.25">
      <c r="A117" s="168"/>
      <c r="B117" s="100"/>
      <c r="C117" s="300"/>
      <c r="D117" s="177"/>
      <c r="E117" s="100"/>
      <c r="F117" s="300"/>
      <c r="G117" s="177"/>
      <c r="H117" s="100"/>
      <c r="I117" s="300"/>
      <c r="J117" s="177"/>
      <c r="K117" s="177"/>
      <c r="L117" s="177"/>
      <c r="M117" s="177"/>
      <c r="N117" s="177"/>
      <c r="O117" s="177"/>
      <c r="P117"/>
      <c r="Q117"/>
      <c r="R117"/>
    </row>
    <row r="118" spans="1:18" ht="15" x14ac:dyDescent="0.25">
      <c r="A118" s="168"/>
      <c r="B118" s="100"/>
      <c r="C118" s="300"/>
      <c r="D118" s="177"/>
      <c r="E118" s="100"/>
      <c r="F118" s="300"/>
      <c r="G118" s="177"/>
      <c r="H118" s="100"/>
      <c r="I118" s="300"/>
      <c r="J118" s="177"/>
      <c r="K118" s="177"/>
      <c r="L118" s="177"/>
      <c r="M118" s="177"/>
      <c r="N118" s="177"/>
      <c r="O118" s="177"/>
      <c r="P118"/>
      <c r="Q118"/>
      <c r="R118"/>
    </row>
    <row r="119" spans="1:18" ht="15" x14ac:dyDescent="0.25">
      <c r="A119" s="168"/>
      <c r="B119" s="100"/>
      <c r="C119" s="300"/>
      <c r="D119" s="177"/>
      <c r="E119" s="100"/>
      <c r="F119" s="300"/>
      <c r="G119" s="177"/>
      <c r="H119" s="100"/>
      <c r="I119" s="300"/>
      <c r="J119" s="177"/>
      <c r="K119" s="177"/>
      <c r="L119" s="177"/>
      <c r="M119" s="177"/>
      <c r="N119" s="177"/>
      <c r="O119" s="177"/>
      <c r="P119"/>
      <c r="Q119"/>
      <c r="R119"/>
    </row>
    <row r="120" spans="1:18" ht="15" x14ac:dyDescent="0.25">
      <c r="A120" s="168"/>
      <c r="B120" s="100"/>
      <c r="C120" s="300"/>
      <c r="D120" s="177"/>
      <c r="E120" s="100"/>
      <c r="F120" s="300"/>
      <c r="G120" s="177"/>
      <c r="H120" s="100"/>
      <c r="I120" s="300"/>
      <c r="J120" s="177"/>
      <c r="K120" s="177"/>
      <c r="L120" s="177"/>
      <c r="M120" s="177"/>
      <c r="N120" s="177"/>
      <c r="O120" s="177"/>
      <c r="P120"/>
      <c r="Q120"/>
      <c r="R120"/>
    </row>
    <row r="121" spans="1:18" ht="15" x14ac:dyDescent="0.25">
      <c r="A121" s="212"/>
      <c r="B121" s="301"/>
      <c r="C121" s="212"/>
      <c r="D121" s="255"/>
      <c r="E121" s="301"/>
      <c r="F121" s="255"/>
      <c r="G121" s="255"/>
      <c r="H121" s="301"/>
      <c r="I121" s="177"/>
      <c r="J121" s="177"/>
      <c r="K121" s="177"/>
      <c r="L121" s="177"/>
      <c r="M121" s="177"/>
      <c r="N121" s="177"/>
      <c r="O121" s="177"/>
      <c r="P121"/>
      <c r="Q121"/>
      <c r="R121"/>
    </row>
    <row r="122" spans="1:18" ht="15" x14ac:dyDescent="0.25">
      <c r="A122" s="168"/>
      <c r="B122" s="168"/>
      <c r="C122" s="168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/>
      <c r="Q122"/>
      <c r="R122"/>
    </row>
    <row r="123" spans="1:18" ht="15" x14ac:dyDescent="0.25">
      <c r="A123" s="168"/>
      <c r="B123" s="100"/>
      <c r="C123" s="168"/>
      <c r="D123" s="177"/>
      <c r="E123" s="100"/>
      <c r="F123" s="177"/>
      <c r="G123" s="177"/>
      <c r="H123" s="100"/>
      <c r="I123" s="177"/>
      <c r="J123" s="177"/>
      <c r="K123" s="177"/>
      <c r="L123" s="177"/>
      <c r="M123" s="177"/>
      <c r="N123" s="177"/>
      <c r="O123" s="177"/>
      <c r="P123"/>
      <c r="Q123"/>
      <c r="R123"/>
    </row>
    <row r="124" spans="1:18" ht="15" x14ac:dyDescent="0.25">
      <c r="A124" s="168"/>
      <c r="B124" s="168"/>
      <c r="C124" s="168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/>
      <c r="Q124"/>
      <c r="R124"/>
    </row>
    <row r="125" spans="1:18" ht="15" x14ac:dyDescent="0.25">
      <c r="A125" s="212"/>
      <c r="B125" s="168"/>
      <c r="C125" s="168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/>
      <c r="Q125"/>
      <c r="R125"/>
    </row>
    <row r="126" spans="1:18" ht="15" x14ac:dyDescent="0.25">
      <c r="A126" s="168"/>
      <c r="B126" s="219"/>
      <c r="C126" s="302"/>
      <c r="D126" s="177"/>
      <c r="E126" s="219"/>
      <c r="F126" s="177"/>
      <c r="G126" s="177"/>
      <c r="H126" s="219"/>
      <c r="I126" s="177"/>
      <c r="J126" s="177"/>
      <c r="K126" s="177"/>
      <c r="L126" s="177"/>
      <c r="M126" s="177"/>
      <c r="N126" s="177"/>
      <c r="O126" s="177"/>
      <c r="P126"/>
      <c r="Q126"/>
      <c r="R126"/>
    </row>
    <row r="127" spans="1:18" ht="15" x14ac:dyDescent="0.25">
      <c r="A127" s="168"/>
      <c r="B127" s="219"/>
      <c r="C127" s="168"/>
      <c r="D127" s="177"/>
      <c r="E127" s="219"/>
      <c r="F127" s="177"/>
      <c r="G127" s="177"/>
      <c r="H127" s="219"/>
      <c r="I127" s="177"/>
      <c r="J127" s="177"/>
      <c r="K127" s="177"/>
      <c r="L127" s="177"/>
      <c r="M127" s="177"/>
      <c r="N127" s="177"/>
      <c r="O127" s="177"/>
      <c r="P127"/>
      <c r="Q127"/>
      <c r="R127"/>
    </row>
    <row r="128" spans="1:18" ht="15" x14ac:dyDescent="0.25">
      <c r="A128" s="168"/>
      <c r="B128" s="219"/>
      <c r="C128" s="168"/>
      <c r="D128" s="177"/>
      <c r="E128" s="219"/>
      <c r="F128" s="177"/>
      <c r="G128" s="177"/>
      <c r="H128" s="219"/>
      <c r="I128" s="177"/>
      <c r="J128" s="177"/>
      <c r="K128" s="177"/>
      <c r="L128" s="177"/>
      <c r="M128" s="177"/>
      <c r="N128" s="177"/>
      <c r="O128" s="177"/>
      <c r="P128"/>
      <c r="Q128"/>
      <c r="R128"/>
    </row>
    <row r="129" spans="1:18" ht="15" x14ac:dyDescent="0.25">
      <c r="A129" s="168"/>
      <c r="B129" s="219"/>
      <c r="C129" s="168"/>
      <c r="D129" s="177"/>
      <c r="E129" s="219"/>
      <c r="F129" s="177"/>
      <c r="G129" s="177"/>
      <c r="H129" s="219"/>
      <c r="I129" s="177"/>
      <c r="J129" s="177"/>
      <c r="K129" s="177"/>
      <c r="L129" s="177"/>
      <c r="M129" s="177"/>
      <c r="N129" s="177"/>
      <c r="O129" s="177"/>
      <c r="P129"/>
      <c r="Q129"/>
      <c r="R129"/>
    </row>
    <row r="130" spans="1:18" ht="15" x14ac:dyDescent="0.25">
      <c r="A130" s="168"/>
      <c r="B130" s="219"/>
      <c r="C130" s="168"/>
      <c r="D130" s="177"/>
      <c r="E130" s="219"/>
      <c r="F130" s="177"/>
      <c r="G130" s="177"/>
      <c r="H130" s="219"/>
      <c r="I130" s="177"/>
      <c r="J130" s="177"/>
      <c r="K130" s="177"/>
      <c r="L130" s="177"/>
      <c r="M130" s="177"/>
      <c r="N130" s="177"/>
      <c r="O130" s="177"/>
      <c r="P130"/>
      <c r="Q130"/>
      <c r="R130"/>
    </row>
    <row r="131" spans="1:18" ht="15" x14ac:dyDescent="0.25">
      <c r="A131" s="212"/>
      <c r="B131" s="303"/>
      <c r="C131" s="212"/>
      <c r="D131" s="255"/>
      <c r="E131" s="303"/>
      <c r="F131" s="255"/>
      <c r="G131" s="255"/>
      <c r="H131" s="303"/>
      <c r="I131" s="177"/>
      <c r="J131" s="177"/>
      <c r="K131" s="177"/>
      <c r="L131" s="177"/>
      <c r="M131" s="177"/>
      <c r="N131" s="177"/>
      <c r="O131" s="177"/>
      <c r="P131"/>
      <c r="Q131"/>
      <c r="R131"/>
    </row>
    <row r="132" spans="1:18" ht="15" x14ac:dyDescent="0.25">
      <c r="A132" s="168"/>
      <c r="B132" s="168"/>
      <c r="C132" s="168"/>
      <c r="D132" s="177"/>
      <c r="E132" s="168"/>
      <c r="F132" s="177"/>
      <c r="G132" s="177"/>
      <c r="H132" s="168"/>
      <c r="I132" s="177"/>
      <c r="J132" s="177"/>
      <c r="K132" s="177"/>
      <c r="L132" s="177"/>
      <c r="M132" s="177"/>
      <c r="N132" s="177"/>
      <c r="O132" s="177"/>
      <c r="P132"/>
      <c r="Q132"/>
      <c r="R132"/>
    </row>
    <row r="133" spans="1:18" ht="15" x14ac:dyDescent="0.25">
      <c r="A133" s="168"/>
      <c r="B133" s="168"/>
      <c r="C133" s="168"/>
      <c r="D133" s="177"/>
      <c r="E133" s="168"/>
      <c r="F133" s="177"/>
      <c r="G133" s="177"/>
      <c r="H133" s="168"/>
      <c r="I133" s="177"/>
      <c r="J133" s="177"/>
      <c r="K133" s="177"/>
      <c r="L133" s="177"/>
      <c r="M133" s="177"/>
      <c r="N133" s="177"/>
      <c r="O133" s="177"/>
      <c r="P133"/>
      <c r="Q133"/>
      <c r="R133"/>
    </row>
    <row r="134" spans="1:18" ht="15" x14ac:dyDescent="0.25">
      <c r="A134" s="212"/>
      <c r="B134" s="168"/>
      <c r="C134" s="168"/>
      <c r="D134" s="177"/>
      <c r="E134" s="168"/>
      <c r="F134" s="177"/>
      <c r="G134" s="177"/>
      <c r="H134" s="168"/>
      <c r="I134" s="177"/>
      <c r="J134" s="177"/>
      <c r="K134" s="177"/>
      <c r="L134" s="177"/>
      <c r="M134" s="177"/>
      <c r="N134" s="177"/>
      <c r="O134" s="177"/>
      <c r="P134"/>
      <c r="Q134"/>
      <c r="R134"/>
    </row>
    <row r="135" spans="1:18" ht="15" x14ac:dyDescent="0.25">
      <c r="A135" s="168"/>
      <c r="B135" s="100"/>
      <c r="C135" s="168"/>
      <c r="D135" s="177"/>
      <c r="E135" s="100"/>
      <c r="F135" s="177"/>
      <c r="G135" s="177"/>
      <c r="H135" s="100"/>
      <c r="I135" s="177"/>
      <c r="J135" s="177"/>
      <c r="K135" s="177"/>
      <c r="L135" s="177"/>
      <c r="M135" s="177"/>
      <c r="N135" s="177"/>
      <c r="O135" s="177"/>
      <c r="P135"/>
      <c r="Q135"/>
      <c r="R135"/>
    </row>
    <row r="136" spans="1:18" ht="15" x14ac:dyDescent="0.25">
      <c r="A136" s="168"/>
      <c r="B136" s="100"/>
      <c r="C136" s="168"/>
      <c r="D136" s="177"/>
      <c r="E136" s="100"/>
      <c r="F136" s="177"/>
      <c r="G136" s="177"/>
      <c r="H136" s="100"/>
      <c r="I136" s="177"/>
      <c r="J136" s="177"/>
      <c r="K136" s="177"/>
      <c r="L136" s="177"/>
      <c r="M136" s="177"/>
      <c r="N136" s="177"/>
      <c r="O136" s="177"/>
      <c r="P136"/>
      <c r="Q136"/>
      <c r="R136"/>
    </row>
    <row r="137" spans="1:18" ht="15" x14ac:dyDescent="0.25">
      <c r="A137" s="168"/>
      <c r="B137" s="100"/>
      <c r="C137" s="168"/>
      <c r="D137" s="177"/>
      <c r="E137" s="100"/>
      <c r="F137" s="177"/>
      <c r="G137" s="177"/>
      <c r="H137" s="100"/>
      <c r="I137" s="177"/>
      <c r="J137" s="177"/>
      <c r="K137" s="177"/>
      <c r="L137" s="177"/>
      <c r="M137" s="177"/>
      <c r="N137" s="177"/>
      <c r="O137" s="177"/>
      <c r="P137"/>
      <c r="Q137"/>
      <c r="R137"/>
    </row>
    <row r="138" spans="1:18" ht="15" x14ac:dyDescent="0.25">
      <c r="A138" s="168"/>
      <c r="B138" s="100"/>
      <c r="C138" s="168"/>
      <c r="D138" s="177"/>
      <c r="E138" s="100"/>
      <c r="F138" s="177"/>
      <c r="G138" s="177"/>
      <c r="H138" s="100"/>
      <c r="I138" s="177"/>
      <c r="J138" s="177"/>
      <c r="K138" s="177"/>
      <c r="L138" s="177"/>
      <c r="M138" s="177"/>
      <c r="N138" s="177"/>
      <c r="O138" s="177"/>
      <c r="P138"/>
      <c r="Q138"/>
      <c r="R138"/>
    </row>
    <row r="139" spans="1:18" ht="15" x14ac:dyDescent="0.25">
      <c r="A139" s="168"/>
      <c r="B139" s="100"/>
      <c r="C139" s="168"/>
      <c r="D139" s="177"/>
      <c r="E139" s="100"/>
      <c r="F139" s="177"/>
      <c r="G139" s="177"/>
      <c r="H139" s="100"/>
      <c r="I139" s="177"/>
      <c r="J139" s="177"/>
      <c r="K139" s="177"/>
      <c r="L139" s="177"/>
      <c r="M139" s="177"/>
      <c r="N139" s="177"/>
      <c r="O139" s="177"/>
      <c r="P139"/>
      <c r="Q139"/>
      <c r="R139"/>
    </row>
    <row r="140" spans="1:18" ht="15" x14ac:dyDescent="0.25">
      <c r="A140" s="212"/>
      <c r="B140" s="301"/>
      <c r="C140" s="212"/>
      <c r="D140" s="255"/>
      <c r="E140" s="301"/>
      <c r="F140" s="255"/>
      <c r="G140" s="255"/>
      <c r="H140" s="301"/>
      <c r="I140" s="177"/>
      <c r="J140" s="177"/>
      <c r="K140" s="177"/>
      <c r="L140" s="177"/>
      <c r="M140" s="177"/>
      <c r="N140" s="177"/>
      <c r="O140" s="177"/>
      <c r="P140"/>
      <c r="Q140"/>
      <c r="R140"/>
    </row>
    <row r="141" spans="1:18" ht="15" x14ac:dyDescent="0.25">
      <c r="A141" s="168"/>
      <c r="B141" s="168"/>
      <c r="C141" s="168"/>
      <c r="D141" s="168"/>
      <c r="E141" s="168"/>
      <c r="F141" s="168"/>
      <c r="G141" s="177"/>
      <c r="H141" s="177"/>
      <c r="I141" s="177"/>
      <c r="J141" s="177"/>
      <c r="K141" s="177"/>
      <c r="L141" s="177"/>
      <c r="M141" s="177"/>
      <c r="N141" s="177"/>
      <c r="O141" s="177"/>
    </row>
    <row r="142" spans="1:18" ht="15" x14ac:dyDescent="0.25">
      <c r="A142" s="168"/>
      <c r="B142" s="168"/>
      <c r="C142" s="168"/>
      <c r="D142" s="168"/>
      <c r="E142" s="168"/>
      <c r="F142" s="168"/>
      <c r="G142" s="177"/>
      <c r="H142" s="177"/>
      <c r="I142" s="177"/>
      <c r="J142" s="177"/>
      <c r="K142" s="177"/>
      <c r="L142" s="177"/>
      <c r="M142" s="177"/>
      <c r="N142" s="177"/>
      <c r="O142" s="177"/>
    </row>
    <row r="143" spans="1:18" ht="15" x14ac:dyDescent="0.25">
      <c r="A143" s="212"/>
      <c r="B143" s="168"/>
      <c r="C143" s="168"/>
      <c r="D143" s="168"/>
      <c r="E143" s="168"/>
      <c r="F143" s="168"/>
      <c r="G143" s="177"/>
      <c r="H143" s="177"/>
      <c r="I143" s="177"/>
      <c r="J143" s="177"/>
      <c r="K143" s="177"/>
      <c r="L143" s="177"/>
      <c r="M143" s="177"/>
      <c r="N143" s="177"/>
      <c r="O143" s="177"/>
    </row>
    <row r="144" spans="1:18" ht="15" x14ac:dyDescent="0.25">
      <c r="A144" s="168"/>
      <c r="B144" s="264"/>
      <c r="C144" s="168"/>
      <c r="D144" s="168"/>
      <c r="E144" s="168"/>
      <c r="F144" s="168"/>
      <c r="G144" s="177"/>
      <c r="H144" s="177"/>
      <c r="I144" s="177"/>
      <c r="J144" s="177"/>
      <c r="K144" s="177"/>
      <c r="L144" s="177"/>
      <c r="M144" s="177"/>
      <c r="N144" s="177"/>
      <c r="O144" s="177"/>
    </row>
    <row r="145" spans="1:15" ht="15" x14ac:dyDescent="0.25">
      <c r="A145" s="168"/>
      <c r="B145" s="264"/>
      <c r="C145" s="168"/>
      <c r="D145" s="168"/>
      <c r="E145" s="168"/>
      <c r="F145" s="168"/>
      <c r="G145" s="177"/>
      <c r="H145" s="177"/>
      <c r="I145" s="177"/>
      <c r="J145" s="177"/>
      <c r="K145" s="177"/>
      <c r="L145" s="177"/>
      <c r="M145" s="177"/>
      <c r="N145" s="177"/>
      <c r="O145" s="177"/>
    </row>
    <row r="146" spans="1:15" x14ac:dyDescent="0.2">
      <c r="B146" s="7"/>
    </row>
    <row r="147" spans="1:15" x14ac:dyDescent="0.2">
      <c r="B147" s="7"/>
    </row>
    <row r="148" spans="1:15" x14ac:dyDescent="0.2">
      <c r="B148" s="7"/>
    </row>
  </sheetData>
  <mergeCells count="9">
    <mergeCell ref="B47:C47"/>
    <mergeCell ref="E47:F47"/>
    <mergeCell ref="E64:F64"/>
    <mergeCell ref="R8:S8"/>
    <mergeCell ref="J6:O6"/>
    <mergeCell ref="B29:C29"/>
    <mergeCell ref="B8:D8"/>
    <mergeCell ref="F8:H8"/>
    <mergeCell ref="L8:M8"/>
  </mergeCells>
  <phoneticPr fontId="0" type="noConversion"/>
  <pageMargins left="0.25" right="0.25" top="1" bottom="1" header="0.5" footer="0.5"/>
  <pageSetup scale="73" orientation="landscape" r:id="rId1"/>
  <headerFooter alignWithMargins="0">
    <oddFooter>&amp;L&amp;D   &amp;T&amp;C&amp;F   &amp;A&amp;R&amp;P of &amp;N</oddFooter>
  </headerFooter>
  <rowBreaks count="2" manualBreakCount="2">
    <brk id="43" max="12" man="1"/>
    <brk id="80" max="12" man="1"/>
  </rowBreaks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167"/>
  <sheetViews>
    <sheetView topLeftCell="A25" zoomScale="80" zoomScaleNormal="80" workbookViewId="0">
      <selection activeCell="M41" sqref="M41"/>
    </sheetView>
  </sheetViews>
  <sheetFormatPr defaultColWidth="8.85546875" defaultRowHeight="12.75" x14ac:dyDescent="0.2"/>
  <cols>
    <col min="1" max="1" width="30.140625" style="4" customWidth="1"/>
    <col min="2" max="2" width="16" style="4" customWidth="1"/>
    <col min="3" max="3" width="13.28515625" style="4" customWidth="1"/>
    <col min="4" max="4" width="13.5703125" style="4" customWidth="1"/>
    <col min="5" max="6" width="12.7109375" style="4" customWidth="1"/>
    <col min="7" max="7" width="14" style="4" customWidth="1"/>
    <col min="8" max="8" width="14.140625" style="4" customWidth="1"/>
    <col min="9" max="9" width="15.7109375" style="4" customWidth="1"/>
    <col min="10" max="16" width="12.7109375" style="4" customWidth="1"/>
    <col min="17" max="17" width="11.7109375" style="4" customWidth="1"/>
    <col min="18" max="18" width="13.28515625" style="4" customWidth="1"/>
    <col min="19" max="19" width="12.85546875" style="4" customWidth="1"/>
    <col min="20" max="21" width="10.7109375" style="4" customWidth="1"/>
    <col min="22" max="22" width="11.85546875" style="4" customWidth="1"/>
    <col min="23" max="23" width="13.7109375" style="4" customWidth="1"/>
    <col min="24" max="24" width="13.28515625" style="4" customWidth="1"/>
    <col min="25" max="25" width="11.7109375" style="4" customWidth="1"/>
    <col min="26" max="26" width="12.7109375" style="4" customWidth="1"/>
    <col min="27" max="27" width="13.28515625" style="4" customWidth="1"/>
    <col min="28" max="28" width="12.85546875" style="4" customWidth="1"/>
    <col min="29" max="30" width="8.85546875" style="4"/>
    <col min="31" max="31" width="13" style="4" bestFit="1" customWidth="1"/>
    <col min="32" max="16384" width="8.85546875" style="4"/>
  </cols>
  <sheetData>
    <row r="1" spans="1:29" ht="15" x14ac:dyDescent="0.25">
      <c r="A1" s="167" t="str">
        <f>'[1]Rate Case Constants'!$C$9</f>
        <v>Kentucky American Water Company</v>
      </c>
      <c r="B1" s="167"/>
      <c r="C1" s="168"/>
      <c r="D1" s="168"/>
      <c r="E1" s="168"/>
      <c r="F1" s="168"/>
      <c r="G1" s="168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8"/>
      <c r="U1" s="168"/>
    </row>
    <row r="2" spans="1:29" ht="15" x14ac:dyDescent="0.25">
      <c r="A2" s="167" t="str">
        <f>'[1]Rate Case Constants'!$C$11</f>
        <v>Case No. 2015-00418</v>
      </c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9" ht="15" x14ac:dyDescent="0.25">
      <c r="A3" s="167" t="str">
        <f>'[1]Rate Case Constants'!$C$15</f>
        <v>Base Year for the 12 Months Ended April 30, 2016</v>
      </c>
      <c r="B3" s="167"/>
      <c r="C3" s="168"/>
      <c r="D3" s="168"/>
      <c r="E3" s="168"/>
      <c r="F3" s="168"/>
      <c r="G3" s="168"/>
      <c r="H3" s="168"/>
      <c r="I3" s="170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9" ht="15.75" thickBot="1" x14ac:dyDescent="0.3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</row>
    <row r="5" spans="1:29" ht="15.75" thickTop="1" x14ac:dyDescent="0.25">
      <c r="A5" s="171" t="str">
        <f>A1</f>
        <v>Kentucky American Water Company</v>
      </c>
      <c r="B5" s="172"/>
      <c r="C5" s="173"/>
      <c r="D5" s="173"/>
      <c r="E5" s="173"/>
      <c r="F5" s="173"/>
      <c r="G5" s="173"/>
      <c r="H5" s="172"/>
      <c r="I5" s="174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6"/>
      <c r="W5" s="6"/>
      <c r="X5" s="6"/>
      <c r="Y5" s="6"/>
      <c r="Z5" s="6"/>
      <c r="AA5" s="6"/>
      <c r="AB5" s="6"/>
      <c r="AC5" s="6"/>
    </row>
    <row r="6" spans="1:29" ht="15" x14ac:dyDescent="0.25">
      <c r="A6" s="175"/>
      <c r="B6" s="321" t="s">
        <v>120</v>
      </c>
      <c r="C6" s="321"/>
      <c r="D6" s="321"/>
      <c r="E6" s="321"/>
      <c r="F6" s="321"/>
      <c r="G6" s="321"/>
      <c r="H6" s="321"/>
      <c r="I6" s="321"/>
      <c r="J6" s="321"/>
      <c r="K6" s="168"/>
      <c r="L6" s="322" t="s">
        <v>123</v>
      </c>
      <c r="M6" s="322"/>
      <c r="N6" s="322"/>
      <c r="O6" s="322"/>
      <c r="P6" s="322"/>
      <c r="Q6" s="322"/>
      <c r="R6" s="322"/>
      <c r="S6" s="322"/>
      <c r="T6" s="322"/>
      <c r="U6" s="168"/>
    </row>
    <row r="7" spans="1:29" ht="15" x14ac:dyDescent="0.25">
      <c r="A7" s="176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</row>
    <row r="8" spans="1:29" ht="15" x14ac:dyDescent="0.25">
      <c r="A8" s="177"/>
      <c r="B8" s="177"/>
      <c r="C8" s="178" t="s">
        <v>3</v>
      </c>
      <c r="D8" s="178" t="s">
        <v>4</v>
      </c>
      <c r="E8" s="178" t="s">
        <v>5</v>
      </c>
      <c r="F8" s="178" t="s">
        <v>6</v>
      </c>
      <c r="G8" s="178" t="s">
        <v>7</v>
      </c>
      <c r="H8" s="179" t="s">
        <v>155</v>
      </c>
      <c r="I8" s="179" t="s">
        <v>134</v>
      </c>
      <c r="J8" s="168"/>
      <c r="K8" s="177"/>
      <c r="L8" s="177"/>
      <c r="M8" s="178" t="s">
        <v>3</v>
      </c>
      <c r="N8" s="178" t="s">
        <v>4</v>
      </c>
      <c r="O8" s="178" t="s">
        <v>5</v>
      </c>
      <c r="P8" s="178" t="s">
        <v>6</v>
      </c>
      <c r="Q8" s="178" t="s">
        <v>7</v>
      </c>
      <c r="R8" s="179" t="s">
        <v>155</v>
      </c>
      <c r="S8" s="179" t="s">
        <v>134</v>
      </c>
      <c r="T8" s="179"/>
      <c r="U8" s="168"/>
    </row>
    <row r="9" spans="1:29" ht="15" x14ac:dyDescent="0.25">
      <c r="A9" s="168" t="s">
        <v>9</v>
      </c>
      <c r="B9" s="168"/>
      <c r="C9" s="180" t="s">
        <v>10</v>
      </c>
      <c r="D9" s="180" t="s">
        <v>10</v>
      </c>
      <c r="E9" s="180" t="s">
        <v>10</v>
      </c>
      <c r="F9" s="180" t="s">
        <v>10</v>
      </c>
      <c r="G9" s="180" t="s">
        <v>10</v>
      </c>
      <c r="H9" s="180" t="s">
        <v>10</v>
      </c>
      <c r="I9" s="180" t="s">
        <v>10</v>
      </c>
      <c r="J9" s="180" t="s">
        <v>11</v>
      </c>
      <c r="K9" s="168" t="s">
        <v>9</v>
      </c>
      <c r="L9" s="168"/>
      <c r="M9" s="180" t="s">
        <v>10</v>
      </c>
      <c r="N9" s="180" t="s">
        <v>10</v>
      </c>
      <c r="O9" s="180" t="s">
        <v>10</v>
      </c>
      <c r="P9" s="180" t="s">
        <v>10</v>
      </c>
      <c r="Q9" s="180" t="s">
        <v>10</v>
      </c>
      <c r="R9" s="180" t="s">
        <v>10</v>
      </c>
      <c r="S9" s="180" t="s">
        <v>10</v>
      </c>
      <c r="T9" s="180" t="s">
        <v>11</v>
      </c>
      <c r="U9" s="168"/>
    </row>
    <row r="10" spans="1:29" ht="15" x14ac:dyDescent="0.25">
      <c r="A10" s="168" t="s">
        <v>12</v>
      </c>
      <c r="B10" s="177" t="s">
        <v>74</v>
      </c>
      <c r="C10" s="181">
        <f>'[2]Link Out'!$C$28</f>
        <v>1367034.3646176646</v>
      </c>
      <c r="D10" s="181">
        <f>'[2]Link Out'!$C$63</f>
        <v>54822.824504633907</v>
      </c>
      <c r="E10" s="181">
        <f>'[2]Link Out'!$C$98</f>
        <v>70.164131305044037</v>
      </c>
      <c r="F10" s="181">
        <f>'[2]Link Out'!$C$133</f>
        <v>1677.5252201761409</v>
      </c>
      <c r="G10" s="181">
        <f>'[2]Link Out'!$C$168</f>
        <v>0</v>
      </c>
      <c r="H10" s="181">
        <f>'[2]Link Out'!C250</f>
        <v>0</v>
      </c>
      <c r="I10" s="181">
        <f>'[2]Link Out'!$C$204</f>
        <v>13879.401908831796</v>
      </c>
      <c r="J10" s="182" t="s">
        <v>140</v>
      </c>
      <c r="K10" s="168" t="s">
        <v>12</v>
      </c>
      <c r="L10" s="177" t="s">
        <v>74</v>
      </c>
      <c r="M10" s="181">
        <f>'[2]Link Out'!$I$28</f>
        <v>1377268</v>
      </c>
      <c r="N10" s="181">
        <f>'[2]Link Out'!$I$63</f>
        <v>55013</v>
      </c>
      <c r="O10" s="181">
        <f>'[2]Link Out'!$I$98</f>
        <v>72</v>
      </c>
      <c r="P10" s="181">
        <f>'[2]Link Out'!$I$133</f>
        <v>1672</v>
      </c>
      <c r="Q10" s="181">
        <f>'[2]Link Out'!$I$168</f>
        <v>0</v>
      </c>
      <c r="R10" s="181">
        <f>'[2]Link Out'!$I$250</f>
        <v>0</v>
      </c>
      <c r="S10" s="181">
        <f>'[2]Link Out'!$I$204</f>
        <v>13620</v>
      </c>
      <c r="T10" s="182" t="s">
        <v>140</v>
      </c>
      <c r="U10" s="168"/>
    </row>
    <row r="11" spans="1:29" ht="15" x14ac:dyDescent="0.25">
      <c r="A11" s="168"/>
      <c r="B11" s="177" t="s">
        <v>75</v>
      </c>
      <c r="C11" s="181">
        <f>'[2]Link Out'!$C$29</f>
        <v>12</v>
      </c>
      <c r="D11" s="181">
        <f>'[2]Link Out'!$C$64</f>
        <v>11.361792956243329</v>
      </c>
      <c r="E11" s="181">
        <f>'[2]Link Out'!$C$99</f>
        <v>0</v>
      </c>
      <c r="F11" s="181">
        <f>'[2]Link Out'!$C$134</f>
        <v>0</v>
      </c>
      <c r="G11" s="181">
        <f>'[2]Link Out'!$C$169</f>
        <v>0</v>
      </c>
      <c r="H11" s="181">
        <f>'[2]Link Out'!C251</f>
        <v>0</v>
      </c>
      <c r="I11" s="181">
        <f>'[2]Link Out'!$C$205</f>
        <v>765.0190582959641</v>
      </c>
      <c r="J11" s="182" t="s">
        <v>13</v>
      </c>
      <c r="K11" s="168"/>
      <c r="L11" s="177" t="s">
        <v>75</v>
      </c>
      <c r="M11" s="181">
        <f>'[2]Link Out'!$I$29</f>
        <v>12</v>
      </c>
      <c r="N11" s="181">
        <f>'[2]Link Out'!$I$64</f>
        <v>12</v>
      </c>
      <c r="O11" s="181">
        <f>'[2]Link Out'!$I$99</f>
        <v>0</v>
      </c>
      <c r="P11" s="181">
        <f>'[2]Link Out'!$I$134</f>
        <v>0</v>
      </c>
      <c r="Q11" s="181">
        <f>'[2]Link Out'!$I$169</f>
        <v>0</v>
      </c>
      <c r="R11" s="181">
        <f>'[2]Link Out'!$I$251</f>
        <v>0</v>
      </c>
      <c r="S11" s="181">
        <f>'[2]Link Out'!$I$205</f>
        <v>828</v>
      </c>
      <c r="T11" s="182" t="s">
        <v>13</v>
      </c>
      <c r="U11" s="168"/>
    </row>
    <row r="12" spans="1:29" ht="15" x14ac:dyDescent="0.25">
      <c r="A12" s="168"/>
      <c r="B12" s="177" t="s">
        <v>76</v>
      </c>
      <c r="C12" s="181">
        <f>'[2]Link Out'!$C$30</f>
        <v>22836.577009285946</v>
      </c>
      <c r="D12" s="181">
        <f>'[2]Link Out'!$C$65</f>
        <v>30530.478947175696</v>
      </c>
      <c r="E12" s="181">
        <f>'[2]Link Out'!$C$100</f>
        <v>24</v>
      </c>
      <c r="F12" s="181">
        <f>'[2]Link Out'!$C$135</f>
        <v>2062.8408581492158</v>
      </c>
      <c r="G12" s="181">
        <f>'[2]Link Out'!$C$170</f>
        <v>0</v>
      </c>
      <c r="H12" s="181">
        <f>'[2]Link Out'!C252</f>
        <v>0</v>
      </c>
      <c r="I12" s="181">
        <f>'[2]Link Out'!$C$206</f>
        <v>5036.8401114206135</v>
      </c>
      <c r="J12" s="182" t="s">
        <v>16</v>
      </c>
      <c r="K12" s="168"/>
      <c r="L12" s="177" t="s">
        <v>76</v>
      </c>
      <c r="M12" s="181">
        <f>'[2]Link Out'!$I$30</f>
        <v>21864</v>
      </c>
      <c r="N12" s="181">
        <f>'[2]Link Out'!$I$65</f>
        <v>28522</v>
      </c>
      <c r="O12" s="181">
        <f>'[2]Link Out'!$I$100</f>
        <v>24</v>
      </c>
      <c r="P12" s="181">
        <f>'[2]Link Out'!$I$135</f>
        <v>2056</v>
      </c>
      <c r="Q12" s="181">
        <f>'[2]Link Out'!$I$170</f>
        <v>0</v>
      </c>
      <c r="R12" s="181">
        <f>'[2]Link Out'!$I$252</f>
        <v>0</v>
      </c>
      <c r="S12" s="181">
        <f>'[2]Link Out'!$I$206</f>
        <v>5040</v>
      </c>
      <c r="T12" s="182" t="s">
        <v>16</v>
      </c>
      <c r="U12" s="168"/>
    </row>
    <row r="13" spans="1:29" ht="15" x14ac:dyDescent="0.25">
      <c r="A13" s="168"/>
      <c r="B13" s="177" t="s">
        <v>15</v>
      </c>
      <c r="C13" s="181">
        <f>'[2]Link Out'!$C$31</f>
        <v>156.05204163330666</v>
      </c>
      <c r="D13" s="181">
        <f>'[2]Link Out'!$C$66</f>
        <v>2035.0587670136108</v>
      </c>
      <c r="E13" s="181">
        <f>'[2]Link Out'!$C$101</f>
        <v>24</v>
      </c>
      <c r="F13" s="181">
        <f>'[2]Link Out'!$C$136</f>
        <v>340.3287429943955</v>
      </c>
      <c r="G13" s="181">
        <f>'[2]Link Out'!$C$171</f>
        <v>48</v>
      </c>
      <c r="H13" s="181">
        <f>'[2]Link Out'!C253</f>
        <v>0</v>
      </c>
      <c r="I13" s="181">
        <f>'[2]Link Out'!$C$207</f>
        <v>10988.640376517214</v>
      </c>
      <c r="J13" s="182" t="s">
        <v>60</v>
      </c>
      <c r="K13" s="168"/>
      <c r="L13" s="177" t="s">
        <v>15</v>
      </c>
      <c r="M13" s="181">
        <f>'[2]Link Out'!$I$31</f>
        <v>156</v>
      </c>
      <c r="N13" s="181">
        <f>'[2]Link Out'!$I$66</f>
        <v>2046</v>
      </c>
      <c r="O13" s="181">
        <f>'[2]Link Out'!$I$101</f>
        <v>24</v>
      </c>
      <c r="P13" s="181">
        <f>'[2]Link Out'!$I$136</f>
        <v>336</v>
      </c>
      <c r="Q13" s="181">
        <f>'[2]Link Out'!$I$171</f>
        <v>48</v>
      </c>
      <c r="R13" s="181">
        <f>'[2]Link Out'!$I$253</f>
        <v>0</v>
      </c>
      <c r="S13" s="181">
        <f>'[2]Link Out'!$I$207</f>
        <v>10944</v>
      </c>
      <c r="T13" s="182" t="s">
        <v>60</v>
      </c>
      <c r="U13" s="168"/>
    </row>
    <row r="14" spans="1:29" ht="15" x14ac:dyDescent="0.25">
      <c r="A14" s="168"/>
      <c r="B14" s="177" t="s">
        <v>13</v>
      </c>
      <c r="C14" s="181">
        <f>'[2]Link Out'!$C$32</f>
        <v>1259.4495725042125</v>
      </c>
      <c r="D14" s="181">
        <f>'[2]Link Out'!$C$67</f>
        <v>20452.626455711445</v>
      </c>
      <c r="E14" s="181">
        <f>'[2]Link Out'!$C$102</f>
        <v>289.93975180144116</v>
      </c>
      <c r="F14" s="181">
        <f>'[2]Link Out'!$C$137</f>
        <v>4426.9592674139312</v>
      </c>
      <c r="G14" s="181">
        <f>'[2]Link Out'!$C$172</f>
        <v>92.789031224979979</v>
      </c>
      <c r="H14" s="181">
        <f>'[2]Link Out'!C254</f>
        <v>0</v>
      </c>
      <c r="I14" s="181">
        <f>'[2]Link Out'!$C$208</f>
        <v>3418.0108680507178</v>
      </c>
      <c r="J14" s="182" t="s">
        <v>61</v>
      </c>
      <c r="K14" s="168"/>
      <c r="L14" s="177" t="s">
        <v>13</v>
      </c>
      <c r="M14" s="181">
        <f>'[2]Link Out'!$I$32</f>
        <v>1176</v>
      </c>
      <c r="N14" s="181">
        <f>'[2]Link Out'!$I$67</f>
        <v>22447</v>
      </c>
      <c r="O14" s="181">
        <f>'[2]Link Out'!$I$102</f>
        <v>296</v>
      </c>
      <c r="P14" s="181">
        <f>'[2]Link Out'!$I$137</f>
        <v>4384</v>
      </c>
      <c r="Q14" s="181">
        <f>'[2]Link Out'!$I$172</f>
        <v>96</v>
      </c>
      <c r="R14" s="181">
        <f>'[2]Link Out'!$I$254</f>
        <v>0</v>
      </c>
      <c r="S14" s="181">
        <f>'[2]Link Out'!$I$208</f>
        <v>3420</v>
      </c>
      <c r="T14" s="182" t="s">
        <v>61</v>
      </c>
      <c r="U14" s="168"/>
    </row>
    <row r="15" spans="1:29" ht="15" x14ac:dyDescent="0.25">
      <c r="A15" s="168"/>
      <c r="B15" s="177" t="s">
        <v>14</v>
      </c>
      <c r="C15" s="181">
        <f>'[2]Link Out'!$C$33</f>
        <v>0</v>
      </c>
      <c r="D15" s="181">
        <f>'[2]Link Out'!$C$68</f>
        <v>16</v>
      </c>
      <c r="E15" s="181">
        <f>'[2]Link Out'!$C$103</f>
        <v>0</v>
      </c>
      <c r="F15" s="181">
        <f>'[2]Link Out'!$C$138</f>
        <v>12</v>
      </c>
      <c r="G15" s="181">
        <f>'[2]Link Out'!$C$173</f>
        <v>0</v>
      </c>
      <c r="H15" s="181">
        <f>'[2]Link Out'!C255</f>
        <v>317.42487323191881</v>
      </c>
      <c r="I15" s="181">
        <f>'[2]Link Out'!$C$209</f>
        <v>108</v>
      </c>
      <c r="J15" s="182" t="s">
        <v>62</v>
      </c>
      <c r="K15" s="168"/>
      <c r="L15" s="177" t="s">
        <v>14</v>
      </c>
      <c r="M15" s="181">
        <f>'[2]Link Out'!$I$33</f>
        <v>0</v>
      </c>
      <c r="N15" s="181">
        <f>'[2]Link Out'!$I$68</f>
        <v>24</v>
      </c>
      <c r="O15" s="181">
        <f>'[2]Link Out'!$I$103</f>
        <v>0</v>
      </c>
      <c r="P15" s="181">
        <f>'[2]Link Out'!$I$138</f>
        <v>12</v>
      </c>
      <c r="Q15" s="181">
        <f>'[2]Link Out'!$I$173</f>
        <v>0</v>
      </c>
      <c r="R15" s="181">
        <f>'[2]Link Out'!$I$255</f>
        <v>346.88230584467561</v>
      </c>
      <c r="S15" s="181">
        <f>'[2]Link Out'!$I$209</f>
        <v>108</v>
      </c>
      <c r="T15" s="182" t="s">
        <v>62</v>
      </c>
      <c r="U15" s="168"/>
    </row>
    <row r="16" spans="1:29" ht="15" x14ac:dyDescent="0.25">
      <c r="A16" s="168"/>
      <c r="B16" s="177" t="s">
        <v>16</v>
      </c>
      <c r="C16" s="181">
        <f>'[2]Link Out'!$C$34</f>
        <v>0</v>
      </c>
      <c r="D16" s="181">
        <f>'[2]Link Out'!$C$69</f>
        <v>370.39727782225782</v>
      </c>
      <c r="E16" s="181">
        <f>'[2]Link Out'!$C$104</f>
        <v>126</v>
      </c>
      <c r="F16" s="181">
        <f>'[2]Link Out'!$C$139</f>
        <v>505.49316253002405</v>
      </c>
      <c r="G16" s="181">
        <f>'[2]Link Out'!$C$174</f>
        <v>83.273979183346682</v>
      </c>
      <c r="H16" s="181">
        <f>'[2]Link Out'!C256</f>
        <v>0</v>
      </c>
      <c r="I16" s="181">
        <f>'[2]Link Out'!$C$210</f>
        <v>60</v>
      </c>
      <c r="J16" s="182" t="s">
        <v>63</v>
      </c>
      <c r="K16" s="168"/>
      <c r="L16" s="177" t="s">
        <v>16</v>
      </c>
      <c r="M16" s="181">
        <f>'[2]Link Out'!$I$34</f>
        <v>0</v>
      </c>
      <c r="N16" s="181">
        <f>'[2]Link Out'!$I$69</f>
        <v>372</v>
      </c>
      <c r="O16" s="181">
        <f>'[2]Link Out'!$I$104</f>
        <v>120</v>
      </c>
      <c r="P16" s="181">
        <f>'[2]Link Out'!$I$139</f>
        <v>504</v>
      </c>
      <c r="Q16" s="181">
        <f>'[2]Link Out'!$I$174</f>
        <v>84</v>
      </c>
      <c r="R16" s="181">
        <f>'[2]Link Out'!$I$256</f>
        <v>0</v>
      </c>
      <c r="S16" s="181">
        <f>'[2]Link Out'!$I$210</f>
        <v>60</v>
      </c>
      <c r="T16" s="182" t="s">
        <v>63</v>
      </c>
      <c r="U16" s="168"/>
    </row>
    <row r="17" spans="1:21" ht="15" x14ac:dyDescent="0.25">
      <c r="A17" s="168"/>
      <c r="B17" s="177" t="s">
        <v>60</v>
      </c>
      <c r="C17" s="181">
        <f>'[2]Link Out'!$C$35</f>
        <v>36</v>
      </c>
      <c r="D17" s="181">
        <f>'[2]Link Out'!$C$70</f>
        <v>152.95341873498799</v>
      </c>
      <c r="E17" s="181">
        <f>'[2]Link Out'!$C$105</f>
        <v>95.879455564451561</v>
      </c>
      <c r="F17" s="181">
        <f>'[2]Link Out'!$C$140</f>
        <v>157</v>
      </c>
      <c r="G17" s="181">
        <f>'[2]Link Out'!$C$175</f>
        <v>59.16986389111289</v>
      </c>
      <c r="H17" s="181">
        <f>'[2]Link Out'!C257</f>
        <v>0</v>
      </c>
      <c r="I17" s="181">
        <f>'[2]Link Out'!$C$211</f>
        <v>0</v>
      </c>
      <c r="J17" s="182" t="s">
        <v>136</v>
      </c>
      <c r="K17" s="168"/>
      <c r="L17" s="177" t="s">
        <v>60</v>
      </c>
      <c r="M17" s="181">
        <f>'[2]Link Out'!$I$35</f>
        <v>36</v>
      </c>
      <c r="N17" s="181">
        <f>'[2]Link Out'!$I$70</f>
        <v>156</v>
      </c>
      <c r="O17" s="181">
        <f>'[2]Link Out'!$I$105</f>
        <v>96</v>
      </c>
      <c r="P17" s="181">
        <f>'[2]Link Out'!$I$140</f>
        <v>156</v>
      </c>
      <c r="Q17" s="181">
        <f>'[2]Link Out'!$I$175</f>
        <v>60</v>
      </c>
      <c r="R17" s="181">
        <f>'[2]Link Out'!$I$257</f>
        <v>0</v>
      </c>
      <c r="S17" s="181">
        <f>'[2]Link Out'!$I$211</f>
        <v>0</v>
      </c>
      <c r="T17" s="182" t="s">
        <v>136</v>
      </c>
      <c r="U17" s="168"/>
    </row>
    <row r="18" spans="1:21" ht="15" x14ac:dyDescent="0.25">
      <c r="A18" s="168"/>
      <c r="B18" s="177" t="s">
        <v>61</v>
      </c>
      <c r="C18" s="181">
        <f>'[2]Link Out'!$C$36</f>
        <v>31.999998488028272</v>
      </c>
      <c r="D18" s="181">
        <f>'[2]Link Out'!$C$71</f>
        <v>109.00000151197173</v>
      </c>
      <c r="E18" s="181">
        <f>'[2]Link Out'!$C$106</f>
        <v>0</v>
      </c>
      <c r="F18" s="181">
        <f>'[2]Link Out'!$C$141</f>
        <v>24</v>
      </c>
      <c r="G18" s="181">
        <f>'[2]Link Out'!$C$176</f>
        <v>0</v>
      </c>
      <c r="H18" s="181">
        <f>'[2]Link Out'!C258</f>
        <v>0</v>
      </c>
      <c r="I18" s="181">
        <f>'[2]Link Out'!$C$212</f>
        <v>12</v>
      </c>
      <c r="J18" s="182" t="s">
        <v>137</v>
      </c>
      <c r="K18" s="168"/>
      <c r="L18" s="177" t="s">
        <v>61</v>
      </c>
      <c r="M18" s="181">
        <f>'[2]Link Out'!$I$36</f>
        <v>12</v>
      </c>
      <c r="N18" s="181">
        <f>'[2]Link Out'!$I$71</f>
        <v>132</v>
      </c>
      <c r="O18" s="181">
        <f>'[2]Link Out'!$I$106</f>
        <v>0</v>
      </c>
      <c r="P18" s="181">
        <f>'[2]Link Out'!$I$141</f>
        <v>24</v>
      </c>
      <c r="Q18" s="181">
        <f>'[2]Link Out'!$I$176</f>
        <v>0</v>
      </c>
      <c r="R18" s="181">
        <f>'[2]Link Out'!$I$258</f>
        <v>0</v>
      </c>
      <c r="S18" s="181">
        <f>'[2]Link Out'!$I$212</f>
        <v>12</v>
      </c>
      <c r="T18" s="182" t="s">
        <v>137</v>
      </c>
      <c r="U18" s="168"/>
    </row>
    <row r="19" spans="1:21" ht="15" x14ac:dyDescent="0.25">
      <c r="A19" s="168"/>
      <c r="B19" s="177"/>
      <c r="C19" s="181"/>
      <c r="D19" s="181"/>
      <c r="E19" s="181"/>
      <c r="F19" s="181"/>
      <c r="G19" s="181"/>
      <c r="H19" s="181"/>
      <c r="I19" s="181">
        <f>'[2]Link Out'!$C$233</f>
        <v>89711</v>
      </c>
      <c r="J19" s="165" t="s">
        <v>141</v>
      </c>
      <c r="K19" s="168"/>
      <c r="L19" s="177"/>
      <c r="M19" s="181"/>
      <c r="N19" s="181"/>
      <c r="O19" s="181"/>
      <c r="P19" s="181"/>
      <c r="Q19" s="181"/>
      <c r="R19" s="181"/>
      <c r="S19" s="181">
        <f>'[2]Link Out'!$I$233</f>
        <v>89916</v>
      </c>
      <c r="T19" s="165" t="s">
        <v>141</v>
      </c>
      <c r="U19" s="168"/>
    </row>
    <row r="20" spans="1:21" ht="15" x14ac:dyDescent="0.25">
      <c r="A20" s="168"/>
      <c r="B20" s="177"/>
      <c r="C20" s="183"/>
      <c r="D20" s="183"/>
      <c r="E20" s="183"/>
      <c r="F20" s="183"/>
      <c r="G20" s="183"/>
      <c r="H20" s="167"/>
      <c r="I20" s="184"/>
      <c r="J20" s="165"/>
      <c r="K20" s="168"/>
      <c r="L20" s="177"/>
      <c r="M20" s="183"/>
      <c r="N20" s="183"/>
      <c r="O20" s="183"/>
      <c r="P20" s="183"/>
      <c r="Q20" s="183"/>
      <c r="R20" s="167"/>
      <c r="S20" s="183"/>
      <c r="T20" s="165"/>
      <c r="U20" s="168"/>
    </row>
    <row r="21" spans="1:21" ht="15" x14ac:dyDescent="0.25">
      <c r="A21" s="168" t="s">
        <v>17</v>
      </c>
      <c r="B21" s="168"/>
      <c r="C21" s="185">
        <f t="shared" ref="C21:I21" si="0">SUM(C10:C20)</f>
        <v>1391366.4432395762</v>
      </c>
      <c r="D21" s="185">
        <f t="shared" si="0"/>
        <v>108500.70116556012</v>
      </c>
      <c r="E21" s="185">
        <f t="shared" si="0"/>
        <v>629.98333867093675</v>
      </c>
      <c r="F21" s="185">
        <f t="shared" si="0"/>
        <v>9206.1472512637065</v>
      </c>
      <c r="G21" s="185">
        <f t="shared" si="0"/>
        <v>283.23287429943952</v>
      </c>
      <c r="H21" s="185">
        <f t="shared" si="0"/>
        <v>317.42487323191881</v>
      </c>
      <c r="I21" s="185">
        <f t="shared" si="0"/>
        <v>123978.9123231163</v>
      </c>
      <c r="J21" s="168"/>
      <c r="K21" s="168" t="s">
        <v>17</v>
      </c>
      <c r="L21" s="168"/>
      <c r="M21" s="186">
        <f t="shared" ref="M21:S21" si="1">SUM(M10:M20)</f>
        <v>1400524</v>
      </c>
      <c r="N21" s="186">
        <f t="shared" si="1"/>
        <v>108724</v>
      </c>
      <c r="O21" s="186">
        <f t="shared" si="1"/>
        <v>632</v>
      </c>
      <c r="P21" s="186">
        <f t="shared" si="1"/>
        <v>9144</v>
      </c>
      <c r="Q21" s="186">
        <f t="shared" si="1"/>
        <v>288</v>
      </c>
      <c r="R21" s="186">
        <f t="shared" si="1"/>
        <v>346.88230584467561</v>
      </c>
      <c r="S21" s="186">
        <f t="shared" si="1"/>
        <v>123948</v>
      </c>
      <c r="T21" s="168"/>
      <c r="U21" s="168"/>
    </row>
    <row r="22" spans="1:21" ht="15" x14ac:dyDescent="0.25">
      <c r="A22" s="168" t="s">
        <v>18</v>
      </c>
      <c r="B22" s="168"/>
      <c r="C22" s="183"/>
      <c r="D22" s="183"/>
      <c r="E22" s="183"/>
      <c r="F22" s="183"/>
      <c r="G22" s="183"/>
      <c r="H22" s="167"/>
      <c r="I22" s="187"/>
      <c r="J22" s="168"/>
      <c r="K22" s="168" t="s">
        <v>18</v>
      </c>
      <c r="L22" s="168"/>
      <c r="M22" s="183"/>
      <c r="N22" s="183"/>
      <c r="O22" s="183"/>
      <c r="P22" s="183"/>
      <c r="Q22" s="183"/>
      <c r="R22" s="167"/>
      <c r="S22" s="187"/>
      <c r="T22" s="168"/>
      <c r="U22" s="168"/>
    </row>
    <row r="23" spans="1:21" ht="15" x14ac:dyDescent="0.25">
      <c r="A23" s="168" t="s">
        <v>12</v>
      </c>
      <c r="B23" s="188" t="s">
        <v>19</v>
      </c>
      <c r="C23" s="181">
        <f>'[2]Link Out'!$C$42</f>
        <v>5731694.4440000001</v>
      </c>
      <c r="D23" s="181">
        <f>'[2]Link Out'!$C$77</f>
        <v>3712689.4809999997</v>
      </c>
      <c r="E23" s="181">
        <f>'[2]Link Out'!$C$112</f>
        <v>617787.86100000003</v>
      </c>
      <c r="F23" s="181">
        <f>'[2]Link Out'!$C$147</f>
        <v>1255294.24</v>
      </c>
      <c r="G23" s="181">
        <f>'[2]Link Out'!$C$182</f>
        <v>433178.33600000001</v>
      </c>
      <c r="H23" s="181">
        <f>'[2]Link Out'!$C$264</f>
        <v>20772.040037037037</v>
      </c>
      <c r="I23" s="181">
        <f>+[2]Summary!$C$218</f>
        <v>2571.029</v>
      </c>
      <c r="J23" s="168"/>
      <c r="K23" s="168" t="s">
        <v>12</v>
      </c>
      <c r="L23" s="188" t="s">
        <v>19</v>
      </c>
      <c r="M23" s="181">
        <f>'[2]Link Out'!$I$42</f>
        <v>5300511</v>
      </c>
      <c r="N23" s="181">
        <f>'[2]Link Out'!$I$77</f>
        <v>3349415</v>
      </c>
      <c r="O23" s="181">
        <f>'[2]Link Out'!$I$112</f>
        <v>619086</v>
      </c>
      <c r="P23" s="181">
        <f>'[2]Link Out'!$I$147</f>
        <v>1196002</v>
      </c>
      <c r="Q23" s="181">
        <f>'[2]Link Out'!$I$182</f>
        <v>403500</v>
      </c>
      <c r="R23" s="181">
        <f>'[2]Link Out'!$I$264</f>
        <v>4368</v>
      </c>
      <c r="S23" s="187"/>
      <c r="T23" s="167"/>
      <c r="U23" s="168"/>
    </row>
    <row r="24" spans="1:21" ht="15" x14ac:dyDescent="0.25">
      <c r="A24" s="168"/>
      <c r="B24" s="188" t="s">
        <v>20</v>
      </c>
      <c r="C24" s="181">
        <f>'[2]Link Out'!$C$43</f>
        <v>0</v>
      </c>
      <c r="D24" s="181">
        <f>'[2]Link Out'!$C$78</f>
        <v>0</v>
      </c>
      <c r="E24" s="181">
        <f>'[2]Link Out'!$C$113</f>
        <v>0</v>
      </c>
      <c r="F24" s="181">
        <f>'[2]Link Out'!$C$148</f>
        <v>0</v>
      </c>
      <c r="G24" s="181">
        <f>'[2]Link Out'!$C$183</f>
        <v>0</v>
      </c>
      <c r="H24" s="181">
        <f>'[2]Link Out'!$C$265</f>
        <v>0</v>
      </c>
      <c r="I24" s="187"/>
      <c r="J24" s="168"/>
      <c r="K24" s="168"/>
      <c r="L24" s="188" t="s">
        <v>20</v>
      </c>
      <c r="M24" s="181">
        <f>'[2]Link Out'!$I$43</f>
        <v>0</v>
      </c>
      <c r="N24" s="181">
        <f>'[2]Link Out'!$I$78</f>
        <v>0</v>
      </c>
      <c r="O24" s="181">
        <f>'[2]Link Out'!$I$113</f>
        <v>0</v>
      </c>
      <c r="P24" s="181">
        <f>'[2]Link Out'!$I$148</f>
        <v>0</v>
      </c>
      <c r="Q24" s="181">
        <f>'[2]Link Out'!$I$183</f>
        <v>0</v>
      </c>
      <c r="R24" s="181">
        <f>'[2]Link Out'!$I$265</f>
        <v>0</v>
      </c>
      <c r="S24" s="187"/>
      <c r="T24" s="167"/>
      <c r="U24" s="168"/>
    </row>
    <row r="25" spans="1:21" ht="15" x14ac:dyDescent="0.25">
      <c r="A25" s="168"/>
      <c r="B25" s="188" t="s">
        <v>21</v>
      </c>
      <c r="C25" s="181">
        <f>'[2]Link Out'!$C$44</f>
        <v>0</v>
      </c>
      <c r="D25" s="181">
        <f>'[2]Link Out'!$C$79</f>
        <v>0</v>
      </c>
      <c r="E25" s="181">
        <f>'[2]Link Out'!$C$114</f>
        <v>0</v>
      </c>
      <c r="F25" s="181">
        <f>'[2]Link Out'!$C$149</f>
        <v>0</v>
      </c>
      <c r="G25" s="181">
        <f>'[2]Link Out'!$C$184</f>
        <v>0</v>
      </c>
      <c r="H25" s="181">
        <f>'[2]Link Out'!$C$266</f>
        <v>0</v>
      </c>
      <c r="I25" s="187"/>
      <c r="J25" s="168"/>
      <c r="K25" s="168"/>
      <c r="L25" s="188" t="s">
        <v>21</v>
      </c>
      <c r="M25" s="181">
        <f>'[2]Link Out'!$I$44</f>
        <v>0</v>
      </c>
      <c r="N25" s="181">
        <f>'[2]Link Out'!$I$79</f>
        <v>0</v>
      </c>
      <c r="O25" s="181">
        <f>'[2]Link Out'!$I$114</f>
        <v>0</v>
      </c>
      <c r="P25" s="181">
        <f>'[2]Link Out'!$I$149</f>
        <v>0</v>
      </c>
      <c r="Q25" s="181">
        <f>'[2]Link Out'!$I$184</f>
        <v>0</v>
      </c>
      <c r="R25" s="181">
        <f>'[2]Link Out'!$I$266</f>
        <v>0</v>
      </c>
      <c r="S25" s="187"/>
      <c r="T25" s="167"/>
      <c r="U25" s="168"/>
    </row>
    <row r="26" spans="1:21" ht="15" x14ac:dyDescent="0.25">
      <c r="A26" s="168"/>
      <c r="B26" s="168" t="s">
        <v>22</v>
      </c>
      <c r="C26" s="181">
        <f>'[2]Link Out'!$C$45</f>
        <v>0</v>
      </c>
      <c r="D26" s="181">
        <f>'[2]Link Out'!$C$80</f>
        <v>0</v>
      </c>
      <c r="E26" s="181">
        <f>'[2]Link Out'!$C$115</f>
        <v>0</v>
      </c>
      <c r="F26" s="181">
        <f>'[2]Link Out'!$C$150</f>
        <v>0</v>
      </c>
      <c r="G26" s="181">
        <f>'[2]Link Out'!$C$185</f>
        <v>0</v>
      </c>
      <c r="H26" s="181">
        <f>'[2]Link Out'!$C$267</f>
        <v>0</v>
      </c>
      <c r="I26" s="187"/>
      <c r="J26" s="168"/>
      <c r="K26" s="168"/>
      <c r="L26" s="168" t="s">
        <v>22</v>
      </c>
      <c r="M26" s="181">
        <f>'[2]Link Out'!$I$45</f>
        <v>0</v>
      </c>
      <c r="N26" s="181">
        <f>'[2]Link Out'!$I$80</f>
        <v>0</v>
      </c>
      <c r="O26" s="181">
        <f>'[2]Link Out'!$I$115</f>
        <v>0</v>
      </c>
      <c r="P26" s="181">
        <f>'[2]Link Out'!$I$150</f>
        <v>0</v>
      </c>
      <c r="Q26" s="181">
        <f>'[2]Link Out'!$I$185</f>
        <v>0</v>
      </c>
      <c r="R26" s="181">
        <f>'[2]Link Out'!$I$267</f>
        <v>0</v>
      </c>
      <c r="S26" s="187"/>
      <c r="T26" s="167"/>
      <c r="U26" s="168"/>
    </row>
    <row r="27" spans="1:21" ht="15" x14ac:dyDescent="0.25">
      <c r="A27" s="168"/>
      <c r="B27" s="188" t="s">
        <v>100</v>
      </c>
      <c r="C27" s="181">
        <f>'[2]Link Out'!$C$46</f>
        <v>0</v>
      </c>
      <c r="D27" s="181">
        <f>'[2]Link Out'!$C$81</f>
        <v>0</v>
      </c>
      <c r="E27" s="181">
        <f>'[2]Link Out'!$C$116</f>
        <v>0</v>
      </c>
      <c r="F27" s="181">
        <f>'[2]Link Out'!$C$151</f>
        <v>0</v>
      </c>
      <c r="G27" s="181">
        <f>'[2]Link Out'!$C$186</f>
        <v>0</v>
      </c>
      <c r="H27" s="181">
        <f>'[2]Link Out'!$C$268</f>
        <v>0</v>
      </c>
      <c r="I27" s="187"/>
      <c r="J27" s="168"/>
      <c r="K27" s="168"/>
      <c r="L27" s="188" t="s">
        <v>100</v>
      </c>
      <c r="M27" s="181">
        <f>'[2]Link Out'!$I$46</f>
        <v>0</v>
      </c>
      <c r="N27" s="181">
        <f>'[2]Link Out'!$I$81</f>
        <v>0</v>
      </c>
      <c r="O27" s="181">
        <f>'[2]Link Out'!$I$116</f>
        <v>0</v>
      </c>
      <c r="P27" s="181">
        <f>'[2]Link Out'!$I$151</f>
        <v>0</v>
      </c>
      <c r="Q27" s="181">
        <f>'[2]Link Out'!$I$186</f>
        <v>0</v>
      </c>
      <c r="R27" s="181">
        <f>'[2]Link Out'!$I$268</f>
        <v>0</v>
      </c>
      <c r="S27" s="187"/>
      <c r="T27" s="167"/>
      <c r="U27" s="168"/>
    </row>
    <row r="28" spans="1:21" ht="15" x14ac:dyDescent="0.25">
      <c r="A28" s="168"/>
      <c r="B28" s="168" t="s">
        <v>101</v>
      </c>
      <c r="C28" s="181">
        <f>'[2]Link Out'!$C$47</f>
        <v>0</v>
      </c>
      <c r="D28" s="181">
        <f>'[2]Link Out'!$C$82</f>
        <v>0</v>
      </c>
      <c r="E28" s="181">
        <f>'[2]Link Out'!$C$117</f>
        <v>0</v>
      </c>
      <c r="F28" s="181">
        <f>'[2]Link Out'!$C$152</f>
        <v>0</v>
      </c>
      <c r="G28" s="181">
        <f>'[2]Link Out'!$C$187</f>
        <v>0</v>
      </c>
      <c r="H28" s="181">
        <f>'[2]Link Out'!$C$269</f>
        <v>0</v>
      </c>
      <c r="I28" s="187"/>
      <c r="J28" s="168"/>
      <c r="K28" s="168"/>
      <c r="L28" s="168" t="s">
        <v>101</v>
      </c>
      <c r="M28" s="181">
        <f>'[2]Link Out'!$I$47</f>
        <v>0</v>
      </c>
      <c r="N28" s="181">
        <f>'[2]Link Out'!$I$82</f>
        <v>0</v>
      </c>
      <c r="O28" s="181">
        <f>'[2]Link Out'!$I$117</f>
        <v>0</v>
      </c>
      <c r="P28" s="181">
        <f>'[2]Link Out'!$I$152</f>
        <v>0</v>
      </c>
      <c r="Q28" s="181">
        <f>'[2]Link Out'!$I$187</f>
        <v>0</v>
      </c>
      <c r="R28" s="181">
        <f>'[2]Link Out'!$I$269</f>
        <v>0</v>
      </c>
      <c r="S28" s="187"/>
      <c r="T28" s="167"/>
      <c r="U28" s="168"/>
    </row>
    <row r="29" spans="1:21" ht="15" x14ac:dyDescent="0.25">
      <c r="A29" s="168"/>
      <c r="B29" s="168" t="s">
        <v>1</v>
      </c>
      <c r="C29" s="186">
        <f>SUM(C23:C28)</f>
        <v>5731694.4440000001</v>
      </c>
      <c r="D29" s="186">
        <f t="shared" ref="D29" si="2">SUM(D23:D28)</f>
        <v>3712689.4809999997</v>
      </c>
      <c r="E29" s="186">
        <f t="shared" ref="E29" si="3">SUM(E23:E28)</f>
        <v>617787.86100000003</v>
      </c>
      <c r="F29" s="186">
        <f t="shared" ref="F29" si="4">SUM(F23:F28)</f>
        <v>1255294.24</v>
      </c>
      <c r="G29" s="186">
        <f t="shared" ref="G29:H29" si="5">SUM(G23:G28)</f>
        <v>433178.33600000001</v>
      </c>
      <c r="H29" s="186">
        <f t="shared" si="5"/>
        <v>20772.040037037037</v>
      </c>
      <c r="I29" s="122">
        <f>SUM(C29:H29)</f>
        <v>11771416.402037038</v>
      </c>
      <c r="J29" s="168"/>
      <c r="K29" s="168"/>
      <c r="L29" s="168" t="s">
        <v>1</v>
      </c>
      <c r="M29" s="185">
        <f>SUM(M23:M28)</f>
        <v>5300511</v>
      </c>
      <c r="N29" s="185">
        <f t="shared" ref="N29" si="6">SUM(N23:N28)</f>
        <v>3349415</v>
      </c>
      <c r="O29" s="185">
        <f t="shared" ref="O29" si="7">SUM(O23:O28)</f>
        <v>619086</v>
      </c>
      <c r="P29" s="185">
        <f t="shared" ref="P29" si="8">SUM(P23:P28)</f>
        <v>1196002</v>
      </c>
      <c r="Q29" s="185">
        <f t="shared" ref="Q29:R29" si="9">SUM(Q23:Q28)</f>
        <v>403500</v>
      </c>
      <c r="R29" s="185">
        <f t="shared" si="9"/>
        <v>4368</v>
      </c>
      <c r="S29" s="189">
        <f>SUM(M29:R29)</f>
        <v>10872882</v>
      </c>
      <c r="T29" s="167"/>
      <c r="U29" s="168"/>
    </row>
    <row r="30" spans="1:21" ht="15" x14ac:dyDescent="0.25">
      <c r="A30" s="168"/>
      <c r="B30" s="168"/>
      <c r="C30" s="190"/>
      <c r="D30" s="168"/>
      <c r="E30" s="168"/>
      <c r="F30" s="168"/>
      <c r="G30" s="168"/>
      <c r="H30" s="168"/>
      <c r="I30" s="168"/>
      <c r="J30" s="168"/>
      <c r="K30" s="168"/>
      <c r="L30" s="168"/>
      <c r="M30" s="167"/>
      <c r="N30" s="167"/>
      <c r="O30" s="167"/>
      <c r="P30" s="167"/>
      <c r="Q30" s="167"/>
      <c r="R30" s="167"/>
      <c r="S30" s="167"/>
      <c r="T30" s="167"/>
      <c r="U30" s="168"/>
    </row>
    <row r="31" spans="1:21" ht="15" x14ac:dyDescent="0.25">
      <c r="A31" s="190"/>
      <c r="B31" s="190"/>
      <c r="C31" s="191" t="s">
        <v>3</v>
      </c>
      <c r="D31" s="192" t="s">
        <v>4</v>
      </c>
      <c r="E31" s="192" t="s">
        <v>5</v>
      </c>
      <c r="F31" s="192" t="s">
        <v>6</v>
      </c>
      <c r="G31" s="192" t="s">
        <v>7</v>
      </c>
      <c r="H31" s="192" t="s">
        <v>155</v>
      </c>
      <c r="I31" s="193" t="s">
        <v>23</v>
      </c>
      <c r="J31" s="192" t="s">
        <v>1</v>
      </c>
      <c r="K31" s="168"/>
      <c r="L31" s="168"/>
      <c r="M31" s="194" t="s">
        <v>3</v>
      </c>
      <c r="N31" s="178" t="s">
        <v>4</v>
      </c>
      <c r="O31" s="178" t="s">
        <v>5</v>
      </c>
      <c r="P31" s="178" t="s">
        <v>6</v>
      </c>
      <c r="Q31" s="178" t="s">
        <v>7</v>
      </c>
      <c r="R31" s="178" t="s">
        <v>155</v>
      </c>
      <c r="S31" s="195" t="s">
        <v>23</v>
      </c>
      <c r="T31" s="178" t="s">
        <v>1</v>
      </c>
      <c r="U31" s="168"/>
    </row>
    <row r="32" spans="1:21" ht="15" x14ac:dyDescent="0.25">
      <c r="A32" s="168" t="s">
        <v>110</v>
      </c>
      <c r="B32" s="168"/>
      <c r="C32" s="122">
        <f>'[2]Link Out'!$C$48</f>
        <v>30375.671999999904</v>
      </c>
      <c r="D32" s="122">
        <f>'[2]Link Out'!$C$83</f>
        <v>13847.786999999949</v>
      </c>
      <c r="E32" s="122">
        <f>'[2]Link Out'!$C$118</f>
        <v>507.14400000000023</v>
      </c>
      <c r="F32" s="122">
        <f>'[2]Link Out'!$C$153</f>
        <v>16390.92399999997</v>
      </c>
      <c r="G32" s="122">
        <f>'[2]Link Out'!$C$188</f>
        <v>-647.33199999999488</v>
      </c>
      <c r="H32" s="122">
        <f>'[2]Link Out'!$C$270</f>
        <v>-8715.9082592592604</v>
      </c>
      <c r="I32" s="196">
        <f>+'[2]Link Out'!$C$223</f>
        <v>679.18000000000006</v>
      </c>
      <c r="J32" s="122">
        <f>SUM(C32:I32)</f>
        <v>52437.466740740572</v>
      </c>
      <c r="K32" s="167"/>
      <c r="L32" s="167"/>
      <c r="M32" s="122">
        <f>'[2]Link Out'!$I$48</f>
        <v>0</v>
      </c>
      <c r="N32" s="122">
        <f>'[2]Link Out'!$I$83</f>
        <v>0</v>
      </c>
      <c r="O32" s="122">
        <f>'[2]Link Out'!$I$118</f>
        <v>0</v>
      </c>
      <c r="P32" s="101">
        <f>'[2]Link Out'!$I$153</f>
        <v>0</v>
      </c>
      <c r="Q32" s="122">
        <f>'[2]Link Out'!$I$188</f>
        <v>0</v>
      </c>
      <c r="R32" s="122">
        <f>'[2]Link Out'!$I$270</f>
        <v>0</v>
      </c>
      <c r="S32" s="122"/>
      <c r="T32" s="122">
        <f>SUM(M32:S32)</f>
        <v>0</v>
      </c>
      <c r="U32" s="168"/>
    </row>
    <row r="33" spans="1:29" ht="15" x14ac:dyDescent="0.25">
      <c r="A33" s="168"/>
      <c r="B33" s="168"/>
      <c r="C33" s="197"/>
      <c r="D33" s="197"/>
      <c r="E33" s="197"/>
      <c r="F33" s="197"/>
      <c r="G33" s="197"/>
      <c r="H33" s="167"/>
      <c r="I33" s="197"/>
      <c r="J33" s="122"/>
      <c r="K33" s="167"/>
      <c r="L33" s="167"/>
      <c r="M33" s="167"/>
      <c r="N33" s="167"/>
      <c r="O33" s="197"/>
      <c r="P33" s="167"/>
      <c r="Q33" s="167"/>
      <c r="R33" s="167"/>
      <c r="S33" s="167"/>
      <c r="T33" s="122"/>
      <c r="U33" s="168"/>
    </row>
    <row r="34" spans="1:29" ht="15.75" thickBot="1" x14ac:dyDescent="0.3">
      <c r="A34" s="168" t="s">
        <v>111</v>
      </c>
      <c r="B34" s="168"/>
      <c r="C34" s="122">
        <f>'[2]Link Out'!$G$48</f>
        <v>-124165.60642608817</v>
      </c>
      <c r="D34" s="122">
        <f>'[2]Link Out'!$G$83</f>
        <v>283783</v>
      </c>
      <c r="E34" s="122">
        <f>'[2]Link Out'!$G$118</f>
        <v>111291</v>
      </c>
      <c r="F34" s="122">
        <f>'[2]Link Out'!$G$153</f>
        <v>-37904.787647999125</v>
      </c>
      <c r="G34" s="122">
        <f>'[2]Link Out'!$G$188</f>
        <v>26567.710275200148</v>
      </c>
      <c r="H34" s="122">
        <f>'[2]Link Out'!$G$270</f>
        <v>27906</v>
      </c>
      <c r="I34" s="181">
        <f>+'[2]Link Out'!$G$224+'[2]Link Out'!$G$238</f>
        <v>3220.1077204875364</v>
      </c>
      <c r="J34" s="122">
        <f>SUM(C34:I34)</f>
        <v>290697.42392160039</v>
      </c>
      <c r="K34" s="167"/>
      <c r="L34" s="167"/>
      <c r="M34" s="181">
        <f>'[2]Link Out'!$M$48</f>
        <v>0</v>
      </c>
      <c r="N34" s="181">
        <f>'[2]Link Out'!$M$83</f>
        <v>0</v>
      </c>
      <c r="O34" s="181">
        <f>'[2]Link Out'!$M$118</f>
        <v>0</v>
      </c>
      <c r="P34" s="181">
        <f>'[2]Link Out'!$M$153</f>
        <v>0</v>
      </c>
      <c r="Q34" s="181">
        <f>'[2]Link Out'!$M$188</f>
        <v>0</v>
      </c>
      <c r="R34" s="181">
        <f>'[2]Link Out'!$M$258</f>
        <v>0</v>
      </c>
      <c r="S34" s="181">
        <f>'[2]Link Out'!$M$238</f>
        <v>0</v>
      </c>
      <c r="T34" s="181">
        <f>SUM(M34:S34)</f>
        <v>0</v>
      </c>
      <c r="U34" s="168"/>
    </row>
    <row r="35" spans="1:29" ht="15.75" thickTop="1" x14ac:dyDescent="0.25">
      <c r="A35" s="198" t="s">
        <v>113</v>
      </c>
      <c r="B35" s="199"/>
      <c r="C35" s="200" t="str">
        <f>IF(C21='[2]Link Out'!$C$38," ", "Check")</f>
        <v xml:space="preserve"> </v>
      </c>
      <c r="D35" s="200" t="str">
        <f>IF(D21='[2]Link Out'!$C$73," ", "Check")</f>
        <v xml:space="preserve"> </v>
      </c>
      <c r="E35" s="200" t="str">
        <f>IF(E21='[2]Link Out'!$C$108," ", "Check")</f>
        <v xml:space="preserve"> </v>
      </c>
      <c r="F35" s="200" t="str">
        <f>IF(F21='[2]Link Out'!$C$143," ", "Check")</f>
        <v xml:space="preserve"> </v>
      </c>
      <c r="G35" s="200" t="str">
        <f>IF(G21='[2]Link Out'!$C$178," ", "Check")</f>
        <v xml:space="preserve"> </v>
      </c>
      <c r="H35" s="200"/>
      <c r="I35" s="200" t="str">
        <f>IF(I21=SUM('[2]Link Out'!$C$204:$C$221)," ", "Check")</f>
        <v>Check</v>
      </c>
      <c r="J35" s="200"/>
      <c r="K35" s="201"/>
      <c r="L35" s="201"/>
      <c r="M35" s="200" t="str">
        <f>IF(M21='[2]Link Out'!$I$38," ", "Check")</f>
        <v xml:space="preserve"> </v>
      </c>
      <c r="N35" s="200" t="str">
        <f>IF(N21='[2]Link Out'!$I$73," ", "Check")</f>
        <v xml:space="preserve"> </v>
      </c>
      <c r="O35" s="200" t="str">
        <f>IF(O21='[2]Link Out'!$I$108," ", "Check")</f>
        <v xml:space="preserve"> </v>
      </c>
      <c r="P35" s="200" t="str">
        <f>IF(P21='[2]Link Out'!$I$143," ", "Check")</f>
        <v xml:space="preserve"> </v>
      </c>
      <c r="Q35" s="200"/>
      <c r="R35" s="200"/>
      <c r="S35" s="200" t="str">
        <f>IF(S21=SUM('[2]Link Out'!$I$204:$I$221)," ", "Check")</f>
        <v>Check</v>
      </c>
      <c r="T35" s="201"/>
      <c r="U35" s="201"/>
      <c r="V35" s="32"/>
      <c r="W35" s="32"/>
      <c r="X35" s="32"/>
      <c r="Y35" s="32"/>
      <c r="Z35" s="32"/>
      <c r="AA35" s="32"/>
      <c r="AB35" s="32"/>
      <c r="AC35" s="33"/>
    </row>
    <row r="36" spans="1:29" ht="15" x14ac:dyDescent="0.25">
      <c r="A36" s="202"/>
      <c r="B36" s="203"/>
      <c r="C36" s="204" t="str">
        <f>IF(C29+C32='[2]Link Out'!$C$49," ", "Check")</f>
        <v xml:space="preserve"> </v>
      </c>
      <c r="D36" s="204" t="str">
        <f>IF(D29+D32='[2]Link Out'!$C$84," ", "Check")</f>
        <v xml:space="preserve"> </v>
      </c>
      <c r="E36" s="204" t="str">
        <f>IF(E29+E32='[2]Link Out'!$C$119," ", "Check")</f>
        <v xml:space="preserve"> </v>
      </c>
      <c r="F36" s="204" t="str">
        <f>IF(F29+F32='[2]Link Out'!$C$154," ", "Check")</f>
        <v xml:space="preserve"> </v>
      </c>
      <c r="G36" s="204" t="str">
        <f>IF(G29+G32='[2]Link Out'!$C$189," ", "Check")</f>
        <v xml:space="preserve"> </v>
      </c>
      <c r="H36" s="203"/>
      <c r="I36" s="203"/>
      <c r="J36" s="203"/>
      <c r="K36" s="203"/>
      <c r="L36" s="203"/>
      <c r="M36" s="204" t="str">
        <f>IF(M29+M32='[2]Link Out'!$I$49," ", "Check")</f>
        <v xml:space="preserve"> </v>
      </c>
      <c r="N36" s="204" t="str">
        <f>IF(N29+N32='[2]Link Out'!$I$84," ", "Check")</f>
        <v xml:space="preserve"> </v>
      </c>
      <c r="O36" s="204" t="str">
        <f>IF(O29+O32='[2]Link Out'!$I$119," ", "Check")</f>
        <v xml:space="preserve"> </v>
      </c>
      <c r="P36" s="204" t="str">
        <f>IF(P29+P32='[2]Link Out'!$I$154," ", "Check")</f>
        <v xml:space="preserve"> </v>
      </c>
      <c r="Q36" s="203"/>
      <c r="R36" s="203"/>
      <c r="S36" s="203"/>
      <c r="T36" s="203"/>
      <c r="U36" s="203"/>
      <c r="V36" s="13"/>
      <c r="W36" s="13"/>
      <c r="X36" s="13"/>
      <c r="Y36" s="13"/>
      <c r="Z36" s="13"/>
      <c r="AA36" s="13"/>
      <c r="AB36" s="13"/>
      <c r="AC36" s="34"/>
    </row>
    <row r="37" spans="1:29" ht="15" x14ac:dyDescent="0.25">
      <c r="A37" s="205"/>
      <c r="B37" s="203"/>
      <c r="C37" s="204" t="str">
        <f>IF(C21=SUM('Sch M'!D52:D61)," ","Check")</f>
        <v xml:space="preserve"> </v>
      </c>
      <c r="D37" s="204" t="str">
        <f>IF(D21=SUM('Sch M'!D91:D100)," ","Check")</f>
        <v xml:space="preserve"> </v>
      </c>
      <c r="E37" s="204" t="str">
        <f>IF(E21=SUM('Sch M'!D130:D139)," ","Check")</f>
        <v xml:space="preserve"> </v>
      </c>
      <c r="F37" s="204" t="str">
        <f>IF(F21=SUM('Sch M'!D169:D178)," ","Check")</f>
        <v xml:space="preserve"> </v>
      </c>
      <c r="G37" s="204" t="str">
        <f>IF(G21=SUM('Sch M'!D208:D217)," ","Check")</f>
        <v xml:space="preserve"> </v>
      </c>
      <c r="H37" s="206"/>
      <c r="I37" s="204"/>
      <c r="J37" s="207"/>
      <c r="K37" s="203"/>
      <c r="L37" s="203"/>
      <c r="M37" s="204" t="str">
        <f>IF(M21=SUM('Sch M'!N52:N61)," ","Check")</f>
        <v xml:space="preserve"> </v>
      </c>
      <c r="N37" s="204" t="str">
        <f>IF(N21=SUM('Sch M'!N91:N100)," ","Check")</f>
        <v xml:space="preserve"> </v>
      </c>
      <c r="O37" s="204" t="str">
        <f>IF(O21=SUM('Sch M'!N130:N139)," ","Check")</f>
        <v xml:space="preserve"> </v>
      </c>
      <c r="P37" s="204" t="str">
        <f>IF(P21=SUM('Sch M'!N169:N178)," ","Check")</f>
        <v xml:space="preserve"> </v>
      </c>
      <c r="Q37" s="204" t="str">
        <f>IF(Q21=SUM('Sch M'!N208:N217)," ","Check")</f>
        <v xml:space="preserve"> </v>
      </c>
      <c r="R37" s="206"/>
      <c r="S37" s="204"/>
      <c r="T37" s="203"/>
      <c r="U37" s="203"/>
      <c r="V37" s="13"/>
      <c r="W37" s="30" t="str">
        <f>IF(M21=SUM('Sch M'!$N$52:$N$60)," ","Check")</f>
        <v xml:space="preserve"> </v>
      </c>
      <c r="X37" s="30" t="str">
        <f>IF(N21=SUM('Sch M'!$N$91:$N$99)," ","Check")</f>
        <v xml:space="preserve"> </v>
      </c>
      <c r="Y37" s="30" t="str">
        <f>IF(O21=SUM('Sch M'!$N$130:$N$138)," ","Check")</f>
        <v xml:space="preserve"> </v>
      </c>
      <c r="Z37" s="30" t="str">
        <f>IF(P21=SUM('Sch M'!$N$169:$N$177)," ","Check")</f>
        <v xml:space="preserve"> </v>
      </c>
      <c r="AA37" s="30" t="str">
        <f>IF(Q21=SUM('Sch M'!$N$208:$N$216)," ","Check")</f>
        <v xml:space="preserve"> </v>
      </c>
      <c r="AB37" s="31"/>
      <c r="AC37" s="35" t="str">
        <f>IF(S21=SUM('Sch M'!$O$246:$O$255)," ","Check")</f>
        <v>Check</v>
      </c>
    </row>
    <row r="38" spans="1:29" ht="15.75" thickBot="1" x14ac:dyDescent="0.3">
      <c r="A38" s="208"/>
      <c r="B38" s="209"/>
      <c r="C38" s="210" t="str">
        <f>IF(C29+C32='Sch M'!E74," ","Check")</f>
        <v xml:space="preserve"> </v>
      </c>
      <c r="D38" s="210" t="str">
        <f>IF(D29+D32='Sch M'!E113," ","Check")</f>
        <v xml:space="preserve"> </v>
      </c>
      <c r="E38" s="210" t="str">
        <f>IF(E29+E32='Sch M'!E152," ","Check")</f>
        <v xml:space="preserve"> </v>
      </c>
      <c r="F38" s="210" t="str">
        <f>IF(F29+F32='Sch M'!E191," ","Check")</f>
        <v xml:space="preserve"> </v>
      </c>
      <c r="G38" s="210" t="str">
        <f>IF(G29+G32='Sch M'!E230," ","Check")</f>
        <v xml:space="preserve"> </v>
      </c>
      <c r="H38" s="210"/>
      <c r="I38" s="210"/>
      <c r="J38" s="210"/>
      <c r="K38" s="211"/>
      <c r="L38" s="211"/>
      <c r="M38" s="210" t="str">
        <f>IF(M29+M32='Sch M'!O74," ","Check")</f>
        <v xml:space="preserve"> </v>
      </c>
      <c r="N38" s="210" t="str">
        <f>IF(N29+N32='Sch M'!O113," ","Check")</f>
        <v xml:space="preserve"> </v>
      </c>
      <c r="O38" s="210" t="str">
        <f>IF(O29+O32=SUM('Sch M'!O152)," ","Check")</f>
        <v xml:space="preserve"> </v>
      </c>
      <c r="P38" s="210" t="str">
        <f>IF(P29+P32='Sch M'!O191," ","Check")</f>
        <v xml:space="preserve"> </v>
      </c>
      <c r="Q38" s="210" t="str">
        <f>IF(Q29+Q32='Sch M'!O230," ","Check")</f>
        <v xml:space="preserve"> </v>
      </c>
      <c r="R38" s="210"/>
      <c r="S38" s="210"/>
      <c r="T38" s="211"/>
      <c r="U38" s="211"/>
      <c r="V38" s="28"/>
      <c r="W38" s="27"/>
      <c r="X38" s="27"/>
      <c r="Y38" s="27" t="str">
        <f>IF(O29+E32='Sch M'!$O$152," ","Check")</f>
        <v>Check</v>
      </c>
      <c r="Z38" s="27" t="str">
        <f>IF(P29+F32='Sch M'!$O$191," ","Check")</f>
        <v>Check</v>
      </c>
      <c r="AA38" s="27" t="str">
        <f>IF(Q23+G32+Q24='Sch M'!$O$230," ","Check")</f>
        <v>Check</v>
      </c>
      <c r="AB38" s="28"/>
      <c r="AC38" s="29"/>
    </row>
    <row r="39" spans="1:29" ht="15.75" thickTop="1" x14ac:dyDescent="0.25">
      <c r="A39" s="212" t="s">
        <v>71</v>
      </c>
      <c r="B39" s="168"/>
      <c r="C39" s="168"/>
      <c r="D39" s="168"/>
      <c r="E39" s="168"/>
      <c r="F39" s="213"/>
      <c r="G39" s="168"/>
      <c r="H39" s="212" t="s">
        <v>72</v>
      </c>
      <c r="I39" s="168"/>
      <c r="J39" s="168"/>
      <c r="K39" s="168"/>
      <c r="L39" s="168"/>
      <c r="M39" s="213"/>
      <c r="N39" s="168"/>
      <c r="O39" s="168"/>
      <c r="P39" s="168"/>
      <c r="Q39" s="168"/>
      <c r="R39" s="168"/>
      <c r="S39" s="168"/>
      <c r="T39" s="168"/>
      <c r="U39" s="168"/>
    </row>
    <row r="40" spans="1:29" ht="15" x14ac:dyDescent="0.25">
      <c r="A40" s="168" t="s">
        <v>48</v>
      </c>
      <c r="B40" s="168"/>
      <c r="C40" s="168" t="s">
        <v>88</v>
      </c>
      <c r="D40" s="168" t="s">
        <v>89</v>
      </c>
      <c r="E40" s="168" t="s">
        <v>90</v>
      </c>
      <c r="F40" s="213" t="s">
        <v>6</v>
      </c>
      <c r="G40" s="168" t="s">
        <v>94</v>
      </c>
      <c r="H40" s="168" t="s">
        <v>48</v>
      </c>
      <c r="I40" s="168"/>
      <c r="J40" s="168" t="s">
        <v>88</v>
      </c>
      <c r="K40" s="168" t="s">
        <v>89</v>
      </c>
      <c r="L40" s="168" t="s">
        <v>90</v>
      </c>
      <c r="M40" s="213" t="s">
        <v>6</v>
      </c>
      <c r="N40" s="168" t="s">
        <v>94</v>
      </c>
      <c r="O40" s="168"/>
      <c r="P40" s="168"/>
      <c r="Q40" s="168"/>
      <c r="R40" s="168"/>
      <c r="S40" s="168"/>
      <c r="T40" s="168"/>
      <c r="U40" s="168"/>
    </row>
    <row r="41" spans="1:29" ht="15" x14ac:dyDescent="0.25">
      <c r="A41" s="168" t="s">
        <v>12</v>
      </c>
      <c r="B41" s="177" t="s">
        <v>74</v>
      </c>
      <c r="C41" s="214">
        <f>'[2]Link Out'!$E$28</f>
        <v>12.49</v>
      </c>
      <c r="D41" s="214">
        <f>'[2]Link Out'!$E$63</f>
        <v>12.49</v>
      </c>
      <c r="E41" s="214">
        <f>'[2]Link Out'!$E$98</f>
        <v>12.49</v>
      </c>
      <c r="F41" s="215">
        <f>'[2]Link Out'!$E$133</f>
        <v>12.49</v>
      </c>
      <c r="G41" s="214">
        <f>'[2]Link Out'!$E$168</f>
        <v>12.49</v>
      </c>
      <c r="H41" s="168" t="s">
        <v>12</v>
      </c>
      <c r="I41" s="177" t="s">
        <v>74</v>
      </c>
      <c r="J41" s="216">
        <f>'[5]Link In'!K14</f>
        <v>14.85</v>
      </c>
      <c r="K41" s="216">
        <f>'[5]Link In'!L14</f>
        <v>14.85</v>
      </c>
      <c r="L41" s="216">
        <f>'[5]Link In'!M14</f>
        <v>14.85</v>
      </c>
      <c r="M41" s="216">
        <f>'[5]Link In'!N14</f>
        <v>14.85</v>
      </c>
      <c r="N41" s="216">
        <f>'[5]Link In'!O14</f>
        <v>14.85</v>
      </c>
      <c r="O41" s="167"/>
      <c r="P41" s="167"/>
      <c r="Q41" s="167"/>
      <c r="R41" s="167"/>
      <c r="S41" s="167"/>
      <c r="T41" s="167"/>
      <c r="U41" s="167"/>
    </row>
    <row r="42" spans="1:29" ht="15" x14ac:dyDescent="0.25">
      <c r="A42" s="168"/>
      <c r="B42" s="177" t="s">
        <v>75</v>
      </c>
      <c r="C42" s="214">
        <f>'[2]Link Out'!$E$29</f>
        <v>18.739999999999998</v>
      </c>
      <c r="D42" s="214">
        <f>'[2]Link Out'!$E$64</f>
        <v>18.739999999999998</v>
      </c>
      <c r="E42" s="214">
        <f>'[2]Link Out'!$E$99</f>
        <v>18.739999999999998</v>
      </c>
      <c r="F42" s="215">
        <f>'[2]Link Out'!$E$134</f>
        <v>18.739999999999998</v>
      </c>
      <c r="G42" s="214">
        <f>'[2]Link Out'!$E$169</f>
        <v>18.739999999999998</v>
      </c>
      <c r="H42" s="168"/>
      <c r="I42" s="177" t="s">
        <v>75</v>
      </c>
      <c r="J42" s="216">
        <f>'[5]Link In'!K15</f>
        <v>22.3</v>
      </c>
      <c r="K42" s="216">
        <f>'[5]Link In'!L15</f>
        <v>22.3</v>
      </c>
      <c r="L42" s="216">
        <f>'[5]Link In'!M15</f>
        <v>22.3</v>
      </c>
      <c r="M42" s="216">
        <f>'[5]Link In'!N15</f>
        <v>22.3</v>
      </c>
      <c r="N42" s="216">
        <f>'[5]Link In'!O15</f>
        <v>22.3</v>
      </c>
      <c r="O42" s="167"/>
      <c r="P42" s="167"/>
      <c r="Q42" s="167"/>
      <c r="R42" s="167"/>
      <c r="S42" s="167"/>
      <c r="T42" s="167"/>
      <c r="U42" s="167"/>
    </row>
    <row r="43" spans="1:29" ht="15" x14ac:dyDescent="0.25">
      <c r="A43" s="168"/>
      <c r="B43" s="177" t="s">
        <v>76</v>
      </c>
      <c r="C43" s="214">
        <f>'[2]Link Out'!$E$30</f>
        <v>31.23</v>
      </c>
      <c r="D43" s="214">
        <f>'[2]Link Out'!$E$65</f>
        <v>31.23</v>
      </c>
      <c r="E43" s="214">
        <f>'[2]Link Out'!$E$100</f>
        <v>31.23</v>
      </c>
      <c r="F43" s="215">
        <f>'[2]Link Out'!$E$135</f>
        <v>31.23</v>
      </c>
      <c r="G43" s="214">
        <f>'[2]Link Out'!$E$170</f>
        <v>31.23</v>
      </c>
      <c r="H43" s="168"/>
      <c r="I43" s="177" t="s">
        <v>76</v>
      </c>
      <c r="J43" s="216">
        <f>'[5]Link In'!K16</f>
        <v>37.1</v>
      </c>
      <c r="K43" s="216">
        <f>'[5]Link In'!L16</f>
        <v>37.1</v>
      </c>
      <c r="L43" s="216">
        <f>'[5]Link In'!M16</f>
        <v>37.1</v>
      </c>
      <c r="M43" s="216">
        <f>'[5]Link In'!N16</f>
        <v>37.1</v>
      </c>
      <c r="N43" s="216">
        <f>'[5]Link In'!O16</f>
        <v>37.1</v>
      </c>
      <c r="O43" s="167"/>
      <c r="P43" s="167"/>
      <c r="Q43" s="167"/>
      <c r="R43" s="167"/>
      <c r="S43" s="167"/>
      <c r="T43" s="167"/>
      <c r="U43" s="167"/>
    </row>
    <row r="44" spans="1:29" ht="15" x14ac:dyDescent="0.25">
      <c r="A44" s="168"/>
      <c r="B44" s="177" t="s">
        <v>15</v>
      </c>
      <c r="C44" s="214">
        <f>'[2]Link Out'!$E$31</f>
        <v>62.45</v>
      </c>
      <c r="D44" s="214">
        <f>'[2]Link Out'!$E$66</f>
        <v>62.45</v>
      </c>
      <c r="E44" s="214">
        <f>'[2]Link Out'!$E$101</f>
        <v>62.45</v>
      </c>
      <c r="F44" s="215">
        <f>'[2]Link Out'!$E$136</f>
        <v>62.45</v>
      </c>
      <c r="G44" s="214">
        <f>'[2]Link Out'!$E$171</f>
        <v>62.45</v>
      </c>
      <c r="H44" s="168"/>
      <c r="I44" s="177" t="s">
        <v>15</v>
      </c>
      <c r="J44" s="216">
        <f>'[5]Link In'!K17</f>
        <v>74.3</v>
      </c>
      <c r="K44" s="216">
        <f>'[5]Link In'!L17</f>
        <v>74.3</v>
      </c>
      <c r="L44" s="216">
        <f>'[5]Link In'!M17</f>
        <v>74.3</v>
      </c>
      <c r="M44" s="216">
        <f>'[5]Link In'!N17</f>
        <v>74.3</v>
      </c>
      <c r="N44" s="216">
        <f>'[5]Link In'!O17</f>
        <v>74.3</v>
      </c>
      <c r="O44" s="167"/>
      <c r="P44" s="167"/>
      <c r="Q44" s="167"/>
      <c r="R44" s="167"/>
      <c r="S44" s="167"/>
      <c r="T44" s="167"/>
      <c r="U44" s="167"/>
    </row>
    <row r="45" spans="1:29" ht="15" x14ac:dyDescent="0.25">
      <c r="A45" s="168"/>
      <c r="B45" s="177" t="s">
        <v>13</v>
      </c>
      <c r="C45" s="214">
        <f>'[2]Link Out'!$E$32</f>
        <v>99.92</v>
      </c>
      <c r="D45" s="214">
        <f>'[2]Link Out'!$E$67</f>
        <v>99.92</v>
      </c>
      <c r="E45" s="214">
        <f>'[2]Link Out'!$E$102</f>
        <v>99.92</v>
      </c>
      <c r="F45" s="215">
        <f>'[2]Link Out'!$E$137</f>
        <v>99.92</v>
      </c>
      <c r="G45" s="214">
        <f>'[2]Link Out'!$E$172</f>
        <v>99.92</v>
      </c>
      <c r="H45" s="168"/>
      <c r="I45" s="177" t="s">
        <v>13</v>
      </c>
      <c r="J45" s="216">
        <f>'[5]Link In'!K18</f>
        <v>118.8</v>
      </c>
      <c r="K45" s="216">
        <f>'[5]Link In'!L18</f>
        <v>118.8</v>
      </c>
      <c r="L45" s="216">
        <f>'[5]Link In'!M18</f>
        <v>118.8</v>
      </c>
      <c r="M45" s="216">
        <f>'[5]Link In'!N18</f>
        <v>118.8</v>
      </c>
      <c r="N45" s="216">
        <f>'[5]Link In'!O18</f>
        <v>118.8</v>
      </c>
      <c r="O45" s="167"/>
      <c r="P45" s="167"/>
      <c r="Q45" s="167"/>
      <c r="R45" s="167"/>
      <c r="S45" s="167"/>
      <c r="T45" s="167"/>
      <c r="U45" s="167"/>
    </row>
    <row r="46" spans="1:29" ht="15" x14ac:dyDescent="0.25">
      <c r="A46" s="168"/>
      <c r="B46" s="177" t="s">
        <v>14</v>
      </c>
      <c r="C46" s="214">
        <f>'[2]Link Out'!$E$33</f>
        <v>187.35</v>
      </c>
      <c r="D46" s="214">
        <f>'[2]Link Out'!$E$68</f>
        <v>187.35</v>
      </c>
      <c r="E46" s="214">
        <f>'[2]Link Out'!$E$103</f>
        <v>187.35</v>
      </c>
      <c r="F46" s="215">
        <f>'[2]Link Out'!$E$138</f>
        <v>187.35</v>
      </c>
      <c r="G46" s="214">
        <f>'[2]Link Out'!$E$173</f>
        <v>187.35</v>
      </c>
      <c r="H46" s="168"/>
      <c r="I46" s="177" t="s">
        <v>14</v>
      </c>
      <c r="J46" s="216">
        <f>'[5]Link In'!K19</f>
        <v>222.8</v>
      </c>
      <c r="K46" s="216">
        <f>'[5]Link In'!L19</f>
        <v>222.8</v>
      </c>
      <c r="L46" s="216">
        <f>'[5]Link In'!M19</f>
        <v>222.8</v>
      </c>
      <c r="M46" s="216">
        <f>'[5]Link In'!N19</f>
        <v>222.8</v>
      </c>
      <c r="N46" s="216">
        <f>'[5]Link In'!O19</f>
        <v>222.8</v>
      </c>
      <c r="O46" s="167"/>
      <c r="P46" s="167"/>
      <c r="Q46" s="167"/>
      <c r="R46" s="167"/>
      <c r="S46" s="167"/>
      <c r="T46" s="167"/>
      <c r="U46" s="167"/>
    </row>
    <row r="47" spans="1:29" ht="15" x14ac:dyDescent="0.25">
      <c r="A47" s="168"/>
      <c r="B47" s="177" t="s">
        <v>16</v>
      </c>
      <c r="C47" s="214">
        <f>'[2]Link Out'!$E$34</f>
        <v>312.25</v>
      </c>
      <c r="D47" s="214">
        <f>'[2]Link Out'!$E$69</f>
        <v>312.25</v>
      </c>
      <c r="E47" s="214">
        <f>'[2]Link Out'!$E$104</f>
        <v>312.25</v>
      </c>
      <c r="F47" s="215">
        <f>'[2]Link Out'!$E$139</f>
        <v>312.25</v>
      </c>
      <c r="G47" s="214">
        <f>'[2]Link Out'!$E$174</f>
        <v>312.25</v>
      </c>
      <c r="H47" s="168"/>
      <c r="I47" s="177" t="s">
        <v>16</v>
      </c>
      <c r="J47" s="216">
        <f>'[5]Link In'!K20</f>
        <v>371.3</v>
      </c>
      <c r="K47" s="216">
        <f>'[5]Link In'!L20</f>
        <v>371.3</v>
      </c>
      <c r="L47" s="216">
        <f>'[5]Link In'!M20</f>
        <v>371.3</v>
      </c>
      <c r="M47" s="216">
        <f>'[5]Link In'!N20</f>
        <v>371.3</v>
      </c>
      <c r="N47" s="216">
        <f>'[5]Link In'!O20</f>
        <v>371.3</v>
      </c>
      <c r="O47" s="167"/>
      <c r="P47" s="167"/>
      <c r="Q47" s="167"/>
      <c r="R47" s="167"/>
      <c r="S47" s="167"/>
      <c r="T47" s="167"/>
      <c r="U47" s="167"/>
    </row>
    <row r="48" spans="1:29" ht="15" x14ac:dyDescent="0.25">
      <c r="A48" s="168"/>
      <c r="B48" s="177" t="s">
        <v>60</v>
      </c>
      <c r="C48" s="214">
        <f>'[2]Link Out'!$E$35</f>
        <v>624.5</v>
      </c>
      <c r="D48" s="214">
        <f>'[2]Link Out'!$E$70</f>
        <v>624.5</v>
      </c>
      <c r="E48" s="214">
        <f>'[2]Link Out'!$E$105</f>
        <v>624.5</v>
      </c>
      <c r="F48" s="215">
        <f>'[2]Link Out'!$E$140</f>
        <v>624.5</v>
      </c>
      <c r="G48" s="214">
        <f>'[2]Link Out'!$E$175</f>
        <v>624.5</v>
      </c>
      <c r="H48" s="168"/>
      <c r="I48" s="177" t="s">
        <v>60</v>
      </c>
      <c r="J48" s="216">
        <f>'[5]Link In'!K21</f>
        <v>742.5</v>
      </c>
      <c r="K48" s="216">
        <f>'[5]Link In'!L21</f>
        <v>742.5</v>
      </c>
      <c r="L48" s="216">
        <f>'[5]Link In'!M21</f>
        <v>742.5</v>
      </c>
      <c r="M48" s="216">
        <f>'[5]Link In'!N21</f>
        <v>742.5</v>
      </c>
      <c r="N48" s="216">
        <f>'[5]Link In'!O21</f>
        <v>742.5</v>
      </c>
      <c r="O48" s="167"/>
      <c r="P48" s="167"/>
      <c r="Q48" s="167"/>
      <c r="R48" s="167"/>
      <c r="S48" s="167"/>
      <c r="T48" s="167"/>
      <c r="U48" s="167"/>
    </row>
    <row r="49" spans="1:21" ht="15" x14ac:dyDescent="0.25">
      <c r="A49" s="168"/>
      <c r="B49" s="177" t="s">
        <v>61</v>
      </c>
      <c r="C49" s="214">
        <f>'[2]Link Out'!$E$36</f>
        <v>999.2</v>
      </c>
      <c r="D49" s="214">
        <f>'[2]Link Out'!$E$71</f>
        <v>999.2</v>
      </c>
      <c r="E49" s="214">
        <f>'[2]Link Out'!$E$106</f>
        <v>999.2</v>
      </c>
      <c r="F49" s="215">
        <f>'[2]Link Out'!$E$141</f>
        <v>999.2</v>
      </c>
      <c r="G49" s="214">
        <f>'[2]Link Out'!$E$176</f>
        <v>999.2</v>
      </c>
      <c r="H49" s="168"/>
      <c r="I49" s="177" t="s">
        <v>61</v>
      </c>
      <c r="J49" s="216">
        <f>'[5]Link In'!K22</f>
        <v>1188</v>
      </c>
      <c r="K49" s="216">
        <f>'[5]Link In'!L22</f>
        <v>1188</v>
      </c>
      <c r="L49" s="216">
        <f>'[5]Link In'!M22</f>
        <v>1188</v>
      </c>
      <c r="M49" s="216">
        <f>'[5]Link In'!N22</f>
        <v>1188</v>
      </c>
      <c r="N49" s="216">
        <f>'[5]Link In'!O22</f>
        <v>1188</v>
      </c>
      <c r="O49" s="167"/>
      <c r="P49" s="167"/>
      <c r="Q49" s="167"/>
      <c r="R49" s="167"/>
      <c r="S49" s="167"/>
      <c r="T49" s="167"/>
      <c r="U49" s="167"/>
    </row>
    <row r="50" spans="1:21" ht="15" x14ac:dyDescent="0.25">
      <c r="A50" s="168"/>
      <c r="B50" s="177" t="s">
        <v>62</v>
      </c>
      <c r="C50" s="216"/>
      <c r="D50" s="216"/>
      <c r="E50" s="216"/>
      <c r="F50" s="217"/>
      <c r="G50" s="216"/>
      <c r="H50" s="168"/>
      <c r="I50" s="177" t="s">
        <v>62</v>
      </c>
      <c r="J50" s="216"/>
      <c r="K50" s="216"/>
      <c r="L50" s="216"/>
      <c r="M50" s="216"/>
      <c r="N50" s="216"/>
      <c r="O50" s="167"/>
      <c r="P50" s="167"/>
      <c r="Q50" s="167"/>
      <c r="R50" s="167"/>
      <c r="S50" s="167"/>
      <c r="T50" s="167"/>
      <c r="U50" s="167"/>
    </row>
    <row r="51" spans="1:21" ht="15" x14ac:dyDescent="0.25">
      <c r="A51" s="168"/>
      <c r="B51" s="177" t="s">
        <v>63</v>
      </c>
      <c r="C51" s="216"/>
      <c r="D51" s="216"/>
      <c r="E51" s="216"/>
      <c r="F51" s="217"/>
      <c r="G51" s="216"/>
      <c r="H51" s="168"/>
      <c r="I51" s="177" t="s">
        <v>63</v>
      </c>
      <c r="J51" s="216"/>
      <c r="K51" s="216"/>
      <c r="L51" s="216"/>
      <c r="M51" s="216"/>
      <c r="N51" s="216"/>
      <c r="O51" s="167"/>
      <c r="P51" s="167"/>
      <c r="Q51" s="167"/>
      <c r="R51" s="167"/>
      <c r="S51" s="167"/>
      <c r="T51" s="167"/>
      <c r="U51" s="167"/>
    </row>
    <row r="52" spans="1:21" ht="15" x14ac:dyDescent="0.25">
      <c r="A52" s="168"/>
      <c r="B52" s="168"/>
      <c r="C52" s="167"/>
      <c r="D52" s="187"/>
      <c r="E52" s="187"/>
      <c r="F52" s="167"/>
      <c r="G52" s="167"/>
      <c r="H52" s="168"/>
      <c r="I52" s="168"/>
      <c r="J52" s="167"/>
      <c r="K52" s="187"/>
      <c r="L52" s="187"/>
      <c r="M52" s="167"/>
      <c r="N52" s="167"/>
      <c r="O52" s="167"/>
      <c r="P52" s="167"/>
      <c r="Q52" s="167"/>
      <c r="R52" s="167"/>
      <c r="S52" s="167"/>
      <c r="T52" s="167"/>
      <c r="U52" s="167"/>
    </row>
    <row r="53" spans="1:21" ht="15" x14ac:dyDescent="0.25">
      <c r="A53" s="168" t="s">
        <v>49</v>
      </c>
      <c r="B53" s="212" t="s">
        <v>124</v>
      </c>
      <c r="C53" s="167"/>
      <c r="D53" s="167"/>
      <c r="E53" s="167"/>
      <c r="F53" s="167"/>
      <c r="G53" s="167"/>
      <c r="H53" s="168" t="s">
        <v>49</v>
      </c>
      <c r="I53" s="212" t="str">
        <f>B53</f>
        <v>T-Gals</v>
      </c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</row>
    <row r="54" spans="1:21" ht="15" x14ac:dyDescent="0.25">
      <c r="A54" s="188"/>
      <c r="B54" s="168" t="s">
        <v>12</v>
      </c>
      <c r="C54" s="167" t="s">
        <v>88</v>
      </c>
      <c r="D54" s="167" t="s">
        <v>89</v>
      </c>
      <c r="E54" s="167" t="s">
        <v>90</v>
      </c>
      <c r="F54" s="187" t="s">
        <v>6</v>
      </c>
      <c r="G54" s="167" t="s">
        <v>94</v>
      </c>
      <c r="H54" s="188"/>
      <c r="I54" s="168" t="s">
        <v>12</v>
      </c>
      <c r="J54" s="168" t="s">
        <v>88</v>
      </c>
      <c r="K54" s="168" t="s">
        <v>89</v>
      </c>
      <c r="L54" s="168" t="s">
        <v>90</v>
      </c>
      <c r="M54" s="213" t="s">
        <v>6</v>
      </c>
      <c r="N54" s="168" t="s">
        <v>94</v>
      </c>
      <c r="O54" s="179"/>
      <c r="P54" s="167"/>
      <c r="Q54" s="167"/>
      <c r="R54" s="167"/>
      <c r="S54" s="167"/>
      <c r="T54" s="167"/>
      <c r="U54" s="167"/>
    </row>
    <row r="55" spans="1:21" ht="15" x14ac:dyDescent="0.25">
      <c r="A55" s="218" t="s">
        <v>125</v>
      </c>
      <c r="B55" s="219" t="s">
        <v>125</v>
      </c>
      <c r="C55" s="220">
        <f>'[2]Link Out'!$E$42</f>
        <v>5.3003999999999998</v>
      </c>
      <c r="D55" s="220">
        <f>'[2]Link Out'!$E$77</f>
        <v>4.8280000000000003</v>
      </c>
      <c r="E55" s="220">
        <f>'[2]Link Out'!$E$112</f>
        <v>3.8946700000000001</v>
      </c>
      <c r="F55" s="220">
        <f>'[2]Link Out'!$E$147</f>
        <v>4.2451999999999996</v>
      </c>
      <c r="G55" s="220">
        <f>'[2]Link Out'!$E$182</f>
        <v>4.2092999999999998</v>
      </c>
      <c r="H55" s="218" t="s">
        <v>103</v>
      </c>
      <c r="I55" s="219" t="str">
        <f>B55</f>
        <v>All</v>
      </c>
      <c r="J55" s="220">
        <f>'[5]Link In'!K28</f>
        <v>6.4160000000000004</v>
      </c>
      <c r="K55" s="220">
        <f>'[5]Link In'!L28</f>
        <v>5.585</v>
      </c>
      <c r="L55" s="220">
        <f>'[5]Link In'!M28</f>
        <v>4.9219999999999997</v>
      </c>
      <c r="M55" s="220">
        <f>'[5]Link In'!N28</f>
        <v>5.1950000000000003</v>
      </c>
      <c r="N55" s="220">
        <f>'[5]Link In'!O28</f>
        <v>4.6349999999999998</v>
      </c>
      <c r="O55" s="220"/>
      <c r="P55" s="167"/>
      <c r="Q55" s="167"/>
      <c r="R55" s="167"/>
      <c r="S55" s="167"/>
      <c r="T55" s="167"/>
      <c r="U55" s="167"/>
    </row>
    <row r="56" spans="1:21" ht="15" x14ac:dyDescent="0.25">
      <c r="A56" s="218" t="s">
        <v>104</v>
      </c>
      <c r="B56" s="219"/>
      <c r="C56" s="220">
        <f>'[2]Link Out'!$E$43</f>
        <v>0</v>
      </c>
      <c r="D56" s="220">
        <f>'[2]Link Out'!$E$78</f>
        <v>0</v>
      </c>
      <c r="E56" s="220">
        <f>'[2]Link Out'!$E$113</f>
        <v>0</v>
      </c>
      <c r="F56" s="220">
        <f>'[2]Link Out'!$E$148</f>
        <v>0</v>
      </c>
      <c r="G56" s="220">
        <f>'[2]Link Out'!$E$183</f>
        <v>0</v>
      </c>
      <c r="H56" s="218" t="s">
        <v>104</v>
      </c>
      <c r="I56" s="219">
        <f t="shared" ref="I56:I60" si="10">B56</f>
        <v>0</v>
      </c>
      <c r="J56" s="220">
        <f>'[5]Link In'!K29</f>
        <v>0</v>
      </c>
      <c r="K56" s="220">
        <f>'[5]Link In'!L29</f>
        <v>0</v>
      </c>
      <c r="L56" s="220">
        <f>'[5]Link In'!M29</f>
        <v>0</v>
      </c>
      <c r="M56" s="220">
        <f>'[5]Link In'!N29</f>
        <v>0</v>
      </c>
      <c r="N56" s="220">
        <f>'[5]Link In'!O29</f>
        <v>0</v>
      </c>
      <c r="O56" s="220"/>
      <c r="P56" s="167"/>
      <c r="Q56" s="167"/>
      <c r="R56" s="167"/>
      <c r="S56" s="167"/>
      <c r="T56" s="167"/>
      <c r="U56" s="167"/>
    </row>
    <row r="57" spans="1:21" ht="15" x14ac:dyDescent="0.25">
      <c r="A57" s="218" t="s">
        <v>105</v>
      </c>
      <c r="B57" s="219"/>
      <c r="C57" s="220">
        <f>'[2]Link Out'!$E$44</f>
        <v>0</v>
      </c>
      <c r="D57" s="220">
        <f>'[2]Link Out'!$E$79</f>
        <v>0</v>
      </c>
      <c r="E57" s="220">
        <f>'[2]Link Out'!$E$114</f>
        <v>0</v>
      </c>
      <c r="F57" s="220">
        <f>'[2]Link Out'!$E$149</f>
        <v>0</v>
      </c>
      <c r="G57" s="220">
        <f>'[2]Link Out'!$E$184</f>
        <v>0</v>
      </c>
      <c r="H57" s="218" t="s">
        <v>105</v>
      </c>
      <c r="I57" s="219">
        <f t="shared" si="10"/>
        <v>0</v>
      </c>
      <c r="J57" s="220">
        <f>'[5]Link In'!K30</f>
        <v>0</v>
      </c>
      <c r="K57" s="220">
        <f>'[5]Link In'!L30</f>
        <v>0</v>
      </c>
      <c r="L57" s="220">
        <f>'[5]Link In'!M30</f>
        <v>0</v>
      </c>
      <c r="M57" s="220">
        <f>'[5]Link In'!N30</f>
        <v>0</v>
      </c>
      <c r="N57" s="220">
        <f>'[5]Link In'!O30</f>
        <v>0</v>
      </c>
      <c r="O57" s="220"/>
      <c r="P57" s="167"/>
      <c r="Q57" s="167"/>
      <c r="R57" s="167"/>
      <c r="S57" s="167"/>
      <c r="T57" s="167"/>
      <c r="U57" s="167"/>
    </row>
    <row r="58" spans="1:21" ht="15" x14ac:dyDescent="0.25">
      <c r="A58" s="218" t="s">
        <v>106</v>
      </c>
      <c r="B58" s="221"/>
      <c r="C58" s="220">
        <f>'[2]Link Out'!$E$45</f>
        <v>0</v>
      </c>
      <c r="D58" s="220">
        <f>'[2]Link Out'!$E$80</f>
        <v>0</v>
      </c>
      <c r="E58" s="220">
        <f>'[2]Link Out'!$E$115</f>
        <v>0</v>
      </c>
      <c r="F58" s="220">
        <f>'[2]Link Out'!$E$150</f>
        <v>0</v>
      </c>
      <c r="G58" s="220">
        <f>'[2]Link Out'!$E$185</f>
        <v>0</v>
      </c>
      <c r="H58" s="218" t="s">
        <v>106</v>
      </c>
      <c r="I58" s="219">
        <f t="shared" si="10"/>
        <v>0</v>
      </c>
      <c r="J58" s="220">
        <f>'[5]Link In'!K31</f>
        <v>0</v>
      </c>
      <c r="K58" s="220">
        <f>'[5]Link In'!L31</f>
        <v>0</v>
      </c>
      <c r="L58" s="220">
        <f>'[5]Link In'!M31</f>
        <v>0</v>
      </c>
      <c r="M58" s="220">
        <f>'[5]Link In'!N31</f>
        <v>0</v>
      </c>
      <c r="N58" s="220">
        <f>'[5]Link In'!O31</f>
        <v>0</v>
      </c>
      <c r="O58" s="220"/>
      <c r="P58" s="167"/>
      <c r="Q58" s="167"/>
      <c r="R58" s="167"/>
      <c r="S58" s="167"/>
      <c r="T58" s="167"/>
      <c r="U58" s="167"/>
    </row>
    <row r="59" spans="1:21" ht="15" x14ac:dyDescent="0.25">
      <c r="A59" s="218" t="s">
        <v>107</v>
      </c>
      <c r="B59" s="221"/>
      <c r="C59" s="220">
        <f>'[2]Link Out'!$E$46</f>
        <v>0</v>
      </c>
      <c r="D59" s="220">
        <f>'[2]Link Out'!$E$81</f>
        <v>0</v>
      </c>
      <c r="E59" s="220">
        <f>'[2]Link Out'!$E$116</f>
        <v>0</v>
      </c>
      <c r="F59" s="220">
        <f>'[2]Link Out'!$E$151</f>
        <v>0</v>
      </c>
      <c r="G59" s="220">
        <f>'[2]Link Out'!$E$186</f>
        <v>0</v>
      </c>
      <c r="H59" s="218" t="s">
        <v>107</v>
      </c>
      <c r="I59" s="219">
        <f t="shared" si="10"/>
        <v>0</v>
      </c>
      <c r="J59" s="220">
        <f>'[5]Link In'!K32</f>
        <v>0</v>
      </c>
      <c r="K59" s="220">
        <f>'[5]Link In'!L32</f>
        <v>0</v>
      </c>
      <c r="L59" s="220">
        <f>'[5]Link In'!M32</f>
        <v>0</v>
      </c>
      <c r="M59" s="220">
        <f>'[5]Link In'!N32</f>
        <v>0</v>
      </c>
      <c r="N59" s="220">
        <f>'[5]Link In'!O32</f>
        <v>0</v>
      </c>
      <c r="O59" s="220"/>
      <c r="P59" s="167"/>
      <c r="Q59" s="167"/>
      <c r="R59" s="167"/>
      <c r="S59" s="167"/>
      <c r="T59" s="167"/>
      <c r="U59" s="167"/>
    </row>
    <row r="60" spans="1:21" ht="15" x14ac:dyDescent="0.25">
      <c r="A60" s="218" t="s">
        <v>108</v>
      </c>
      <c r="B60" s="221"/>
      <c r="C60" s="220">
        <f>'[2]Link Out'!$E$47</f>
        <v>0</v>
      </c>
      <c r="D60" s="220">
        <f>'[2]Link Out'!$E$82</f>
        <v>0</v>
      </c>
      <c r="E60" s="220">
        <f>'[2]Link Out'!$E$117</f>
        <v>0</v>
      </c>
      <c r="F60" s="220">
        <f>'[2]Link Out'!$E$152</f>
        <v>0</v>
      </c>
      <c r="G60" s="220">
        <f>'[2]Link Out'!$E$187</f>
        <v>0</v>
      </c>
      <c r="H60" s="218" t="s">
        <v>108</v>
      </c>
      <c r="I60" s="219">
        <f t="shared" si="10"/>
        <v>0</v>
      </c>
      <c r="J60" s="220">
        <f>'[5]Link In'!K33</f>
        <v>0</v>
      </c>
      <c r="K60" s="220">
        <f>'[5]Link In'!L33</f>
        <v>0</v>
      </c>
      <c r="L60" s="220">
        <f>'[5]Link In'!M33</f>
        <v>0</v>
      </c>
      <c r="M60" s="220">
        <f>'[5]Link In'!N33</f>
        <v>0</v>
      </c>
      <c r="N60" s="220">
        <f>'[5]Link In'!O33</f>
        <v>0</v>
      </c>
      <c r="O60" s="220"/>
      <c r="P60" s="167"/>
      <c r="Q60" s="167"/>
      <c r="R60" s="167"/>
      <c r="S60" s="167"/>
      <c r="T60" s="167"/>
      <c r="U60" s="167"/>
    </row>
    <row r="61" spans="1:21" ht="15" x14ac:dyDescent="0.25">
      <c r="A61" s="168"/>
      <c r="B61" s="168"/>
      <c r="C61" s="167"/>
      <c r="D61" s="323"/>
      <c r="E61" s="323"/>
      <c r="F61" s="167"/>
      <c r="G61" s="167"/>
      <c r="H61" s="168"/>
      <c r="I61" s="168"/>
      <c r="J61" s="167"/>
      <c r="K61" s="323"/>
      <c r="L61" s="323"/>
      <c r="M61" s="167"/>
      <c r="N61" s="167"/>
      <c r="O61" s="167"/>
      <c r="P61" s="167"/>
      <c r="Q61" s="167"/>
      <c r="R61" s="167"/>
      <c r="S61" s="167"/>
      <c r="T61" s="167"/>
      <c r="U61" s="167"/>
    </row>
    <row r="62" spans="1:21" ht="15" x14ac:dyDescent="0.25">
      <c r="A62" s="168"/>
      <c r="B62" s="168"/>
      <c r="C62" s="167"/>
      <c r="D62" s="179"/>
      <c r="E62" s="167"/>
      <c r="F62" s="167"/>
      <c r="G62" s="167"/>
      <c r="H62" s="168"/>
      <c r="I62" s="168"/>
      <c r="J62" s="167"/>
      <c r="K62" s="179"/>
      <c r="L62" s="222"/>
      <c r="M62" s="167"/>
      <c r="N62" s="167"/>
      <c r="O62" s="167"/>
      <c r="P62" s="167"/>
      <c r="Q62" s="167"/>
      <c r="R62" s="167"/>
      <c r="S62" s="167"/>
      <c r="T62" s="167"/>
      <c r="U62" s="167"/>
    </row>
    <row r="63" spans="1:21" ht="15" x14ac:dyDescent="0.25">
      <c r="A63" s="168"/>
      <c r="B63" s="168" t="s">
        <v>78</v>
      </c>
      <c r="C63" s="167"/>
      <c r="D63" s="222" t="s">
        <v>12</v>
      </c>
      <c r="E63" s="167"/>
      <c r="F63" s="105"/>
      <c r="G63" s="167"/>
      <c r="H63" s="168"/>
      <c r="I63" s="168"/>
      <c r="J63" s="167" t="s">
        <v>78</v>
      </c>
      <c r="K63" s="167"/>
      <c r="L63" s="223" t="s">
        <v>12</v>
      </c>
      <c r="M63" s="167"/>
      <c r="N63" s="167"/>
      <c r="O63" s="167"/>
      <c r="P63" s="105"/>
      <c r="Q63" s="224"/>
      <c r="R63" s="224"/>
      <c r="S63" s="167"/>
      <c r="T63" s="167"/>
      <c r="U63" s="167"/>
    </row>
    <row r="64" spans="1:21" ht="15" x14ac:dyDescent="0.25">
      <c r="A64" s="168"/>
      <c r="B64" s="225"/>
      <c r="C64" s="167"/>
      <c r="D64" s="222" t="s">
        <v>46</v>
      </c>
      <c r="E64" s="167"/>
      <c r="F64" s="105"/>
      <c r="G64" s="167"/>
      <c r="H64" s="225"/>
      <c r="I64" s="168"/>
      <c r="J64" s="226"/>
      <c r="K64" s="167"/>
      <c r="L64" s="222" t="s">
        <v>46</v>
      </c>
      <c r="M64" s="227"/>
      <c r="N64" s="167"/>
      <c r="O64" s="167"/>
      <c r="P64" s="105"/>
      <c r="Q64" s="224"/>
      <c r="R64" s="224"/>
      <c r="S64" s="167"/>
      <c r="T64" s="167"/>
      <c r="U64" s="167"/>
    </row>
    <row r="65" spans="1:29" ht="15" x14ac:dyDescent="0.25">
      <c r="A65" s="168"/>
      <c r="B65" s="168" t="s">
        <v>23</v>
      </c>
      <c r="C65" s="182" t="s">
        <v>140</v>
      </c>
      <c r="D65" s="215">
        <f>'[2]Link Out'!$E$204</f>
        <v>79.77</v>
      </c>
      <c r="E65" s="167"/>
      <c r="F65" s="105"/>
      <c r="G65" s="167"/>
      <c r="H65" s="168"/>
      <c r="I65" s="168"/>
      <c r="J65" s="167" t="s">
        <v>23</v>
      </c>
      <c r="K65" s="182" t="s">
        <v>140</v>
      </c>
      <c r="L65" s="228">
        <f>'[5]Link In'!$L$46</f>
        <v>79.77</v>
      </c>
      <c r="M65" s="227"/>
      <c r="N65" s="167"/>
      <c r="O65" s="167"/>
      <c r="P65" s="105"/>
      <c r="Q65" s="224"/>
      <c r="R65" s="224"/>
      <c r="S65" s="167"/>
      <c r="T65" s="167"/>
      <c r="U65" s="167"/>
    </row>
    <row r="66" spans="1:29" ht="15" x14ac:dyDescent="0.25">
      <c r="A66" s="168"/>
      <c r="B66" s="168"/>
      <c r="C66" s="182" t="s">
        <v>13</v>
      </c>
      <c r="D66" s="215">
        <f>'[2]Link Out'!$E$205</f>
        <v>8.92</v>
      </c>
      <c r="E66" s="167"/>
      <c r="F66" s="105"/>
      <c r="G66" s="167"/>
      <c r="H66" s="168"/>
      <c r="I66" s="168"/>
      <c r="J66" s="167"/>
      <c r="K66" s="182" t="s">
        <v>13</v>
      </c>
      <c r="L66" s="228">
        <f>'[5]Link In'!L38</f>
        <v>9.3699999999999992</v>
      </c>
      <c r="M66" s="227"/>
      <c r="N66" s="167"/>
      <c r="O66" s="167"/>
      <c r="P66" s="105"/>
      <c r="Q66" s="224"/>
      <c r="R66" s="224"/>
      <c r="S66" s="167"/>
      <c r="T66" s="167"/>
      <c r="U66" s="167"/>
    </row>
    <row r="67" spans="1:29" ht="15" x14ac:dyDescent="0.25">
      <c r="A67" s="168"/>
      <c r="B67" s="168"/>
      <c r="C67" s="182" t="s">
        <v>16</v>
      </c>
      <c r="D67" s="215">
        <f>'[2]Link Out'!$E$206</f>
        <v>35.9</v>
      </c>
      <c r="E67" s="167"/>
      <c r="F67" s="227"/>
      <c r="G67" s="167"/>
      <c r="H67" s="168"/>
      <c r="I67" s="168"/>
      <c r="J67" s="167"/>
      <c r="K67" s="182" t="s">
        <v>16</v>
      </c>
      <c r="L67" s="228">
        <f>'[5]Link In'!L39</f>
        <v>37.700000000000003</v>
      </c>
      <c r="M67" s="227"/>
      <c r="N67" s="167"/>
      <c r="O67" s="167"/>
      <c r="P67" s="167"/>
      <c r="Q67" s="167"/>
      <c r="R67" s="167"/>
      <c r="S67" s="167"/>
      <c r="T67" s="167"/>
      <c r="U67" s="167"/>
    </row>
    <row r="68" spans="1:29" ht="15" x14ac:dyDescent="0.25">
      <c r="A68" s="168"/>
      <c r="B68" s="168"/>
      <c r="C68" s="182" t="s">
        <v>60</v>
      </c>
      <c r="D68" s="215">
        <f>'[2]Link Out'!$E$207</f>
        <v>80.739999999999995</v>
      </c>
      <c r="E68" s="167"/>
      <c r="F68" s="227"/>
      <c r="G68" s="167"/>
      <c r="H68" s="168"/>
      <c r="I68" s="168"/>
      <c r="J68" s="167"/>
      <c r="K68" s="182" t="s">
        <v>60</v>
      </c>
      <c r="L68" s="228">
        <f>'[5]Link In'!L40</f>
        <v>84.78</v>
      </c>
      <c r="M68" s="227"/>
      <c r="N68" s="167"/>
      <c r="O68" s="167"/>
      <c r="P68" s="167"/>
      <c r="Q68" s="167"/>
      <c r="R68" s="167"/>
      <c r="S68" s="167"/>
      <c r="T68" s="167"/>
      <c r="U68" s="167"/>
    </row>
    <row r="69" spans="1:29" ht="15" x14ac:dyDescent="0.25">
      <c r="A69" s="168"/>
      <c r="B69" s="168"/>
      <c r="C69" s="182" t="s">
        <v>61</v>
      </c>
      <c r="D69" s="215">
        <f>'[2]Link Out'!$E$208</f>
        <v>143.54</v>
      </c>
      <c r="E69" s="167"/>
      <c r="F69" s="227"/>
      <c r="G69" s="167"/>
      <c r="H69" s="168"/>
      <c r="I69" s="168"/>
      <c r="J69" s="167"/>
      <c r="K69" s="182" t="s">
        <v>61</v>
      </c>
      <c r="L69" s="228">
        <f>'[5]Link In'!L41</f>
        <v>150.72</v>
      </c>
      <c r="M69" s="227"/>
      <c r="N69" s="167"/>
      <c r="O69" s="167"/>
      <c r="P69" s="167"/>
      <c r="Q69" s="167"/>
      <c r="R69" s="167"/>
      <c r="S69" s="167"/>
      <c r="T69" s="167"/>
      <c r="U69" s="167"/>
    </row>
    <row r="70" spans="1:29" ht="15" x14ac:dyDescent="0.25">
      <c r="A70" s="168"/>
      <c r="B70" s="168"/>
      <c r="C70" s="182" t="s">
        <v>62</v>
      </c>
      <c r="D70" s="215">
        <f>'[2]Link Out'!$E$209</f>
        <v>224.34</v>
      </c>
      <c r="E70" s="167"/>
      <c r="F70" s="227"/>
      <c r="G70" s="167"/>
      <c r="H70" s="168"/>
      <c r="I70" s="168"/>
      <c r="J70" s="167"/>
      <c r="K70" s="182" t="s">
        <v>62</v>
      </c>
      <c r="L70" s="228">
        <f>'[5]Link In'!L42</f>
        <v>235.56</v>
      </c>
      <c r="M70" s="227"/>
      <c r="N70" s="167"/>
      <c r="O70" s="167"/>
      <c r="P70" s="167"/>
      <c r="Q70" s="167"/>
      <c r="R70" s="167"/>
      <c r="S70" s="167"/>
      <c r="T70" s="167"/>
      <c r="U70" s="167"/>
    </row>
    <row r="71" spans="1:29" ht="15" x14ac:dyDescent="0.25">
      <c r="A71" s="168"/>
      <c r="B71" s="168"/>
      <c r="C71" s="182" t="s">
        <v>63</v>
      </c>
      <c r="D71" s="215">
        <f>'[2]Link Out'!$E$210</f>
        <v>323.5</v>
      </c>
      <c r="E71" s="167"/>
      <c r="F71" s="227"/>
      <c r="G71" s="167"/>
      <c r="H71" s="168"/>
      <c r="I71" s="168"/>
      <c r="J71" s="167"/>
      <c r="K71" s="182" t="s">
        <v>63</v>
      </c>
      <c r="L71" s="228">
        <f>'[5]Link In'!L43</f>
        <v>339.68</v>
      </c>
      <c r="M71" s="227"/>
      <c r="N71" s="167"/>
      <c r="O71" s="167"/>
      <c r="P71" s="167"/>
      <c r="Q71" s="167"/>
      <c r="R71" s="167"/>
      <c r="S71" s="167"/>
      <c r="T71" s="167"/>
      <c r="U71" s="167"/>
    </row>
    <row r="72" spans="1:29" ht="15" x14ac:dyDescent="0.25">
      <c r="A72" s="168"/>
      <c r="B72" s="168"/>
      <c r="C72" s="182" t="s">
        <v>136</v>
      </c>
      <c r="D72" s="215">
        <f>'[2]Link Out'!$E$211</f>
        <v>439.89</v>
      </c>
      <c r="E72" s="167"/>
      <c r="F72" s="167"/>
      <c r="G72" s="167"/>
      <c r="H72" s="168"/>
      <c r="I72" s="168"/>
      <c r="J72" s="167"/>
      <c r="K72" s="182" t="s">
        <v>136</v>
      </c>
      <c r="L72" s="228">
        <f>'[5]Link In'!L44</f>
        <v>461.88</v>
      </c>
      <c r="M72" s="167"/>
      <c r="N72" s="167"/>
      <c r="O72" s="167"/>
      <c r="P72" s="167"/>
      <c r="Q72" s="167"/>
      <c r="R72" s="167"/>
      <c r="S72" s="167"/>
      <c r="T72" s="167"/>
      <c r="U72" s="167"/>
    </row>
    <row r="73" spans="1:29" ht="15" x14ac:dyDescent="0.25">
      <c r="A73" s="168"/>
      <c r="B73" s="168"/>
      <c r="C73" s="182" t="s">
        <v>137</v>
      </c>
      <c r="D73" s="215">
        <f>'[2]Link Out'!$E$212</f>
        <v>574.41999999999996</v>
      </c>
      <c r="E73" s="167"/>
      <c r="F73" s="167"/>
      <c r="G73" s="167"/>
      <c r="H73" s="168"/>
      <c r="I73" s="168"/>
      <c r="J73" s="167"/>
      <c r="K73" s="182" t="s">
        <v>137</v>
      </c>
      <c r="L73" s="228">
        <f>'[5]Link In'!L45</f>
        <v>603.14</v>
      </c>
      <c r="M73" s="167"/>
      <c r="N73" s="167"/>
      <c r="O73" s="167"/>
      <c r="P73" s="167"/>
      <c r="Q73" s="167"/>
      <c r="R73" s="167"/>
      <c r="S73" s="167"/>
      <c r="T73" s="167"/>
      <c r="U73" s="167"/>
    </row>
    <row r="74" spans="1:29" ht="15" x14ac:dyDescent="0.25">
      <c r="A74" s="168"/>
      <c r="B74" s="168"/>
      <c r="C74" s="113"/>
      <c r="D74" s="228"/>
      <c r="E74" s="167"/>
      <c r="F74" s="167"/>
      <c r="G74" s="167"/>
      <c r="H74" s="168"/>
      <c r="I74" s="168"/>
      <c r="J74" s="167"/>
      <c r="K74" s="167"/>
      <c r="L74" s="228"/>
      <c r="M74" s="167"/>
      <c r="N74" s="167"/>
      <c r="O74" s="167"/>
      <c r="P74" s="167"/>
      <c r="Q74" s="167"/>
      <c r="R74" s="167"/>
      <c r="S74" s="167"/>
      <c r="T74" s="167"/>
      <c r="U74" s="167"/>
    </row>
    <row r="75" spans="1:29" ht="15" x14ac:dyDescent="0.25">
      <c r="A75" s="168"/>
      <c r="B75" s="168" t="s">
        <v>85</v>
      </c>
      <c r="C75" s="167"/>
      <c r="D75" s="228"/>
      <c r="E75" s="167"/>
      <c r="F75" s="167"/>
      <c r="G75" s="167"/>
      <c r="H75" s="168"/>
      <c r="I75" s="168"/>
      <c r="J75" s="167" t="s">
        <v>85</v>
      </c>
      <c r="K75" s="167"/>
      <c r="L75" s="228"/>
      <c r="M75" s="167"/>
      <c r="N75" s="167"/>
      <c r="O75" s="167"/>
      <c r="P75" s="167"/>
      <c r="Q75" s="167"/>
      <c r="R75" s="167"/>
      <c r="S75" s="167"/>
      <c r="T75" s="167"/>
      <c r="U75" s="167"/>
    </row>
    <row r="76" spans="1:29" ht="15" x14ac:dyDescent="0.25">
      <c r="A76" s="168"/>
      <c r="B76" s="101" t="s">
        <v>87</v>
      </c>
      <c r="C76" s="167"/>
      <c r="D76" s="214">
        <f>'[2]Link Out'!$E$233</f>
        <v>41.6</v>
      </c>
      <c r="E76" s="167"/>
      <c r="F76" s="167"/>
      <c r="G76" s="167"/>
      <c r="H76" s="168"/>
      <c r="I76" s="168"/>
      <c r="J76" s="101" t="s">
        <v>87</v>
      </c>
      <c r="K76" s="168"/>
      <c r="L76" s="215">
        <f>'[5]Link In'!$L$48</f>
        <v>48</v>
      </c>
      <c r="M76" s="168"/>
      <c r="N76" s="168"/>
      <c r="O76" s="168"/>
      <c r="P76" s="168"/>
      <c r="Q76" s="168"/>
      <c r="R76" s="168"/>
      <c r="S76" s="168"/>
      <c r="T76" s="168"/>
      <c r="U76" s="168"/>
    </row>
    <row r="77" spans="1:29" ht="15" x14ac:dyDescent="0.25">
      <c r="A77" s="168"/>
      <c r="B77" s="165"/>
      <c r="C77" s="168"/>
      <c r="D77" s="229"/>
      <c r="E77" s="168"/>
      <c r="F77" s="168"/>
      <c r="G77" s="168"/>
      <c r="H77" s="168"/>
      <c r="I77" s="168"/>
      <c r="J77" s="165"/>
      <c r="K77" s="168"/>
      <c r="L77" s="228"/>
      <c r="M77" s="168"/>
      <c r="N77" s="168"/>
      <c r="O77" s="168"/>
      <c r="P77" s="168"/>
      <c r="Q77" s="168"/>
      <c r="R77" s="168"/>
      <c r="S77" s="168"/>
      <c r="T77" s="168"/>
      <c r="U77" s="168"/>
    </row>
    <row r="78" spans="1:29" ht="15.75" thickBot="1" x14ac:dyDescent="0.3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</row>
    <row r="79" spans="1:29" ht="15.75" thickTop="1" x14ac:dyDescent="0.25">
      <c r="A79" s="171"/>
      <c r="B79" s="172"/>
      <c r="C79" s="173"/>
      <c r="D79" s="173"/>
      <c r="E79" s="173"/>
      <c r="F79" s="173"/>
      <c r="G79" s="173"/>
      <c r="H79" s="172"/>
      <c r="I79" s="174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6"/>
      <c r="W79" s="6"/>
      <c r="X79" s="6"/>
      <c r="Y79" s="6"/>
      <c r="Z79" s="6"/>
      <c r="AA79" s="6"/>
      <c r="AB79" s="6"/>
      <c r="AC79" s="6"/>
    </row>
    <row r="80" spans="1:29" ht="15" x14ac:dyDescent="0.25">
      <c r="A80" s="167" t="str">
        <f>'[1]Rate Case Constants'!$C$9</f>
        <v>Kentucky American Water Company</v>
      </c>
      <c r="B80" s="167"/>
      <c r="C80" s="167"/>
      <c r="D80" s="228"/>
      <c r="E80" s="167"/>
      <c r="F80" s="167"/>
      <c r="G80" s="168"/>
      <c r="H80" s="168"/>
      <c r="I80" s="168"/>
      <c r="J80" s="168"/>
      <c r="K80" s="230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ht="15" x14ac:dyDescent="0.25">
      <c r="A81" s="167" t="str">
        <f>'[1]Rate Case Constants'!$C$11</f>
        <v>Case No. 2015-00418</v>
      </c>
      <c r="B81" s="167"/>
      <c r="C81" s="167"/>
      <c r="D81" s="228"/>
      <c r="E81" s="167"/>
      <c r="F81" s="167"/>
      <c r="G81" s="168"/>
      <c r="H81" s="168"/>
      <c r="I81" s="168"/>
      <c r="J81" s="168"/>
      <c r="K81" s="230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ht="15" x14ac:dyDescent="0.25">
      <c r="A82" s="167" t="str">
        <f>'[1]Rate Case Constants'!$C$17</f>
        <v>Forecast Year for the 12 Months Ended August 31, 2017</v>
      </c>
      <c r="B82" s="167"/>
      <c r="C82" s="167"/>
      <c r="D82" s="228"/>
      <c r="E82" s="167"/>
      <c r="F82" s="167"/>
      <c r="G82" s="168"/>
      <c r="H82" s="168"/>
      <c r="I82" s="168"/>
      <c r="J82" s="168"/>
      <c r="K82" s="230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15" x14ac:dyDescent="0.25">
      <c r="A83" s="167" t="str">
        <f>'[1]Rate Case Constants'!$C$15</f>
        <v>Base Year for the 12 Months Ended April 30, 2016</v>
      </c>
      <c r="B83" s="167"/>
      <c r="C83" s="167"/>
      <c r="D83" s="228"/>
      <c r="E83" s="167"/>
      <c r="F83" s="167"/>
      <c r="G83" s="168"/>
      <c r="H83" s="168"/>
      <c r="I83" s="168"/>
      <c r="J83" s="168"/>
      <c r="K83" s="230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ht="15" x14ac:dyDescent="0.25">
      <c r="A84" s="167" t="str">
        <f>'[1]Link Out Filing Exhibits'!$M$116</f>
        <v>Schedule M-3</v>
      </c>
      <c r="B84" s="167" t="str">
        <f>'[1]Link Out Filing Exhibits'!$M$119</f>
        <v>Schedule N-3</v>
      </c>
      <c r="C84" s="167"/>
      <c r="D84" s="228"/>
      <c r="E84" s="167"/>
      <c r="F84" s="167"/>
      <c r="G84" s="168"/>
      <c r="H84" s="168"/>
      <c r="I84" s="168"/>
      <c r="J84" s="168"/>
      <c r="K84" s="230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15" x14ac:dyDescent="0.25">
      <c r="A85" s="167" t="s">
        <v>200</v>
      </c>
      <c r="B85" s="167"/>
      <c r="C85" s="167"/>
      <c r="D85" s="228"/>
      <c r="E85" s="167"/>
      <c r="F85" s="167"/>
      <c r="G85" s="168"/>
      <c r="H85" s="168"/>
      <c r="I85" s="168"/>
      <c r="J85" s="168"/>
      <c r="K85" s="230"/>
      <c r="L85" s="168"/>
      <c r="M85" s="168"/>
      <c r="N85" s="168"/>
      <c r="O85" s="168"/>
      <c r="P85" s="168"/>
      <c r="Q85" s="168"/>
      <c r="R85" s="168"/>
      <c r="S85" s="168"/>
      <c r="T85" s="168"/>
      <c r="U85" s="168"/>
    </row>
    <row r="86" spans="1:21" ht="15" x14ac:dyDescent="0.25">
      <c r="A86" s="167"/>
      <c r="B86" s="167" t="s">
        <v>79</v>
      </c>
      <c r="C86" s="167" t="s">
        <v>73</v>
      </c>
      <c r="D86" s="167" t="s">
        <v>79</v>
      </c>
      <c r="E86" s="167"/>
      <c r="F86" s="167" t="s">
        <v>73</v>
      </c>
      <c r="G86" s="168"/>
      <c r="H86" s="168"/>
      <c r="I86" s="168"/>
      <c r="J86" s="168"/>
      <c r="K86" s="230"/>
      <c r="L86" s="168"/>
      <c r="M86" s="168"/>
      <c r="N86" s="168"/>
      <c r="O86" s="168"/>
      <c r="P86" s="168"/>
      <c r="Q86" s="168"/>
      <c r="R86" s="168"/>
      <c r="S86" s="168"/>
      <c r="T86" s="168"/>
      <c r="U86" s="168"/>
    </row>
    <row r="87" spans="1:21" ht="15" x14ac:dyDescent="0.25">
      <c r="A87" s="231" t="s">
        <v>119</v>
      </c>
      <c r="B87" s="231" t="s">
        <v>120</v>
      </c>
      <c r="C87" s="231" t="s">
        <v>120</v>
      </c>
      <c r="D87" s="232" t="s">
        <v>123</v>
      </c>
      <c r="E87" s="167"/>
      <c r="F87" s="232" t="s">
        <v>123</v>
      </c>
      <c r="G87" s="168"/>
      <c r="H87" s="168"/>
      <c r="I87" s="168"/>
      <c r="J87" s="168"/>
      <c r="K87" s="230"/>
      <c r="L87" s="168"/>
      <c r="M87" s="168"/>
      <c r="N87" s="168"/>
      <c r="O87" s="168"/>
      <c r="P87" s="168"/>
      <c r="Q87" s="168"/>
      <c r="R87" s="168"/>
      <c r="S87" s="168"/>
      <c r="T87" s="168"/>
      <c r="U87" s="168"/>
    </row>
    <row r="88" spans="1:21" ht="15" x14ac:dyDescent="0.25">
      <c r="A88" s="101" t="s">
        <v>91</v>
      </c>
      <c r="B88" s="306">
        <f>'[3]Link Out'!$C$29</f>
        <v>0</v>
      </c>
      <c r="C88" s="306">
        <f>'[3]Link Out'!$G$29</f>
        <v>0</v>
      </c>
      <c r="D88" s="306">
        <f>'[3]Link Out'!$C$11</f>
        <v>0</v>
      </c>
      <c r="E88" s="167"/>
      <c r="F88" s="306">
        <f>'[3]Link Out'!$G$11</f>
        <v>0</v>
      </c>
      <c r="G88" s="168"/>
      <c r="H88" s="168"/>
      <c r="I88" s="168"/>
      <c r="J88" s="168"/>
      <c r="K88" s="230"/>
      <c r="L88" s="168"/>
      <c r="M88" s="168"/>
      <c r="N88" s="168"/>
      <c r="O88" s="168"/>
      <c r="P88" s="168"/>
      <c r="Q88" s="168"/>
      <c r="R88" s="168"/>
      <c r="S88" s="168"/>
      <c r="T88" s="168"/>
      <c r="U88" s="168"/>
    </row>
    <row r="89" spans="1:21" ht="15" x14ac:dyDescent="0.25">
      <c r="A89" s="101" t="s">
        <v>142</v>
      </c>
      <c r="B89" s="306">
        <f>'[3]Link Out'!$C$30</f>
        <v>936548.21000000008</v>
      </c>
      <c r="C89" s="306">
        <f>'[3]Link Out'!$G$30</f>
        <v>936548.21000000008</v>
      </c>
      <c r="D89" s="306">
        <f>'[3]Link Out'!$C$12</f>
        <v>852640</v>
      </c>
      <c r="E89" s="167"/>
      <c r="F89" s="306">
        <f>'[3]Link Out'!$G$12</f>
        <v>852640</v>
      </c>
      <c r="G89" s="168"/>
      <c r="H89" s="168"/>
      <c r="I89" s="168"/>
      <c r="J89" s="168"/>
      <c r="K89" s="230"/>
      <c r="L89" s="168"/>
      <c r="M89" s="168"/>
      <c r="N89" s="168"/>
      <c r="O89" s="168"/>
      <c r="P89" s="168"/>
      <c r="Q89" s="168"/>
      <c r="R89" s="168"/>
      <c r="S89" s="168"/>
      <c r="T89" s="168"/>
      <c r="U89" s="168"/>
    </row>
    <row r="90" spans="1:21" ht="15" x14ac:dyDescent="0.25">
      <c r="A90" s="101" t="s">
        <v>143</v>
      </c>
      <c r="B90" s="306">
        <f>'[3]Link Out'!$C$31</f>
        <v>75360.52</v>
      </c>
      <c r="C90" s="306">
        <f>'[3]Link Out'!$G$31</f>
        <v>75360.52</v>
      </c>
      <c r="D90" s="306">
        <f>'[3]Link Out'!$C$13</f>
        <v>69684</v>
      </c>
      <c r="E90" s="167"/>
      <c r="F90" s="306">
        <f>'[3]Link Out'!$G$13</f>
        <v>69684</v>
      </c>
      <c r="G90" s="168"/>
      <c r="H90" s="168"/>
      <c r="I90" s="168"/>
      <c r="J90" s="168"/>
      <c r="K90" s="230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5" x14ac:dyDescent="0.25">
      <c r="A91" s="101" t="s">
        <v>144</v>
      </c>
      <c r="B91" s="306">
        <f>'[3]Link Out'!$C$32</f>
        <v>50904.75</v>
      </c>
      <c r="C91" s="306">
        <f>'[3]Link Out'!$G$32</f>
        <v>50904.75</v>
      </c>
      <c r="D91" s="306">
        <f>'[3]Link Out'!$C$14</f>
        <v>65400</v>
      </c>
      <c r="E91" s="167"/>
      <c r="F91" s="306">
        <f>'[3]Link Out'!$G$14</f>
        <v>65400</v>
      </c>
      <c r="G91" s="168"/>
      <c r="H91" s="168"/>
      <c r="I91" s="168"/>
      <c r="J91" s="168"/>
      <c r="K91" s="230"/>
      <c r="L91" s="168"/>
      <c r="M91" s="168"/>
      <c r="N91" s="168"/>
      <c r="O91" s="168"/>
      <c r="P91" s="168"/>
      <c r="Q91" s="168"/>
      <c r="R91" s="168"/>
      <c r="S91" s="168"/>
      <c r="T91" s="168"/>
      <c r="U91" s="168"/>
    </row>
    <row r="92" spans="1:21" ht="15" x14ac:dyDescent="0.25">
      <c r="A92" s="101" t="s">
        <v>145</v>
      </c>
      <c r="B92" s="306">
        <f>'[3]Link Out'!$C$33</f>
        <v>0</v>
      </c>
      <c r="C92" s="306">
        <f>'[3]Link Out'!$G$33</f>
        <v>0</v>
      </c>
      <c r="D92" s="306">
        <f>'[3]Link Out'!$C$15</f>
        <v>0</v>
      </c>
      <c r="E92" s="167"/>
      <c r="F92" s="306">
        <f>'[3]Link Out'!$G$15</f>
        <v>0</v>
      </c>
      <c r="G92" s="168"/>
      <c r="H92" s="168"/>
      <c r="I92" s="168"/>
      <c r="J92" s="168"/>
      <c r="K92" s="230"/>
      <c r="L92" s="168"/>
      <c r="M92" s="168"/>
      <c r="N92" s="168"/>
      <c r="O92" s="168"/>
      <c r="P92" s="168"/>
      <c r="Q92" s="168"/>
      <c r="R92" s="168"/>
      <c r="S92" s="168"/>
      <c r="T92" s="168"/>
      <c r="U92" s="168"/>
    </row>
    <row r="93" spans="1:21" ht="15" x14ac:dyDescent="0.25">
      <c r="A93" s="101" t="s">
        <v>146</v>
      </c>
      <c r="B93" s="306">
        <f>'[3]Link Out'!$C$34</f>
        <v>30740.888888888894</v>
      </c>
      <c r="C93" s="306">
        <f>'[3]Link Out'!$G$34</f>
        <v>30740.888888888894</v>
      </c>
      <c r="D93" s="306">
        <f>'[3]Link Out'!$C$16</f>
        <v>32142</v>
      </c>
      <c r="E93" s="167"/>
      <c r="F93" s="306">
        <f>'[3]Link Out'!$G$16</f>
        <v>32142</v>
      </c>
      <c r="G93" s="168"/>
      <c r="H93" s="168"/>
      <c r="I93" s="168"/>
      <c r="J93" s="168"/>
      <c r="K93" s="230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1:21" ht="15" x14ac:dyDescent="0.25">
      <c r="A94" s="203" t="s">
        <v>147</v>
      </c>
      <c r="B94" s="306">
        <f>'[3]Link Out'!$C$35</f>
        <v>754380.96999999986</v>
      </c>
      <c r="C94" s="306">
        <f>'[3]Link Out'!$G$35</f>
        <v>754380.96999999986</v>
      </c>
      <c r="D94" s="306">
        <f>'[3]Link Out'!$C$17</f>
        <v>743543</v>
      </c>
      <c r="E94" s="167"/>
      <c r="F94" s="306">
        <f>'[3]Link Out'!$G$17</f>
        <v>743543</v>
      </c>
      <c r="G94" s="168"/>
      <c r="H94" s="168"/>
      <c r="I94" s="168"/>
      <c r="J94" s="168"/>
      <c r="K94" s="230"/>
      <c r="L94" s="168"/>
      <c r="M94" s="168"/>
      <c r="N94" s="168"/>
      <c r="O94" s="168"/>
      <c r="P94" s="168"/>
      <c r="Q94" s="168"/>
      <c r="R94" s="168"/>
      <c r="S94" s="168"/>
      <c r="T94" s="168"/>
      <c r="U94" s="168"/>
    </row>
    <row r="95" spans="1:21" ht="15" x14ac:dyDescent="0.25">
      <c r="A95" s="101" t="s">
        <v>148</v>
      </c>
      <c r="B95" s="306">
        <f>'[3]Link Out'!$C$36</f>
        <v>51945.649999999987</v>
      </c>
      <c r="C95" s="306">
        <f>'[3]Link Out'!$G$36</f>
        <v>51945.649999999987</v>
      </c>
      <c r="D95" s="306">
        <f>'[3]Link Out'!$C$18</f>
        <v>52634</v>
      </c>
      <c r="E95" s="167"/>
      <c r="F95" s="306">
        <f>'[3]Link Out'!$G$18</f>
        <v>52634</v>
      </c>
      <c r="G95" s="168"/>
      <c r="H95" s="168"/>
      <c r="I95" s="168"/>
      <c r="J95" s="168"/>
      <c r="K95" s="230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15" x14ac:dyDescent="0.25">
      <c r="A96" s="101" t="s">
        <v>149</v>
      </c>
      <c r="B96" s="306">
        <f>'[3]Link Out'!$C$37</f>
        <v>336164.16000000003</v>
      </c>
      <c r="C96" s="306">
        <f>'[3]Link Out'!$G$37</f>
        <v>336164.16000000003</v>
      </c>
      <c r="D96" s="306">
        <f>'[3]Link Out'!$C$19</f>
        <v>299605</v>
      </c>
      <c r="E96" s="167"/>
      <c r="F96" s="306">
        <f>'[3]Link Out'!$G$19</f>
        <v>299605</v>
      </c>
      <c r="G96" s="168"/>
      <c r="H96" s="168"/>
      <c r="I96" s="168"/>
      <c r="J96" s="168"/>
      <c r="K96" s="230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1:21" ht="15" x14ac:dyDescent="0.25">
      <c r="A97" s="167" t="s">
        <v>150</v>
      </c>
      <c r="B97" s="306">
        <f>'[3]Link Out'!$C$38</f>
        <v>37772.630000000005</v>
      </c>
      <c r="C97" s="306">
        <f>'[3]Link Out'!$G$38</f>
        <v>37772.630000000005</v>
      </c>
      <c r="D97" s="306">
        <f>'[3]Link Out'!$C$20</f>
        <v>59000</v>
      </c>
      <c r="E97" s="167"/>
      <c r="F97" s="306">
        <f>'[3]Link Out'!$G$20</f>
        <v>59000</v>
      </c>
      <c r="G97" s="168"/>
      <c r="H97" s="168"/>
      <c r="I97" s="168"/>
      <c r="J97" s="168"/>
      <c r="K97" s="230"/>
      <c r="L97" s="168"/>
      <c r="M97" s="168"/>
      <c r="N97" s="168"/>
      <c r="O97" s="168"/>
      <c r="P97" s="168"/>
      <c r="Q97" s="168"/>
      <c r="R97" s="168"/>
      <c r="S97" s="168"/>
      <c r="T97" s="168"/>
      <c r="U97" s="168"/>
    </row>
    <row r="98" spans="1:21" ht="15" x14ac:dyDescent="0.25">
      <c r="A98" s="167" t="s">
        <v>151</v>
      </c>
      <c r="B98" s="306">
        <f>'[3]Link Out'!$C$39</f>
        <v>0</v>
      </c>
      <c r="C98" s="306">
        <f>'[3]Link Out'!$G$39</f>
        <v>0</v>
      </c>
      <c r="D98" s="306">
        <f>'[3]Link Out'!$C$21</f>
        <v>0</v>
      </c>
      <c r="E98" s="167"/>
      <c r="F98" s="306">
        <f>'[3]Link Out'!$G$21</f>
        <v>0</v>
      </c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1:21" ht="15" x14ac:dyDescent="0.25">
      <c r="A99" s="167" t="s">
        <v>181</v>
      </c>
      <c r="B99" s="167"/>
      <c r="C99" s="167"/>
      <c r="D99" s="181"/>
      <c r="E99" s="167"/>
      <c r="F99" s="181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</row>
    <row r="100" spans="1:21" ht="15" x14ac:dyDescent="0.25">
      <c r="A100" s="168"/>
      <c r="B100" s="233"/>
      <c r="C100" s="234"/>
      <c r="D100" s="234"/>
      <c r="E100" s="235"/>
      <c r="F100" s="233"/>
      <c r="G100" s="233"/>
      <c r="H100" s="233"/>
      <c r="I100" s="233"/>
      <c r="J100" s="233"/>
      <c r="K100" s="233"/>
      <c r="L100" s="233"/>
      <c r="M100" s="235"/>
      <c r="N100" s="233"/>
      <c r="O100" s="235"/>
      <c r="P100" s="233"/>
      <c r="Q100" s="168"/>
      <c r="R100" s="168"/>
      <c r="S100" s="168"/>
      <c r="T100" s="168"/>
      <c r="U100" s="168"/>
    </row>
    <row r="101" spans="1:21" ht="15" x14ac:dyDescent="0.25">
      <c r="A101" s="235"/>
      <c r="B101" s="233"/>
      <c r="C101" s="233"/>
      <c r="D101" s="233"/>
      <c r="E101" s="234"/>
      <c r="F101" s="233"/>
      <c r="G101" s="233"/>
      <c r="H101" s="233"/>
      <c r="I101" s="233"/>
      <c r="J101" s="233"/>
      <c r="K101" s="233"/>
      <c r="L101" s="233"/>
      <c r="M101" s="235"/>
      <c r="N101" s="233"/>
      <c r="O101" s="235"/>
      <c r="P101" s="233"/>
      <c r="Q101" s="235"/>
      <c r="R101" s="168"/>
      <c r="S101" s="168"/>
      <c r="T101" s="168"/>
      <c r="U101" s="168"/>
    </row>
    <row r="102" spans="1:21" ht="15" x14ac:dyDescent="0.25">
      <c r="A102" s="235"/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168"/>
      <c r="S102" s="168"/>
      <c r="T102" s="168"/>
      <c r="U102" s="168"/>
    </row>
    <row r="103" spans="1:21" ht="15" x14ac:dyDescent="0.25">
      <c r="A103" s="236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168"/>
      <c r="S103" s="168"/>
      <c r="T103" s="168"/>
      <c r="U103" s="168"/>
    </row>
    <row r="104" spans="1:21" ht="15" x14ac:dyDescent="0.25">
      <c r="A104" s="203"/>
      <c r="B104" s="132"/>
      <c r="C104" s="132"/>
      <c r="D104" s="132"/>
      <c r="E104" s="132"/>
      <c r="F104" s="132"/>
      <c r="G104" s="238"/>
      <c r="H104" s="239"/>
      <c r="I104" s="132"/>
      <c r="J104" s="239"/>
      <c r="K104" s="239"/>
      <c r="L104" s="239"/>
      <c r="M104" s="239"/>
      <c r="N104" s="239"/>
      <c r="O104" s="235"/>
      <c r="P104" s="238"/>
      <c r="Q104" s="235"/>
      <c r="R104" s="168"/>
      <c r="S104" s="168"/>
      <c r="T104" s="168"/>
      <c r="U104" s="168"/>
    </row>
    <row r="105" spans="1:21" ht="15" x14ac:dyDescent="0.25">
      <c r="A105" s="203"/>
      <c r="B105" s="240"/>
      <c r="C105" s="240"/>
      <c r="D105" s="240"/>
      <c r="E105" s="240"/>
      <c r="F105" s="240"/>
      <c r="G105" s="241"/>
      <c r="H105" s="239"/>
      <c r="I105" s="132"/>
      <c r="J105" s="239"/>
      <c r="K105" s="239"/>
      <c r="L105" s="239"/>
      <c r="M105" s="239"/>
      <c r="N105" s="239"/>
      <c r="O105" s="235"/>
      <c r="P105" s="235"/>
      <c r="Q105" s="235"/>
      <c r="R105" s="168"/>
      <c r="S105" s="168"/>
      <c r="T105" s="168"/>
      <c r="U105" s="168"/>
    </row>
    <row r="106" spans="1:21" ht="15" x14ac:dyDescent="0.25">
      <c r="A106" s="203"/>
      <c r="B106" s="240"/>
      <c r="C106" s="240"/>
      <c r="D106" s="240"/>
      <c r="E106" s="240"/>
      <c r="F106" s="240"/>
      <c r="G106" s="241"/>
      <c r="H106" s="239"/>
      <c r="I106" s="240"/>
      <c r="J106" s="242"/>
      <c r="K106" s="242"/>
      <c r="L106" s="242"/>
      <c r="M106" s="239"/>
      <c r="N106" s="239"/>
      <c r="O106" s="235"/>
      <c r="P106" s="235"/>
      <c r="Q106" s="235"/>
      <c r="R106" s="168"/>
      <c r="S106" s="168"/>
      <c r="T106" s="168"/>
      <c r="U106" s="168"/>
    </row>
    <row r="107" spans="1:21" ht="15" x14ac:dyDescent="0.25">
      <c r="A107" s="203"/>
      <c r="B107" s="240"/>
      <c r="C107" s="240"/>
      <c r="D107" s="240"/>
      <c r="E107" s="240"/>
      <c r="F107" s="240"/>
      <c r="G107" s="241"/>
      <c r="H107" s="239"/>
      <c r="I107" s="240"/>
      <c r="J107" s="242"/>
      <c r="K107" s="242"/>
      <c r="L107" s="242"/>
      <c r="M107" s="239"/>
      <c r="N107" s="239"/>
      <c r="O107" s="235"/>
      <c r="P107" s="235"/>
      <c r="Q107" s="235"/>
      <c r="R107" s="168"/>
      <c r="S107" s="168"/>
      <c r="T107" s="168"/>
      <c r="U107" s="168"/>
    </row>
    <row r="108" spans="1:21" ht="15" x14ac:dyDescent="0.25">
      <c r="A108" s="203"/>
      <c r="B108" s="240"/>
      <c r="C108" s="240"/>
      <c r="D108" s="240"/>
      <c r="E108" s="240"/>
      <c r="F108" s="240"/>
      <c r="G108" s="241"/>
      <c r="H108" s="239"/>
      <c r="I108" s="240"/>
      <c r="J108" s="242"/>
      <c r="K108" s="242"/>
      <c r="L108" s="242"/>
      <c r="M108" s="239"/>
      <c r="N108" s="239"/>
      <c r="O108" s="235"/>
      <c r="P108" s="235"/>
      <c r="Q108" s="235"/>
      <c r="R108" s="168"/>
      <c r="S108" s="168"/>
      <c r="T108" s="168"/>
      <c r="U108" s="168"/>
    </row>
    <row r="109" spans="1:21" ht="15" x14ac:dyDescent="0.25">
      <c r="A109" s="203"/>
      <c r="B109" s="240"/>
      <c r="C109" s="240"/>
      <c r="D109" s="240"/>
      <c r="E109" s="240"/>
      <c r="F109" s="240"/>
      <c r="G109" s="241"/>
      <c r="H109" s="239"/>
      <c r="I109" s="240"/>
      <c r="J109" s="242"/>
      <c r="K109" s="242"/>
      <c r="L109" s="242"/>
      <c r="M109" s="239"/>
      <c r="N109" s="239"/>
      <c r="O109" s="235"/>
      <c r="P109" s="235"/>
      <c r="Q109" s="235"/>
      <c r="R109" s="168"/>
      <c r="S109" s="168"/>
      <c r="T109" s="168"/>
      <c r="U109" s="168"/>
    </row>
    <row r="110" spans="1:21" ht="15" x14ac:dyDescent="0.25">
      <c r="A110" s="203"/>
      <c r="B110" s="240"/>
      <c r="C110" s="240"/>
      <c r="D110" s="240"/>
      <c r="E110" s="240"/>
      <c r="F110" s="240"/>
      <c r="G110" s="241"/>
      <c r="H110" s="239"/>
      <c r="I110" s="240"/>
      <c r="J110" s="242"/>
      <c r="K110" s="242"/>
      <c r="L110" s="242"/>
      <c r="M110" s="239"/>
      <c r="N110" s="239"/>
      <c r="O110" s="235"/>
      <c r="P110" s="235"/>
      <c r="Q110" s="235"/>
      <c r="R110" s="168"/>
      <c r="S110" s="168"/>
      <c r="T110" s="168"/>
      <c r="U110" s="168"/>
    </row>
    <row r="111" spans="1:21" ht="15" x14ac:dyDescent="0.25">
      <c r="A111" s="203"/>
      <c r="B111" s="240"/>
      <c r="C111" s="240"/>
      <c r="D111" s="240"/>
      <c r="E111" s="240"/>
      <c r="F111" s="240"/>
      <c r="G111" s="241"/>
      <c r="H111" s="132"/>
      <c r="I111" s="240"/>
      <c r="J111" s="240"/>
      <c r="K111" s="240"/>
      <c r="L111" s="242"/>
      <c r="M111" s="239"/>
      <c r="N111" s="242"/>
      <c r="O111" s="235"/>
      <c r="P111" s="235"/>
      <c r="Q111" s="235"/>
      <c r="R111" s="168"/>
      <c r="S111" s="168"/>
      <c r="T111" s="168"/>
      <c r="U111" s="168"/>
    </row>
    <row r="112" spans="1:21" ht="15" x14ac:dyDescent="0.25">
      <c r="A112" s="203"/>
      <c r="B112" s="240"/>
      <c r="C112" s="240"/>
      <c r="D112" s="240"/>
      <c r="E112" s="240"/>
      <c r="F112" s="240"/>
      <c r="G112" s="241"/>
      <c r="H112" s="132"/>
      <c r="I112" s="240"/>
      <c r="J112" s="240"/>
      <c r="K112" s="242"/>
      <c r="L112" s="242"/>
      <c r="M112" s="239"/>
      <c r="N112" s="137"/>
      <c r="O112" s="235"/>
      <c r="P112" s="235"/>
      <c r="Q112" s="235"/>
      <c r="R112" s="168"/>
      <c r="S112" s="168"/>
      <c r="T112" s="168"/>
      <c r="U112" s="168"/>
    </row>
    <row r="113" spans="1:21" ht="15" x14ac:dyDescent="0.25">
      <c r="A113" s="203"/>
      <c r="B113" s="242"/>
      <c r="C113" s="242"/>
      <c r="D113" s="242"/>
      <c r="E113" s="242"/>
      <c r="F113" s="242"/>
      <c r="G113" s="243"/>
      <c r="H113" s="244"/>
      <c r="I113" s="240"/>
      <c r="J113" s="242"/>
      <c r="K113" s="242"/>
      <c r="L113" s="242"/>
      <c r="M113" s="235"/>
      <c r="N113" s="242"/>
      <c r="O113" s="235"/>
      <c r="P113" s="235"/>
      <c r="Q113" s="235"/>
      <c r="R113" s="168"/>
      <c r="S113" s="168"/>
      <c r="T113" s="168"/>
      <c r="U113" s="168"/>
    </row>
    <row r="114" spans="1:21" ht="15" x14ac:dyDescent="0.25">
      <c r="A114" s="245"/>
      <c r="B114" s="237"/>
      <c r="C114" s="237"/>
      <c r="D114" s="237"/>
      <c r="E114" s="237"/>
      <c r="F114" s="237"/>
      <c r="G114" s="237"/>
      <c r="H114" s="238"/>
      <c r="I114" s="238"/>
      <c r="J114" s="238"/>
      <c r="K114" s="238"/>
      <c r="L114" s="238"/>
      <c r="M114" s="238"/>
      <c r="N114" s="238"/>
      <c r="O114" s="235"/>
      <c r="P114" s="235"/>
      <c r="Q114" s="235"/>
      <c r="R114" s="168"/>
      <c r="S114" s="168"/>
      <c r="T114" s="168"/>
      <c r="U114" s="168"/>
    </row>
    <row r="115" spans="1:21" ht="15" x14ac:dyDescent="0.25">
      <c r="A115" s="101"/>
      <c r="B115" s="134"/>
      <c r="C115" s="134"/>
      <c r="D115" s="134"/>
      <c r="E115" s="136"/>
      <c r="F115" s="134"/>
      <c r="G115" s="238"/>
      <c r="H115" s="139"/>
      <c r="I115" s="139"/>
      <c r="J115" s="139"/>
      <c r="K115" s="139"/>
      <c r="L115" s="139"/>
      <c r="M115" s="139"/>
      <c r="N115" s="139"/>
      <c r="O115" s="235"/>
      <c r="P115" s="235"/>
      <c r="Q115" s="235"/>
      <c r="R115" s="168"/>
      <c r="S115" s="168"/>
      <c r="T115" s="168"/>
      <c r="U115" s="168"/>
    </row>
    <row r="116" spans="1:21" ht="15" x14ac:dyDescent="0.25">
      <c r="A116" s="101"/>
      <c r="B116" s="134"/>
      <c r="C116" s="134"/>
      <c r="D116" s="134"/>
      <c r="E116" s="134"/>
      <c r="F116" s="134"/>
      <c r="G116" s="238"/>
      <c r="H116" s="139"/>
      <c r="I116" s="139"/>
      <c r="J116" s="139"/>
      <c r="K116" s="139"/>
      <c r="L116" s="139"/>
      <c r="M116" s="139"/>
      <c r="N116" s="139"/>
      <c r="O116" s="235"/>
      <c r="P116" s="235"/>
      <c r="Q116" s="235"/>
      <c r="R116" s="168"/>
      <c r="S116" s="168"/>
      <c r="T116" s="168"/>
      <c r="U116" s="168"/>
    </row>
    <row r="117" spans="1:21" ht="15" x14ac:dyDescent="0.25">
      <c r="A117" s="101"/>
      <c r="B117" s="134"/>
      <c r="C117" s="134"/>
      <c r="D117" s="134"/>
      <c r="E117" s="136"/>
      <c r="F117" s="134"/>
      <c r="G117" s="238"/>
      <c r="H117" s="139"/>
      <c r="I117" s="139"/>
      <c r="J117" s="139"/>
      <c r="K117" s="139"/>
      <c r="L117" s="139"/>
      <c r="M117" s="139"/>
      <c r="N117" s="139"/>
      <c r="O117" s="235"/>
      <c r="P117" s="235"/>
      <c r="Q117" s="235"/>
      <c r="R117" s="168"/>
      <c r="S117" s="168"/>
      <c r="T117" s="168"/>
      <c r="U117" s="168"/>
    </row>
    <row r="118" spans="1:21" ht="15" x14ac:dyDescent="0.25">
      <c r="A118" s="101"/>
      <c r="B118" s="134"/>
      <c r="C118" s="134"/>
      <c r="D118" s="134"/>
      <c r="E118" s="134"/>
      <c r="F118" s="134"/>
      <c r="G118" s="238"/>
      <c r="H118" s="139"/>
      <c r="I118" s="139"/>
      <c r="J118" s="139"/>
      <c r="K118" s="139"/>
      <c r="L118" s="139"/>
      <c r="M118" s="139"/>
      <c r="N118" s="139"/>
      <c r="O118" s="235"/>
      <c r="P118" s="235"/>
      <c r="Q118" s="235"/>
      <c r="R118" s="168"/>
      <c r="S118" s="168"/>
      <c r="T118" s="168"/>
      <c r="U118" s="168"/>
    </row>
    <row r="119" spans="1:21" ht="15" x14ac:dyDescent="0.25">
      <c r="A119" s="101"/>
      <c r="B119" s="134"/>
      <c r="C119" s="134"/>
      <c r="D119" s="134"/>
      <c r="E119" s="134"/>
      <c r="F119" s="134"/>
      <c r="G119" s="238"/>
      <c r="H119" s="139"/>
      <c r="I119" s="139"/>
      <c r="J119" s="139"/>
      <c r="K119" s="139"/>
      <c r="L119" s="139"/>
      <c r="M119" s="139"/>
      <c r="N119" s="139"/>
      <c r="O119" s="235"/>
      <c r="P119" s="235"/>
      <c r="Q119" s="235"/>
      <c r="R119" s="168"/>
      <c r="S119" s="168"/>
      <c r="T119" s="168"/>
      <c r="U119" s="168"/>
    </row>
    <row r="120" spans="1:21" ht="15" x14ac:dyDescent="0.25">
      <c r="A120" s="101"/>
      <c r="B120" s="134"/>
      <c r="C120" s="134"/>
      <c r="D120" s="134"/>
      <c r="E120" s="134"/>
      <c r="F120" s="134"/>
      <c r="G120" s="238"/>
      <c r="H120" s="139"/>
      <c r="I120" s="139"/>
      <c r="J120" s="139"/>
      <c r="K120" s="139"/>
      <c r="L120" s="139"/>
      <c r="M120" s="139"/>
      <c r="N120" s="139"/>
      <c r="O120" s="235"/>
      <c r="P120" s="235"/>
      <c r="Q120" s="235"/>
      <c r="R120" s="168"/>
      <c r="S120" s="168"/>
      <c r="T120" s="168"/>
      <c r="U120" s="168"/>
    </row>
    <row r="121" spans="1:21" ht="15" x14ac:dyDescent="0.25">
      <c r="A121" s="101"/>
      <c r="B121" s="137"/>
      <c r="C121" s="235"/>
      <c r="D121" s="235"/>
      <c r="E121" s="235"/>
      <c r="F121" s="235"/>
      <c r="G121" s="238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168"/>
      <c r="S121" s="168"/>
      <c r="T121" s="168"/>
      <c r="U121" s="168"/>
    </row>
    <row r="122" spans="1:21" ht="15.75" thickBot="1" x14ac:dyDescent="0.3">
      <c r="A122" s="246"/>
      <c r="B122" s="246"/>
      <c r="C122" s="246"/>
      <c r="D122" s="246"/>
      <c r="E122" s="246"/>
      <c r="F122" s="246"/>
      <c r="G122" s="247">
        <f>SUM(G115:G121)</f>
        <v>0</v>
      </c>
      <c r="H122" s="246"/>
      <c r="I122" s="246"/>
      <c r="J122" s="246"/>
      <c r="K122" s="246"/>
      <c r="L122" s="246"/>
      <c r="M122" s="235"/>
      <c r="N122" s="235"/>
      <c r="O122" s="168"/>
      <c r="P122" s="168"/>
      <c r="Q122" s="168"/>
      <c r="R122" s="168"/>
      <c r="S122" s="168"/>
      <c r="T122" s="168"/>
      <c r="U122" s="168"/>
    </row>
    <row r="123" spans="1:21" ht="15" x14ac:dyDescent="0.25">
      <c r="A123" s="168" t="s">
        <v>87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235"/>
      <c r="N123" s="235"/>
      <c r="O123" s="168"/>
      <c r="P123" s="168"/>
      <c r="Q123" s="168"/>
      <c r="R123" s="168"/>
      <c r="S123" s="168"/>
      <c r="T123" s="168"/>
      <c r="U123" s="168"/>
    </row>
    <row r="124" spans="1:21" ht="15" x14ac:dyDescent="0.25">
      <c r="A124" s="248"/>
      <c r="B124" s="248" t="s">
        <v>112</v>
      </c>
      <c r="C124" s="248"/>
      <c r="D124" s="248"/>
      <c r="E124" s="248"/>
      <c r="F124" s="248"/>
      <c r="G124" s="203"/>
      <c r="H124" s="167"/>
      <c r="I124" s="248" t="s">
        <v>112</v>
      </c>
      <c r="J124" s="248"/>
      <c r="K124" s="248"/>
      <c r="L124" s="248"/>
      <c r="M124" s="248"/>
      <c r="N124" s="235"/>
      <c r="O124" s="168"/>
      <c r="P124" s="168"/>
      <c r="Q124" s="168"/>
      <c r="R124" s="168"/>
      <c r="S124" s="168"/>
      <c r="T124" s="168"/>
      <c r="U124" s="168"/>
    </row>
    <row r="125" spans="1:21" ht="15" x14ac:dyDescent="0.25">
      <c r="A125" s="249" t="s">
        <v>120</v>
      </c>
      <c r="B125" s="250">
        <v>0</v>
      </c>
      <c r="C125" s="167"/>
      <c r="D125" s="167"/>
      <c r="E125" s="167"/>
      <c r="F125" s="167"/>
      <c r="G125" s="203"/>
      <c r="H125" s="167" t="s">
        <v>123</v>
      </c>
      <c r="I125" s="251">
        <f>B125</f>
        <v>0</v>
      </c>
      <c r="J125" s="252"/>
      <c r="K125" s="252"/>
      <c r="L125" s="252"/>
      <c r="M125" s="252"/>
      <c r="N125" s="168"/>
      <c r="O125" s="168"/>
      <c r="P125" s="168"/>
      <c r="Q125" s="168"/>
      <c r="R125" s="168"/>
      <c r="S125" s="168"/>
      <c r="T125" s="168"/>
      <c r="U125" s="168"/>
    </row>
    <row r="126" spans="1:21" ht="15.75" thickBot="1" x14ac:dyDescent="0.3">
      <c r="A126" s="246"/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35"/>
      <c r="N126" s="235"/>
      <c r="O126" s="168"/>
      <c r="P126" s="168"/>
      <c r="Q126" s="168"/>
      <c r="R126" s="168"/>
      <c r="S126" s="168"/>
      <c r="T126" s="168"/>
      <c r="U126" s="168"/>
    </row>
    <row r="127" spans="1:21" ht="15" x14ac:dyDescent="0.25">
      <c r="A127" s="168"/>
      <c r="B127" s="168"/>
      <c r="C127" s="168" t="s">
        <v>186</v>
      </c>
      <c r="D127" s="168" t="s">
        <v>186</v>
      </c>
      <c r="E127" s="168"/>
      <c r="F127" s="168"/>
      <c r="G127" s="168"/>
      <c r="H127" s="168"/>
      <c r="I127" s="168"/>
      <c r="J127" s="168"/>
      <c r="K127" s="168"/>
      <c r="L127" s="168"/>
      <c r="M127" s="235"/>
      <c r="N127" s="235"/>
      <c r="O127" s="168"/>
      <c r="P127" s="168"/>
      <c r="Q127" s="168"/>
      <c r="R127" s="168"/>
      <c r="S127" s="168"/>
      <c r="T127" s="168"/>
      <c r="U127" s="168"/>
    </row>
    <row r="128" spans="1:21" ht="15" x14ac:dyDescent="0.25">
      <c r="A128" s="168"/>
      <c r="B128" s="253"/>
      <c r="C128" s="254" t="s">
        <v>79</v>
      </c>
      <c r="D128" s="254" t="s">
        <v>73</v>
      </c>
      <c r="E128" s="254"/>
      <c r="F128" s="254"/>
      <c r="G128" s="255" t="s">
        <v>118</v>
      </c>
      <c r="H128" s="255"/>
      <c r="I128" s="255"/>
      <c r="J128" s="255"/>
      <c r="K128" s="255"/>
      <c r="L128" s="255"/>
      <c r="M128" s="233"/>
      <c r="N128" s="233"/>
      <c r="O128" s="255"/>
      <c r="P128" s="255"/>
      <c r="Q128" s="168"/>
      <c r="R128" s="168"/>
      <c r="S128" s="168"/>
      <c r="T128" s="168"/>
      <c r="U128" s="168"/>
    </row>
    <row r="129" spans="1:21" ht="15" x14ac:dyDescent="0.25">
      <c r="A129" s="168" t="s">
        <v>92</v>
      </c>
      <c r="B129" s="256"/>
      <c r="C129" s="136">
        <f>[4]Exhibit!$K$44</f>
        <v>85529451</v>
      </c>
      <c r="D129" s="136">
        <f>[4]Exhibit!$O$44</f>
        <v>100993851</v>
      </c>
      <c r="E129" s="136"/>
      <c r="F129" s="136"/>
      <c r="G129" s="257"/>
      <c r="H129" s="258"/>
      <c r="I129" s="257"/>
      <c r="J129" s="257"/>
      <c r="K129" s="257"/>
      <c r="L129" s="257"/>
      <c r="M129" s="137"/>
      <c r="N129" s="137"/>
      <c r="O129" s="257"/>
      <c r="P129" s="257"/>
      <c r="Q129" s="168"/>
      <c r="R129" s="168"/>
      <c r="S129" s="168"/>
      <c r="T129" s="168"/>
      <c r="U129" s="168"/>
    </row>
    <row r="130" spans="1:21" ht="15" x14ac:dyDescent="0.25">
      <c r="A130" s="168" t="s">
        <v>93</v>
      </c>
      <c r="B130" s="256"/>
      <c r="C130" s="134">
        <f>'Sch M'!Q38</f>
        <v>85529451</v>
      </c>
      <c r="D130" s="134">
        <f>'Sch M'!V38</f>
        <v>100993851</v>
      </c>
      <c r="E130" s="136"/>
      <c r="F130" s="136"/>
      <c r="G130" s="257"/>
      <c r="H130" s="258"/>
      <c r="I130" s="257"/>
      <c r="J130" s="257"/>
      <c r="K130" s="257"/>
      <c r="L130" s="100"/>
      <c r="M130" s="86"/>
      <c r="N130" s="137"/>
      <c r="O130" s="257"/>
      <c r="P130" s="257"/>
      <c r="Q130" s="168"/>
      <c r="R130" s="168"/>
      <c r="S130" s="168"/>
      <c r="T130" s="168"/>
      <c r="U130" s="168"/>
    </row>
    <row r="131" spans="1:21" ht="15" x14ac:dyDescent="0.25">
      <c r="A131" s="168"/>
      <c r="B131" s="257"/>
      <c r="C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137"/>
      <c r="N131" s="137"/>
      <c r="O131" s="257"/>
      <c r="P131" s="257"/>
      <c r="Q131" s="168"/>
      <c r="R131" s="168"/>
      <c r="S131" s="168"/>
      <c r="T131" s="168"/>
      <c r="U131" s="168"/>
    </row>
    <row r="132" spans="1:21" ht="15" x14ac:dyDescent="0.25">
      <c r="A132" s="168" t="s">
        <v>95</v>
      </c>
      <c r="B132" s="259"/>
      <c r="C132" s="260">
        <f>C129-C130</f>
        <v>0</v>
      </c>
      <c r="D132" s="260">
        <f>D129-D130</f>
        <v>0</v>
      </c>
      <c r="E132" s="259"/>
      <c r="F132" s="259"/>
      <c r="G132" s="259"/>
      <c r="H132" s="259"/>
      <c r="I132" s="259"/>
      <c r="J132" s="259"/>
      <c r="K132" s="259"/>
      <c r="L132" s="259"/>
      <c r="M132" s="261"/>
      <c r="N132" s="261"/>
      <c r="O132" s="259"/>
      <c r="P132" s="259"/>
      <c r="Q132" s="168"/>
      <c r="R132" s="168"/>
      <c r="S132" s="168"/>
      <c r="T132" s="168"/>
      <c r="U132" s="168"/>
    </row>
    <row r="133" spans="1:21" ht="15" x14ac:dyDescent="0.2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235"/>
      <c r="N133" s="235"/>
      <c r="O133" s="168"/>
      <c r="P133" s="168"/>
      <c r="Q133" s="168"/>
      <c r="R133" s="168"/>
      <c r="S133" s="168"/>
      <c r="T133" s="168"/>
      <c r="U133" s="168"/>
    </row>
    <row r="134" spans="1:21" ht="15" x14ac:dyDescent="0.25">
      <c r="A134" s="168"/>
      <c r="B134" s="262"/>
      <c r="C134" s="262"/>
      <c r="D134" s="262"/>
      <c r="E134" s="262"/>
      <c r="F134" s="262"/>
      <c r="G134" s="262"/>
      <c r="H134" s="262"/>
      <c r="I134" s="262"/>
      <c r="J134" s="262"/>
      <c r="K134" s="262"/>
      <c r="L134" s="262"/>
      <c r="M134" s="237"/>
      <c r="N134" s="237"/>
      <c r="O134" s="168"/>
      <c r="P134" s="168"/>
      <c r="Q134" s="168"/>
      <c r="R134" s="168"/>
      <c r="S134" s="168"/>
      <c r="T134" s="168"/>
      <c r="U134" s="168"/>
    </row>
    <row r="135" spans="1:21" ht="15" x14ac:dyDescent="0.25">
      <c r="A135" s="168"/>
      <c r="B135" s="263"/>
      <c r="C135" s="263"/>
      <c r="D135" s="263"/>
      <c r="E135" s="263"/>
      <c r="F135" s="263"/>
      <c r="G135" s="264"/>
      <c r="H135" s="264"/>
      <c r="I135" s="264"/>
      <c r="J135" s="264"/>
      <c r="K135" s="264"/>
      <c r="L135" s="264"/>
      <c r="M135" s="265"/>
      <c r="N135" s="265"/>
      <c r="O135" s="168"/>
      <c r="P135" s="168"/>
      <c r="Q135" s="168"/>
      <c r="R135" s="168"/>
      <c r="S135" s="168"/>
      <c r="T135" s="168"/>
      <c r="U135" s="168"/>
    </row>
    <row r="136" spans="1:21" ht="15" x14ac:dyDescent="0.2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235"/>
      <c r="N136" s="235"/>
      <c r="O136" s="168"/>
      <c r="P136" s="168"/>
      <c r="Q136" s="168"/>
      <c r="R136" s="168"/>
      <c r="S136" s="168"/>
      <c r="T136" s="168"/>
      <c r="U136" s="168"/>
    </row>
    <row r="137" spans="1:21" ht="15" x14ac:dyDescent="0.2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235"/>
      <c r="N137" s="235"/>
      <c r="O137" s="168"/>
      <c r="P137" s="168"/>
      <c r="Q137" s="168"/>
      <c r="R137" s="168"/>
      <c r="S137" s="168"/>
      <c r="T137" s="168"/>
      <c r="U137" s="168"/>
    </row>
    <row r="138" spans="1:21" ht="15" x14ac:dyDescent="0.25">
      <c r="A138" s="167"/>
      <c r="B138" s="181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235"/>
      <c r="N138" s="235"/>
      <c r="O138" s="168"/>
      <c r="P138" s="168"/>
      <c r="Q138" s="168"/>
      <c r="R138" s="168"/>
      <c r="S138" s="168"/>
      <c r="T138" s="168"/>
      <c r="U138" s="168"/>
    </row>
    <row r="139" spans="1:21" ht="15" x14ac:dyDescent="0.2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235"/>
      <c r="N139" s="235"/>
      <c r="O139" s="168"/>
      <c r="P139" s="168"/>
      <c r="Q139" s="168"/>
      <c r="R139" s="168"/>
      <c r="S139" s="168"/>
      <c r="T139" s="168"/>
      <c r="U139" s="168"/>
    </row>
    <row r="140" spans="1:21" ht="15.75" thickBot="1" x14ac:dyDescent="0.3">
      <c r="A140" s="246"/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35"/>
      <c r="N140" s="235"/>
      <c r="O140" s="168"/>
      <c r="P140" s="168"/>
      <c r="Q140" s="168"/>
      <c r="R140" s="168"/>
      <c r="S140" s="168"/>
      <c r="T140" s="168"/>
      <c r="U140" s="168"/>
    </row>
    <row r="141" spans="1:21" ht="15" x14ac:dyDescent="0.2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235"/>
      <c r="N141" s="235"/>
      <c r="O141" s="168"/>
      <c r="P141" s="168"/>
      <c r="Q141" s="168"/>
      <c r="R141" s="168"/>
      <c r="S141" s="168"/>
      <c r="T141" s="168"/>
      <c r="U141" s="168"/>
    </row>
    <row r="142" spans="1:21" ht="15" x14ac:dyDescent="0.2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1:21" ht="15" x14ac:dyDescent="0.25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</row>
    <row r="144" spans="1:21" ht="15" x14ac:dyDescent="0.25">
      <c r="A144" s="168"/>
      <c r="B144" s="266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</row>
    <row r="145" spans="1:21" ht="15" x14ac:dyDescent="0.25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15" x14ac:dyDescent="0.25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</row>
    <row r="147" spans="1:21" ht="15" x14ac:dyDescent="0.2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</row>
    <row r="148" spans="1:21" ht="15" x14ac:dyDescent="0.2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</row>
    <row r="149" spans="1:21" ht="15" x14ac:dyDescent="0.25">
      <c r="A149" s="235"/>
      <c r="B149" s="235" t="s">
        <v>174</v>
      </c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</row>
    <row r="150" spans="1:21" ht="15" x14ac:dyDescent="0.25">
      <c r="A150" s="86" t="s">
        <v>3</v>
      </c>
      <c r="B150" s="111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1" ht="15" x14ac:dyDescent="0.25">
      <c r="A151" s="86" t="s">
        <v>50</v>
      </c>
      <c r="B151" s="111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</row>
    <row r="152" spans="1:21" ht="15" x14ac:dyDescent="0.25">
      <c r="A152" s="86" t="s">
        <v>5</v>
      </c>
      <c r="B152" s="267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1:21" ht="15" x14ac:dyDescent="0.25">
      <c r="A153" s="86" t="s">
        <v>68</v>
      </c>
      <c r="B153" s="267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</row>
    <row r="154" spans="1:21" ht="15" x14ac:dyDescent="0.25">
      <c r="A154" s="86" t="s">
        <v>69</v>
      </c>
      <c r="B154" s="267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</row>
    <row r="155" spans="1:21" ht="15" x14ac:dyDescent="0.25">
      <c r="A155" s="86" t="s">
        <v>134</v>
      </c>
      <c r="B155" s="267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spans="1:21" ht="15" x14ac:dyDescent="0.25">
      <c r="A156" s="86" t="s">
        <v>163</v>
      </c>
      <c r="B156" s="267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</row>
    <row r="157" spans="1:21" ht="15" x14ac:dyDescent="0.25">
      <c r="A157" s="86" t="s">
        <v>1</v>
      </c>
      <c r="B157" s="267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</row>
    <row r="158" spans="1:21" ht="15" x14ac:dyDescent="0.25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</row>
    <row r="159" spans="1:21" ht="15" x14ac:dyDescent="0.25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</row>
    <row r="160" spans="1:21" ht="15" x14ac:dyDescent="0.25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</row>
    <row r="161" spans="1:21" ht="15" x14ac:dyDescent="0.25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</row>
    <row r="162" spans="1:21" ht="15" x14ac:dyDescent="0.25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</row>
    <row r="163" spans="1:21" ht="15" x14ac:dyDescent="0.25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</row>
    <row r="164" spans="1:21" ht="15" x14ac:dyDescent="0.25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</row>
    <row r="165" spans="1:21" ht="15" x14ac:dyDescent="0.25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</row>
    <row r="166" spans="1:21" ht="15" x14ac:dyDescent="0.25">
      <c r="A166" s="168" t="s">
        <v>201</v>
      </c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</row>
    <row r="167" spans="1:21" ht="15" x14ac:dyDescent="0.25">
      <c r="A167" s="168" t="s">
        <v>200</v>
      </c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</row>
  </sheetData>
  <mergeCells count="4">
    <mergeCell ref="B6:J6"/>
    <mergeCell ref="L6:T6"/>
    <mergeCell ref="D61:E61"/>
    <mergeCell ref="K61:L61"/>
  </mergeCells>
  <phoneticPr fontId="0" type="noConversion"/>
  <pageMargins left="0.5" right="0.5" top="1" bottom="1" header="0.5" footer="0.5"/>
  <pageSetup scale="76" orientation="landscape" r:id="rId1"/>
  <headerFooter alignWithMargins="0">
    <oddFooter>&amp;L&amp;D  &amp;T&amp;C&amp;F  &amp;A&amp;R&amp;P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15"/>
  <sheetViews>
    <sheetView zoomScale="80" zoomScaleNormal="80" zoomScaleSheetLayoutView="70" workbookViewId="0">
      <selection activeCell="Z17" sqref="Z17"/>
    </sheetView>
  </sheetViews>
  <sheetFormatPr defaultColWidth="14.7109375" defaultRowHeight="12.75" x14ac:dyDescent="0.2"/>
  <cols>
    <col min="1" max="1" width="5.7109375" style="18" customWidth="1"/>
    <col min="2" max="2" width="15.140625" style="18" customWidth="1"/>
    <col min="3" max="3" width="1.7109375" style="18" customWidth="1"/>
    <col min="4" max="4" width="10.85546875" style="18" customWidth="1"/>
    <col min="5" max="6" width="11.7109375" style="18" customWidth="1"/>
    <col min="7" max="7" width="12.7109375" style="18" bestFit="1" customWidth="1"/>
    <col min="8" max="8" width="1.7109375" style="18" customWidth="1"/>
    <col min="9" max="9" width="13.7109375" style="18" customWidth="1"/>
    <col min="10" max="11" width="11.7109375" style="18" customWidth="1"/>
    <col min="12" max="12" width="13.7109375" style="18" bestFit="1" customWidth="1"/>
    <col min="13" max="13" width="1.7109375" style="18" customWidth="1"/>
    <col min="14" max="14" width="9.5703125" style="18" customWidth="1"/>
    <col min="15" max="16" width="11.7109375" style="18" customWidth="1"/>
    <col min="17" max="17" width="12.7109375" style="18" bestFit="1" customWidth="1"/>
    <col min="18" max="18" width="1.7109375" style="18" customWidth="1"/>
    <col min="19" max="19" width="11.5703125" style="18" customWidth="1"/>
    <col min="20" max="21" width="11.7109375" style="18" customWidth="1"/>
    <col min="22" max="22" width="13.7109375" style="18" bestFit="1" customWidth="1"/>
    <col min="23" max="23" width="1.7109375" style="25" customWidth="1"/>
    <col min="24" max="24" width="12.7109375" style="25" bestFit="1" customWidth="1"/>
    <col min="25" max="25" width="1.7109375" style="25" customWidth="1"/>
    <col min="26" max="26" width="11.7109375" style="25" customWidth="1"/>
    <col min="27" max="16384" width="14.7109375" style="18"/>
  </cols>
  <sheetData>
    <row r="1" spans="1:27" ht="15" x14ac:dyDescent="0.25">
      <c r="A1" s="326" t="str">
        <f>'Link in'!A80</f>
        <v>Kentucky American Water Company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19"/>
    </row>
    <row r="2" spans="1:27" ht="15" x14ac:dyDescent="0.25">
      <c r="A2" s="326" t="s">
        <v>173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19"/>
    </row>
    <row r="3" spans="1:27" ht="15" x14ac:dyDescent="0.25">
      <c r="A3" s="326" t="str">
        <f>'Link in'!A81</f>
        <v>Case No. 2015-00418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19"/>
    </row>
    <row r="4" spans="1:27" ht="15" x14ac:dyDescent="0.25">
      <c r="A4" s="326" t="str">
        <f>'Link in'!A83&amp;" and "&amp;'Link in'!A82</f>
        <v>Base Year for the 12 Months Ended April 30, 2016 and Forecast Year for the 12 Months Ended August 31, 2017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19"/>
    </row>
    <row r="5" spans="1:27" ht="15" x14ac:dyDescent="0.25">
      <c r="A5" s="105" t="str">
        <f>'Link in'!A166</f>
        <v>Witness Responsible:   Linda Bridwell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6" t="s">
        <v>192</v>
      </c>
      <c r="AA5" s="19"/>
    </row>
    <row r="6" spans="1:27" ht="15" x14ac:dyDescent="0.25">
      <c r="A6" s="107" t="str">
        <f>'Link in'!A167</f>
        <v/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9"/>
      <c r="Y6" s="109"/>
      <c r="Z6" s="110" t="e">
        <f ca="1">RIGHT(CELL("filename",$A$1),LEN(CELL("filename",$A$1))-SEARCH("\Revenues",CELL("filename",$A$1),1))</f>
        <v>#VALUE!</v>
      </c>
      <c r="AA6" s="19"/>
    </row>
    <row r="7" spans="1:27" ht="15" x14ac:dyDescent="0.25">
      <c r="A7" s="86"/>
      <c r="B7" s="86"/>
      <c r="C7" s="111"/>
      <c r="D7" s="86"/>
      <c r="E7" s="319" t="s">
        <v>177</v>
      </c>
      <c r="F7" s="319"/>
      <c r="G7" s="319"/>
      <c r="H7" s="111"/>
      <c r="I7" s="111"/>
      <c r="J7" s="319" t="s">
        <v>176</v>
      </c>
      <c r="K7" s="319"/>
      <c r="L7" s="319"/>
      <c r="M7" s="111"/>
      <c r="N7" s="86"/>
      <c r="O7" s="319" t="s">
        <v>121</v>
      </c>
      <c r="P7" s="319"/>
      <c r="Q7" s="319"/>
      <c r="R7" s="111"/>
      <c r="S7" s="86"/>
      <c r="T7" s="319" t="s">
        <v>122</v>
      </c>
      <c r="U7" s="319"/>
      <c r="V7" s="319"/>
      <c r="W7" s="101"/>
      <c r="X7" s="112"/>
      <c r="Y7" s="101"/>
      <c r="Z7" s="101"/>
      <c r="AA7" s="19"/>
    </row>
    <row r="8" spans="1:27" ht="15" x14ac:dyDescent="0.25">
      <c r="A8" s="86"/>
      <c r="B8" s="86"/>
      <c r="C8" s="111"/>
      <c r="D8" s="86"/>
      <c r="E8" s="111"/>
      <c r="F8" s="111"/>
      <c r="G8" s="111"/>
      <c r="H8" s="111"/>
      <c r="I8" s="111"/>
      <c r="J8" s="111"/>
      <c r="K8" s="111"/>
      <c r="L8" s="111"/>
      <c r="M8" s="111"/>
      <c r="N8" s="86"/>
      <c r="O8" s="111"/>
      <c r="P8" s="111"/>
      <c r="Q8" s="111"/>
      <c r="R8" s="111"/>
      <c r="S8" s="86"/>
      <c r="T8" s="111"/>
      <c r="U8" s="111"/>
      <c r="V8" s="111"/>
      <c r="W8" s="101"/>
      <c r="X8" s="113"/>
      <c r="Y8" s="101"/>
      <c r="Z8" s="101"/>
      <c r="AA8" s="19"/>
    </row>
    <row r="9" spans="1:27" ht="15" x14ac:dyDescent="0.25">
      <c r="A9" s="86"/>
      <c r="B9" s="111" t="s">
        <v>24</v>
      </c>
      <c r="C9" s="111"/>
      <c r="D9" s="86"/>
      <c r="E9" s="111" t="s">
        <v>39</v>
      </c>
      <c r="F9" s="111"/>
      <c r="G9" s="111" t="s">
        <v>1</v>
      </c>
      <c r="H9" s="111"/>
      <c r="I9" s="111"/>
      <c r="J9" s="111" t="s">
        <v>39</v>
      </c>
      <c r="K9" s="111"/>
      <c r="L9" s="111" t="s">
        <v>1</v>
      </c>
      <c r="M9" s="111"/>
      <c r="N9" s="111"/>
      <c r="O9" s="111" t="s">
        <v>39</v>
      </c>
      <c r="P9" s="111"/>
      <c r="Q9" s="111" t="s">
        <v>1</v>
      </c>
      <c r="R9" s="111"/>
      <c r="S9" s="111"/>
      <c r="T9" s="111" t="s">
        <v>39</v>
      </c>
      <c r="U9" s="111"/>
      <c r="V9" s="111" t="s">
        <v>1</v>
      </c>
      <c r="W9" s="113"/>
      <c r="X9" s="113" t="s">
        <v>51</v>
      </c>
      <c r="Y9" s="101"/>
      <c r="Z9" s="113" t="s">
        <v>53</v>
      </c>
      <c r="AA9" s="19"/>
    </row>
    <row r="10" spans="1:27" ht="15" x14ac:dyDescent="0.25">
      <c r="A10" s="111" t="s">
        <v>0</v>
      </c>
      <c r="B10" s="114" t="s">
        <v>2</v>
      </c>
      <c r="C10" s="111"/>
      <c r="D10" s="86"/>
      <c r="E10" s="114" t="s">
        <v>138</v>
      </c>
      <c r="F10" s="114"/>
      <c r="G10" s="114" t="s">
        <v>47</v>
      </c>
      <c r="H10" s="111"/>
      <c r="I10" s="111"/>
      <c r="J10" s="114" t="s">
        <v>138</v>
      </c>
      <c r="K10" s="114"/>
      <c r="L10" s="114" t="s">
        <v>47</v>
      </c>
      <c r="M10" s="111"/>
      <c r="N10" s="111"/>
      <c r="O10" s="114" t="str">
        <f>E10</f>
        <v>('000 Gal)</v>
      </c>
      <c r="P10" s="114"/>
      <c r="Q10" s="114" t="s">
        <v>47</v>
      </c>
      <c r="R10" s="111"/>
      <c r="S10" s="111"/>
      <c r="T10" s="114" t="str">
        <f>O10</f>
        <v>('000 Gal)</v>
      </c>
      <c r="U10" s="114"/>
      <c r="V10" s="114" t="s">
        <v>47</v>
      </c>
      <c r="W10" s="113"/>
      <c r="X10" s="115" t="s">
        <v>52</v>
      </c>
      <c r="Y10" s="108"/>
      <c r="Z10" s="115" t="s">
        <v>52</v>
      </c>
      <c r="AA10" s="19"/>
    </row>
    <row r="11" spans="1:27" ht="15" x14ac:dyDescent="0.25">
      <c r="A11" s="111">
        <v>1</v>
      </c>
      <c r="B11" s="116" t="s">
        <v>67</v>
      </c>
      <c r="C11" s="111"/>
      <c r="D11" s="86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3"/>
      <c r="X11" s="113"/>
      <c r="Y11" s="101"/>
      <c r="Z11" s="113"/>
      <c r="AA11" s="19"/>
    </row>
    <row r="12" spans="1:27" ht="15" x14ac:dyDescent="0.25">
      <c r="A12" s="111">
        <v>2</v>
      </c>
      <c r="B12" s="117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101"/>
      <c r="X12" s="101"/>
      <c r="Y12" s="101"/>
      <c r="Z12" s="101"/>
      <c r="AA12" s="19"/>
    </row>
    <row r="13" spans="1:27" ht="15" x14ac:dyDescent="0.25">
      <c r="A13" s="111">
        <v>3</v>
      </c>
      <c r="B13" s="86" t="s">
        <v>3</v>
      </c>
      <c r="C13" s="104"/>
      <c r="D13" s="98"/>
      <c r="E13" s="98">
        <f>+E74</f>
        <v>5762070.1160000004</v>
      </c>
      <c r="F13" s="98"/>
      <c r="G13" s="118">
        <f>ROUND(+G74,0)</f>
        <v>48233822</v>
      </c>
      <c r="H13" s="104"/>
      <c r="I13" s="104"/>
      <c r="J13" s="102">
        <f>+J74</f>
        <v>5762070.1160000004</v>
      </c>
      <c r="K13" s="102"/>
      <c r="L13" s="118">
        <f>+L74</f>
        <v>58024315.39357391</v>
      </c>
      <c r="M13" s="104"/>
      <c r="N13" s="104"/>
      <c r="O13" s="98">
        <f>+O74</f>
        <v>5300511</v>
      </c>
      <c r="P13" s="98"/>
      <c r="Q13" s="118">
        <f>+ROUND(Q74,0)</f>
        <v>46141664</v>
      </c>
      <c r="R13" s="104"/>
      <c r="S13" s="98"/>
      <c r="T13" s="98">
        <f>+T74</f>
        <v>5300511</v>
      </c>
      <c r="U13" s="98"/>
      <c r="V13" s="104">
        <f>+V74</f>
        <v>55464217</v>
      </c>
      <c r="W13" s="118"/>
      <c r="X13" s="104">
        <f>+V13-Q13</f>
        <v>9322553</v>
      </c>
      <c r="Y13" s="103"/>
      <c r="Z13" s="119">
        <f t="shared" ref="Z13:Z19" si="0">IF(Q13=0,0,ROUND((X13/Q13),4))</f>
        <v>0.20200000000000001</v>
      </c>
      <c r="AA13" s="19"/>
    </row>
    <row r="14" spans="1:27" ht="15" x14ac:dyDescent="0.25">
      <c r="A14" s="111">
        <v>4</v>
      </c>
      <c r="B14" s="86" t="s">
        <v>50</v>
      </c>
      <c r="C14" s="98"/>
      <c r="D14" s="98"/>
      <c r="E14" s="98">
        <f>+E113</f>
        <v>3726537.2679999997</v>
      </c>
      <c r="F14" s="98"/>
      <c r="G14" s="102">
        <f>ROUND(+G113,0)</f>
        <v>22340867</v>
      </c>
      <c r="H14" s="98"/>
      <c r="I14" s="98"/>
      <c r="J14" s="102">
        <f>+J113</f>
        <v>3726537.2679999997</v>
      </c>
      <c r="K14" s="102"/>
      <c r="L14" s="102">
        <f>+L113</f>
        <v>25931338</v>
      </c>
      <c r="M14" s="98"/>
      <c r="N14" s="98"/>
      <c r="O14" s="98">
        <f>+O113</f>
        <v>3349415</v>
      </c>
      <c r="P14" s="98"/>
      <c r="Q14" s="102">
        <f>+ROUND(Q113,0)</f>
        <v>20469701</v>
      </c>
      <c r="R14" s="98"/>
      <c r="S14" s="98"/>
      <c r="T14" s="98">
        <f>+T113</f>
        <v>3349415</v>
      </c>
      <c r="U14" s="98"/>
      <c r="V14" s="98">
        <f>+V113</f>
        <v>23816699</v>
      </c>
      <c r="W14" s="102"/>
      <c r="X14" s="98">
        <f t="shared" ref="X14:X19" si="1">+V14-Q14</f>
        <v>3346998</v>
      </c>
      <c r="Y14" s="103"/>
      <c r="Z14" s="119">
        <f t="shared" si="0"/>
        <v>0.16350000000000001</v>
      </c>
      <c r="AA14" s="19"/>
    </row>
    <row r="15" spans="1:27" ht="15" x14ac:dyDescent="0.25">
      <c r="A15" s="111">
        <v>5</v>
      </c>
      <c r="B15" s="86" t="s">
        <v>5</v>
      </c>
      <c r="C15" s="98"/>
      <c r="D15" s="98"/>
      <c r="E15" s="98">
        <f>+E152</f>
        <v>618295.005</v>
      </c>
      <c r="F15" s="98"/>
      <c r="G15" s="102">
        <f>ROUND(+G152,0)</f>
        <v>2648688</v>
      </c>
      <c r="H15" s="98"/>
      <c r="I15" s="98"/>
      <c r="J15" s="102">
        <f>+J152</f>
        <v>618295.005</v>
      </c>
      <c r="K15" s="102"/>
      <c r="L15" s="102">
        <f>+L152</f>
        <v>3308177</v>
      </c>
      <c r="M15" s="98"/>
      <c r="N15" s="98"/>
      <c r="O15" s="98">
        <f>+O152</f>
        <v>619086</v>
      </c>
      <c r="P15" s="98"/>
      <c r="Q15" s="102">
        <f>+ROUND(Q152,0)</f>
        <v>2541282</v>
      </c>
      <c r="R15" s="98"/>
      <c r="S15" s="98"/>
      <c r="T15" s="98">
        <f>+T152</f>
        <v>619086</v>
      </c>
      <c r="U15" s="98"/>
      <c r="V15" s="98">
        <f>+V152</f>
        <v>3201884</v>
      </c>
      <c r="W15" s="102"/>
      <c r="X15" s="98">
        <f t="shared" si="1"/>
        <v>660602</v>
      </c>
      <c r="Y15" s="103"/>
      <c r="Z15" s="119">
        <f t="shared" si="0"/>
        <v>0.25990000000000002</v>
      </c>
      <c r="AA15" s="19"/>
    </row>
    <row r="16" spans="1:27" ht="15" x14ac:dyDescent="0.25">
      <c r="A16" s="111">
        <v>6</v>
      </c>
      <c r="B16" s="86" t="s">
        <v>68</v>
      </c>
      <c r="C16" s="98"/>
      <c r="D16" s="98"/>
      <c r="E16" s="98">
        <f>+E191</f>
        <v>1271685.1639999999</v>
      </c>
      <c r="F16" s="98"/>
      <c r="G16" s="102">
        <f>ROUND(+G191,0)</f>
        <v>6122157</v>
      </c>
      <c r="H16" s="98"/>
      <c r="I16" s="98"/>
      <c r="J16" s="102">
        <f>+J191</f>
        <v>1271685.1639999999</v>
      </c>
      <c r="K16" s="102"/>
      <c r="L16" s="102">
        <f>+L191</f>
        <v>7471449.2123520011</v>
      </c>
      <c r="M16" s="98"/>
      <c r="N16" s="98"/>
      <c r="O16" s="98">
        <f>+O191</f>
        <v>1196002</v>
      </c>
      <c r="P16" s="98"/>
      <c r="Q16" s="102">
        <f>+ROUND(Q191,0)</f>
        <v>5902417</v>
      </c>
      <c r="R16" s="98"/>
      <c r="S16" s="98"/>
      <c r="T16" s="98">
        <f>+T191</f>
        <v>1196002</v>
      </c>
      <c r="U16" s="98"/>
      <c r="V16" s="98">
        <f>+V191</f>
        <v>7194272</v>
      </c>
      <c r="W16" s="102"/>
      <c r="X16" s="98">
        <f t="shared" si="1"/>
        <v>1291855</v>
      </c>
      <c r="Y16" s="103"/>
      <c r="Z16" s="119">
        <f t="shared" si="0"/>
        <v>0.21890000000000001</v>
      </c>
      <c r="AA16" s="19"/>
    </row>
    <row r="17" spans="1:27" ht="15" x14ac:dyDescent="0.25">
      <c r="A17" s="111">
        <v>7</v>
      </c>
      <c r="B17" s="86" t="s">
        <v>179</v>
      </c>
      <c r="C17" s="98"/>
      <c r="D17" s="98"/>
      <c r="E17" s="98">
        <f>+E230</f>
        <v>432531.00400000002</v>
      </c>
      <c r="F17" s="98"/>
      <c r="G17" s="102">
        <f>ROUND(+G230,0)</f>
        <v>1925169</v>
      </c>
      <c r="H17" s="98"/>
      <c r="I17" s="98"/>
      <c r="J17" s="102">
        <f>+J230</f>
        <v>432531.00400000002</v>
      </c>
      <c r="K17" s="102"/>
      <c r="L17" s="102">
        <f>+L230</f>
        <v>2123792.7102752002</v>
      </c>
      <c r="M17" s="98"/>
      <c r="N17" s="98"/>
      <c r="O17" s="98">
        <f>+O230</f>
        <v>403500</v>
      </c>
      <c r="P17" s="98"/>
      <c r="Q17" s="102">
        <f>+ROUND(Q230,0)</f>
        <v>1774742</v>
      </c>
      <c r="R17" s="98"/>
      <c r="S17" s="98"/>
      <c r="T17" s="98">
        <f>+T230</f>
        <v>403500</v>
      </c>
      <c r="U17" s="98"/>
      <c r="V17" s="98">
        <f>+V230</f>
        <v>1960933</v>
      </c>
      <c r="W17" s="102"/>
      <c r="X17" s="98">
        <f t="shared" si="1"/>
        <v>186191</v>
      </c>
      <c r="Y17" s="103"/>
      <c r="Z17" s="119">
        <f t="shared" si="0"/>
        <v>0.10489999999999999</v>
      </c>
      <c r="AA17" s="19"/>
    </row>
    <row r="18" spans="1:27" ht="15" x14ac:dyDescent="0.25">
      <c r="A18" s="111">
        <v>8</v>
      </c>
      <c r="B18" s="86" t="s">
        <v>57</v>
      </c>
      <c r="C18" s="98"/>
      <c r="D18" s="99"/>
      <c r="E18" s="98">
        <f>+ROUND(E266,0)</f>
        <v>3250</v>
      </c>
      <c r="F18" s="120"/>
      <c r="G18" s="102">
        <f>ROUND(G258,0)</f>
        <v>2723183</v>
      </c>
      <c r="H18" s="98"/>
      <c r="I18" s="98"/>
      <c r="J18" s="102">
        <v>0</v>
      </c>
      <c r="K18" s="121"/>
      <c r="L18" s="102">
        <f>L258</f>
        <v>2804056</v>
      </c>
      <c r="M18" s="98"/>
      <c r="N18" s="98"/>
      <c r="O18" s="98">
        <v>0</v>
      </c>
      <c r="P18" s="120"/>
      <c r="Q18" s="102">
        <f>ROUND(Q258,0)</f>
        <v>2699847</v>
      </c>
      <c r="R18" s="98"/>
      <c r="S18" s="98"/>
      <c r="T18" s="98">
        <v>0</v>
      </c>
      <c r="U18" s="120"/>
      <c r="V18" s="98">
        <f>V258</f>
        <v>2780586</v>
      </c>
      <c r="W18" s="102"/>
      <c r="X18" s="98">
        <f t="shared" si="1"/>
        <v>80739</v>
      </c>
      <c r="Y18" s="103"/>
      <c r="Z18" s="119">
        <f t="shared" si="0"/>
        <v>2.9899999999999999E-2</v>
      </c>
      <c r="AA18" s="19"/>
    </row>
    <row r="19" spans="1:27" ht="15" x14ac:dyDescent="0.25">
      <c r="A19" s="113">
        <v>9</v>
      </c>
      <c r="B19" s="100" t="s">
        <v>175</v>
      </c>
      <c r="C19" s="100"/>
      <c r="D19" s="100"/>
      <c r="E19" s="100">
        <v>0</v>
      </c>
      <c r="F19" s="100"/>
      <c r="G19" s="122">
        <f>ROUND(G264,0)+ROUND(G266,0)</f>
        <v>3735198</v>
      </c>
      <c r="H19" s="100"/>
      <c r="I19" s="100"/>
      <c r="J19" s="122">
        <v>0</v>
      </c>
      <c r="K19" s="122"/>
      <c r="L19" s="122">
        <f>ROUND(L264,0)+ROUND(L266,0)</f>
        <v>4309348</v>
      </c>
      <c r="M19" s="100"/>
      <c r="N19" s="100"/>
      <c r="O19" s="100">
        <v>0</v>
      </c>
      <c r="P19" s="100"/>
      <c r="Q19" s="122">
        <f>ROUND(Q264+Q266,0)</f>
        <v>3740506</v>
      </c>
      <c r="R19" s="100"/>
      <c r="S19" s="100"/>
      <c r="T19" s="100">
        <v>0</v>
      </c>
      <c r="U19" s="100"/>
      <c r="V19" s="122">
        <f>ROUND(V264+V266,0)</f>
        <v>4315968</v>
      </c>
      <c r="W19" s="101"/>
      <c r="X19" s="98">
        <f t="shared" si="1"/>
        <v>575462</v>
      </c>
      <c r="Y19" s="101"/>
      <c r="Z19" s="119">
        <f t="shared" si="0"/>
        <v>0.15379999999999999</v>
      </c>
      <c r="AA19" s="19"/>
    </row>
    <row r="20" spans="1:27" ht="15" x14ac:dyDescent="0.25">
      <c r="A20" s="111">
        <v>10</v>
      </c>
      <c r="B20" s="101" t="s">
        <v>163</v>
      </c>
      <c r="C20" s="102"/>
      <c r="D20" s="103"/>
      <c r="E20" s="102">
        <f>E309</f>
        <v>12056.131777777777</v>
      </c>
      <c r="F20" s="121"/>
      <c r="G20" s="102">
        <f>ROUND(G309,0)</f>
        <v>180850</v>
      </c>
      <c r="H20" s="102"/>
      <c r="I20" s="102"/>
      <c r="J20" s="102">
        <f>J309</f>
        <v>12056.131777777777</v>
      </c>
      <c r="K20" s="121"/>
      <c r="L20" s="102">
        <f>L309</f>
        <v>180850</v>
      </c>
      <c r="M20" s="102"/>
      <c r="N20" s="102"/>
      <c r="O20" s="102">
        <f>O309</f>
        <v>4368</v>
      </c>
      <c r="P20" s="121"/>
      <c r="Q20" s="102">
        <f>ROUND(Q309,0)</f>
        <v>84644</v>
      </c>
      <c r="R20" s="102"/>
      <c r="S20" s="102"/>
      <c r="T20" s="102">
        <f>T309</f>
        <v>4368</v>
      </c>
      <c r="U20" s="121"/>
      <c r="V20" s="102">
        <f>V309</f>
        <v>84644</v>
      </c>
      <c r="W20" s="102"/>
      <c r="X20" s="102">
        <f>+V20-Q20</f>
        <v>0</v>
      </c>
      <c r="Y20" s="103"/>
      <c r="Z20" s="119">
        <f>IF(Q20=0,0,ROUND((X20/Q20),4))</f>
        <v>0</v>
      </c>
      <c r="AA20" s="19"/>
    </row>
    <row r="21" spans="1:27" ht="15" x14ac:dyDescent="0.25">
      <c r="A21" s="111">
        <v>11</v>
      </c>
      <c r="B21" s="100" t="s">
        <v>91</v>
      </c>
      <c r="C21" s="100"/>
      <c r="D21" s="100"/>
      <c r="E21" s="100">
        <v>0</v>
      </c>
      <c r="F21" s="100"/>
      <c r="G21" s="122">
        <f>'Link in'!B88</f>
        <v>0</v>
      </c>
      <c r="H21" s="100"/>
      <c r="I21" s="100"/>
      <c r="J21" s="122">
        <v>0</v>
      </c>
      <c r="K21" s="122"/>
      <c r="L21" s="122">
        <f>G21</f>
        <v>0</v>
      </c>
      <c r="M21" s="100"/>
      <c r="N21" s="100"/>
      <c r="O21" s="100">
        <v>0</v>
      </c>
      <c r="P21" s="100"/>
      <c r="Q21" s="122">
        <v>0</v>
      </c>
      <c r="R21" s="100"/>
      <c r="S21" s="100"/>
      <c r="T21" s="100">
        <v>0</v>
      </c>
      <c r="U21" s="100"/>
      <c r="V21" s="100">
        <f>'Link in'!F88</f>
        <v>0</v>
      </c>
      <c r="W21" s="101"/>
      <c r="X21" s="98">
        <f>+V21-Q21</f>
        <v>0</v>
      </c>
      <c r="Y21" s="101"/>
      <c r="Z21" s="119">
        <f>IF(Q21=0,0,ROUND((X21/Q21),4))</f>
        <v>0</v>
      </c>
      <c r="AA21" s="19"/>
    </row>
    <row r="22" spans="1:27" ht="15" x14ac:dyDescent="0.25">
      <c r="A22" s="111">
        <v>12</v>
      </c>
      <c r="B22" s="86" t="s">
        <v>1</v>
      </c>
      <c r="C22" s="104"/>
      <c r="D22" s="98"/>
      <c r="E22" s="305">
        <f>SUM(E13:E21)</f>
        <v>11826424.688777778</v>
      </c>
      <c r="F22" s="98"/>
      <c r="G22" s="124">
        <f>SUM(G13:G21)</f>
        <v>87909934</v>
      </c>
      <c r="H22" s="104"/>
      <c r="I22" s="104"/>
      <c r="J22" s="305">
        <f>SUM(J13:J21)</f>
        <v>11823174.688777778</v>
      </c>
      <c r="K22" s="102"/>
      <c r="L22" s="124">
        <f>SUM(L13:L21)</f>
        <v>104153326.31620112</v>
      </c>
      <c r="M22" s="104"/>
      <c r="N22" s="104"/>
      <c r="O22" s="305">
        <f>SUM(O13:O21)</f>
        <v>10872882</v>
      </c>
      <c r="P22" s="98"/>
      <c r="Q22" s="124">
        <f>SUM(Q13:Q21)</f>
        <v>83354803</v>
      </c>
      <c r="R22" s="104"/>
      <c r="S22" s="98"/>
      <c r="T22" s="305">
        <f>SUM(T13:T21)</f>
        <v>10872882</v>
      </c>
      <c r="U22" s="120"/>
      <c r="V22" s="124">
        <f>SUM(V13:V21)</f>
        <v>98819203</v>
      </c>
      <c r="W22" s="102"/>
      <c r="X22" s="124">
        <f>+V22-Q22</f>
        <v>15464400</v>
      </c>
      <c r="Y22" s="103"/>
      <c r="Z22" s="127">
        <f>IF(Q22=0,0,ROUND((X22/Q22),4))</f>
        <v>0.1855</v>
      </c>
      <c r="AA22" s="19"/>
    </row>
    <row r="23" spans="1:27" ht="15" x14ac:dyDescent="0.25">
      <c r="A23" s="111">
        <v>13</v>
      </c>
      <c r="B23" s="100"/>
      <c r="C23" s="100"/>
      <c r="D23" s="100"/>
      <c r="E23" s="100"/>
      <c r="F23" s="100"/>
      <c r="G23" s="122"/>
      <c r="H23" s="100"/>
      <c r="I23" s="100"/>
      <c r="J23" s="122"/>
      <c r="K23" s="122"/>
      <c r="L23" s="122"/>
      <c r="M23" s="100"/>
      <c r="N23" s="100"/>
      <c r="O23" s="100"/>
      <c r="P23" s="100"/>
      <c r="Q23" s="122"/>
      <c r="R23" s="100"/>
      <c r="S23" s="100"/>
      <c r="T23" s="100"/>
      <c r="U23" s="100"/>
      <c r="V23" s="100"/>
      <c r="W23" s="101"/>
      <c r="X23" s="101"/>
      <c r="Y23" s="101"/>
      <c r="Z23" s="101"/>
      <c r="AA23" s="19"/>
    </row>
    <row r="24" spans="1:27" ht="15" x14ac:dyDescent="0.25">
      <c r="A24" s="111">
        <v>14</v>
      </c>
      <c r="B24" s="116" t="s">
        <v>70</v>
      </c>
      <c r="C24" s="99"/>
      <c r="D24" s="99"/>
      <c r="E24" s="99"/>
      <c r="F24" s="99"/>
      <c r="G24" s="103"/>
      <c r="H24" s="99"/>
      <c r="I24" s="99"/>
      <c r="J24" s="103"/>
      <c r="K24" s="103"/>
      <c r="L24" s="103"/>
      <c r="M24" s="99"/>
      <c r="N24" s="99"/>
      <c r="O24" s="99"/>
      <c r="P24" s="99"/>
      <c r="Q24" s="103"/>
      <c r="R24" s="103"/>
      <c r="S24" s="103"/>
      <c r="T24" s="102"/>
      <c r="U24" s="121"/>
      <c r="V24" s="99"/>
      <c r="W24" s="103"/>
      <c r="X24" s="102"/>
      <c r="Y24" s="103"/>
      <c r="Z24" s="119"/>
      <c r="AA24" s="19"/>
    </row>
    <row r="25" spans="1:27" ht="15" x14ac:dyDescent="0.25">
      <c r="A25" s="111">
        <v>15</v>
      </c>
      <c r="B25" s="128" t="s">
        <v>91</v>
      </c>
      <c r="C25" s="102"/>
      <c r="D25" s="103"/>
      <c r="E25" s="102"/>
      <c r="F25" s="129"/>
      <c r="G25" s="118">
        <v>0</v>
      </c>
      <c r="H25" s="104"/>
      <c r="I25" s="102"/>
      <c r="J25" s="102"/>
      <c r="K25" s="129"/>
      <c r="L25" s="118">
        <v>0</v>
      </c>
      <c r="M25" s="102"/>
      <c r="N25" s="102"/>
      <c r="O25" s="102"/>
      <c r="P25" s="129"/>
      <c r="Q25" s="118">
        <v>0</v>
      </c>
      <c r="R25" s="102"/>
      <c r="S25" s="102"/>
      <c r="T25" s="102"/>
      <c r="U25" s="129"/>
      <c r="V25" s="118">
        <v>0</v>
      </c>
      <c r="W25" s="102"/>
      <c r="X25" s="102">
        <f>+V25-Q25</f>
        <v>0</v>
      </c>
      <c r="Y25" s="101"/>
      <c r="Z25" s="119">
        <f t="shared" ref="Z25" si="2">IF(Q25=0,0,ROUND((X25/Q25),4))</f>
        <v>0</v>
      </c>
      <c r="AA25" s="19"/>
    </row>
    <row r="26" spans="1:27" ht="15" x14ac:dyDescent="0.25">
      <c r="A26" s="111">
        <v>16</v>
      </c>
      <c r="B26" s="128" t="s">
        <v>165</v>
      </c>
      <c r="C26" s="118"/>
      <c r="D26" s="101"/>
      <c r="E26" s="102"/>
      <c r="F26" s="129"/>
      <c r="G26" s="102">
        <f>'Link in'!B89</f>
        <v>936548.21000000008</v>
      </c>
      <c r="H26" s="98"/>
      <c r="I26" s="118"/>
      <c r="J26" s="102"/>
      <c r="K26" s="129"/>
      <c r="L26" s="102">
        <f>'Link in'!C89</f>
        <v>936548.21000000008</v>
      </c>
      <c r="M26" s="118"/>
      <c r="N26" s="118"/>
      <c r="O26" s="102"/>
      <c r="P26" s="129"/>
      <c r="Q26" s="102">
        <f>'Link in'!D89</f>
        <v>852640</v>
      </c>
      <c r="R26" s="118"/>
      <c r="S26" s="102"/>
      <c r="T26" s="102"/>
      <c r="U26" s="129"/>
      <c r="V26" s="102">
        <f>'Link in'!F89</f>
        <v>852640</v>
      </c>
      <c r="W26" s="102"/>
      <c r="X26" s="102">
        <f>+V26-Q26</f>
        <v>0</v>
      </c>
      <c r="Y26" s="101"/>
      <c r="Z26" s="119">
        <f t="shared" ref="Z26:Z35" si="3">IF(Q26=0,0,ROUND((X26/Q26),4))</f>
        <v>0</v>
      </c>
      <c r="AA26" s="19"/>
    </row>
    <row r="27" spans="1:27" ht="15" x14ac:dyDescent="0.25">
      <c r="A27" s="111">
        <v>17</v>
      </c>
      <c r="B27" s="128" t="s">
        <v>159</v>
      </c>
      <c r="C27" s="102"/>
      <c r="D27" s="101"/>
      <c r="E27" s="102"/>
      <c r="F27" s="129"/>
      <c r="G27" s="102">
        <f>'Link in'!B90</f>
        <v>75360.52</v>
      </c>
      <c r="H27" s="98"/>
      <c r="I27" s="102"/>
      <c r="J27" s="102"/>
      <c r="K27" s="129"/>
      <c r="L27" s="102">
        <f>'Link in'!C90</f>
        <v>75360.52</v>
      </c>
      <c r="M27" s="102"/>
      <c r="N27" s="102"/>
      <c r="O27" s="102"/>
      <c r="P27" s="129"/>
      <c r="Q27" s="102">
        <f>'Link in'!D90</f>
        <v>69684</v>
      </c>
      <c r="R27" s="102"/>
      <c r="S27" s="102"/>
      <c r="T27" s="102"/>
      <c r="U27" s="129"/>
      <c r="V27" s="102">
        <f>'Link in'!F90</f>
        <v>69684</v>
      </c>
      <c r="W27" s="102"/>
      <c r="X27" s="102">
        <f t="shared" ref="X27:X35" si="4">+V27-Q27</f>
        <v>0</v>
      </c>
      <c r="Y27" s="101"/>
      <c r="Z27" s="119">
        <f t="shared" si="3"/>
        <v>0</v>
      </c>
      <c r="AA27" s="19"/>
    </row>
    <row r="28" spans="1:27" ht="15" x14ac:dyDescent="0.25">
      <c r="A28" s="111">
        <v>18</v>
      </c>
      <c r="B28" s="128" t="s">
        <v>160</v>
      </c>
      <c r="C28" s="102"/>
      <c r="D28" s="101"/>
      <c r="E28" s="102"/>
      <c r="F28" s="129"/>
      <c r="G28" s="102">
        <f>'Link in'!B91</f>
        <v>50904.75</v>
      </c>
      <c r="H28" s="98"/>
      <c r="I28" s="102"/>
      <c r="J28" s="102"/>
      <c r="K28" s="129"/>
      <c r="L28" s="102">
        <f>'Link in'!C91</f>
        <v>50904.75</v>
      </c>
      <c r="M28" s="102"/>
      <c r="N28" s="102"/>
      <c r="O28" s="102"/>
      <c r="P28" s="129"/>
      <c r="Q28" s="102">
        <f>'Link in'!D91</f>
        <v>65400</v>
      </c>
      <c r="R28" s="102"/>
      <c r="S28" s="102"/>
      <c r="T28" s="102"/>
      <c r="U28" s="129"/>
      <c r="V28" s="102">
        <f>'Link in'!F91</f>
        <v>65400</v>
      </c>
      <c r="W28" s="102"/>
      <c r="X28" s="102">
        <f t="shared" si="4"/>
        <v>0</v>
      </c>
      <c r="Y28" s="101"/>
      <c r="Z28" s="119">
        <f t="shared" si="3"/>
        <v>0</v>
      </c>
      <c r="AA28" s="19"/>
    </row>
    <row r="29" spans="1:27" ht="15" x14ac:dyDescent="0.25">
      <c r="A29" s="111">
        <v>19</v>
      </c>
      <c r="B29" s="128" t="s">
        <v>161</v>
      </c>
      <c r="C29" s="102"/>
      <c r="D29" s="113"/>
      <c r="E29" s="102"/>
      <c r="F29" s="113"/>
      <c r="G29" s="102">
        <f>'Link in'!B92</f>
        <v>0</v>
      </c>
      <c r="H29" s="98"/>
      <c r="I29" s="102"/>
      <c r="J29" s="102"/>
      <c r="K29" s="113"/>
      <c r="L29" s="102">
        <f>'Link in'!C92</f>
        <v>0</v>
      </c>
      <c r="M29" s="102"/>
      <c r="N29" s="102"/>
      <c r="O29" s="102"/>
      <c r="P29" s="113"/>
      <c r="Q29" s="102">
        <f>'Link in'!D92</f>
        <v>0</v>
      </c>
      <c r="R29" s="102"/>
      <c r="S29" s="113"/>
      <c r="T29" s="130"/>
      <c r="U29" s="130"/>
      <c r="V29" s="102">
        <f>'Link in'!F92</f>
        <v>0</v>
      </c>
      <c r="W29" s="130"/>
      <c r="X29" s="102">
        <f t="shared" si="4"/>
        <v>0</v>
      </c>
      <c r="Y29" s="101"/>
      <c r="Z29" s="119">
        <f t="shared" si="3"/>
        <v>0</v>
      </c>
      <c r="AA29" s="19"/>
    </row>
    <row r="30" spans="1:27" ht="15" x14ac:dyDescent="0.25">
      <c r="A30" s="111">
        <v>20</v>
      </c>
      <c r="B30" s="128" t="s">
        <v>166</v>
      </c>
      <c r="C30" s="102"/>
      <c r="D30" s="131"/>
      <c r="E30" s="101"/>
      <c r="F30" s="131"/>
      <c r="G30" s="102">
        <f>'Link in'!B93</f>
        <v>30740.888888888894</v>
      </c>
      <c r="H30" s="98"/>
      <c r="I30" s="102"/>
      <c r="J30" s="101"/>
      <c r="K30" s="131"/>
      <c r="L30" s="102">
        <f>'Link in'!C93</f>
        <v>30740.888888888894</v>
      </c>
      <c r="M30" s="102"/>
      <c r="N30" s="102"/>
      <c r="O30" s="101"/>
      <c r="P30" s="131"/>
      <c r="Q30" s="102">
        <f>'Link in'!D93</f>
        <v>32142</v>
      </c>
      <c r="R30" s="102"/>
      <c r="S30" s="131"/>
      <c r="T30" s="131"/>
      <c r="U30" s="131"/>
      <c r="V30" s="102">
        <f>'Link in'!F93</f>
        <v>32142</v>
      </c>
      <c r="W30" s="131"/>
      <c r="X30" s="102">
        <f t="shared" si="4"/>
        <v>0</v>
      </c>
      <c r="Y30" s="101"/>
      <c r="Z30" s="119">
        <f t="shared" si="3"/>
        <v>0</v>
      </c>
      <c r="AA30" s="19"/>
    </row>
    <row r="31" spans="1:27" ht="15" x14ac:dyDescent="0.25">
      <c r="A31" s="111">
        <v>21</v>
      </c>
      <c r="B31" s="128" t="s">
        <v>171</v>
      </c>
      <c r="C31" s="132"/>
      <c r="D31" s="133"/>
      <c r="E31" s="101"/>
      <c r="F31" s="133"/>
      <c r="G31" s="102">
        <f>'Link in'!B94</f>
        <v>754380.96999999986</v>
      </c>
      <c r="H31" s="98"/>
      <c r="I31" s="132"/>
      <c r="J31" s="101"/>
      <c r="K31" s="133"/>
      <c r="L31" s="102">
        <f>'Link in'!C94</f>
        <v>754380.96999999986</v>
      </c>
      <c r="M31" s="132"/>
      <c r="N31" s="132"/>
      <c r="O31" s="101"/>
      <c r="P31" s="133"/>
      <c r="Q31" s="102">
        <f>'Link in'!D94</f>
        <v>743543</v>
      </c>
      <c r="R31" s="132"/>
      <c r="S31" s="133"/>
      <c r="T31" s="101"/>
      <c r="U31" s="133"/>
      <c r="V31" s="102">
        <f>'Link in'!F94</f>
        <v>743543</v>
      </c>
      <c r="W31" s="133"/>
      <c r="X31" s="102">
        <f t="shared" si="4"/>
        <v>0</v>
      </c>
      <c r="Y31" s="101"/>
      <c r="Z31" s="119">
        <f t="shared" si="3"/>
        <v>0</v>
      </c>
      <c r="AA31" s="19"/>
    </row>
    <row r="32" spans="1:27" ht="15" x14ac:dyDescent="0.25">
      <c r="A32" s="111">
        <v>22</v>
      </c>
      <c r="B32" s="128" t="s">
        <v>162</v>
      </c>
      <c r="C32" s="102"/>
      <c r="D32" s="134"/>
      <c r="E32" s="101"/>
      <c r="F32" s="101"/>
      <c r="G32" s="102">
        <f>'Link in'!B95</f>
        <v>51945.649999999987</v>
      </c>
      <c r="H32" s="98"/>
      <c r="I32" s="102"/>
      <c r="J32" s="101"/>
      <c r="K32" s="101"/>
      <c r="L32" s="102">
        <f>'Link in'!C95</f>
        <v>51945.649999999987</v>
      </c>
      <c r="M32" s="102"/>
      <c r="N32" s="102"/>
      <c r="O32" s="101"/>
      <c r="P32" s="101"/>
      <c r="Q32" s="102">
        <f>'Link in'!D95</f>
        <v>52634</v>
      </c>
      <c r="R32" s="102"/>
      <c r="S32" s="134"/>
      <c r="T32" s="101"/>
      <c r="U32" s="135"/>
      <c r="V32" s="102">
        <f>'Link in'!F95</f>
        <v>52634</v>
      </c>
      <c r="W32" s="134"/>
      <c r="X32" s="102">
        <f t="shared" si="4"/>
        <v>0</v>
      </c>
      <c r="Y32" s="101"/>
      <c r="Z32" s="119">
        <f t="shared" si="3"/>
        <v>0</v>
      </c>
      <c r="AA32" s="19"/>
    </row>
    <row r="33" spans="1:27" ht="15" x14ac:dyDescent="0.25">
      <c r="A33" s="111">
        <v>23</v>
      </c>
      <c r="B33" s="128" t="s">
        <v>167</v>
      </c>
      <c r="C33" s="136"/>
      <c r="D33" s="101"/>
      <c r="E33" s="101"/>
      <c r="F33" s="101"/>
      <c r="G33" s="102">
        <f>'Link in'!B96</f>
        <v>336164.16000000003</v>
      </c>
      <c r="H33" s="98"/>
      <c r="I33" s="137"/>
      <c r="J33" s="101"/>
      <c r="K33" s="101"/>
      <c r="L33" s="102">
        <f>'Link in'!C96</f>
        <v>336164.16000000003</v>
      </c>
      <c r="M33" s="137"/>
      <c r="N33" s="137"/>
      <c r="O33" s="86"/>
      <c r="P33" s="86"/>
      <c r="Q33" s="102">
        <f>'Link in'!D96</f>
        <v>299605</v>
      </c>
      <c r="R33" s="137"/>
      <c r="S33" s="86"/>
      <c r="T33" s="86"/>
      <c r="U33" s="86"/>
      <c r="V33" s="102">
        <f>'Link in'!F96</f>
        <v>299605</v>
      </c>
      <c r="W33" s="101"/>
      <c r="X33" s="102">
        <f t="shared" si="4"/>
        <v>0</v>
      </c>
      <c r="Y33" s="101"/>
      <c r="Z33" s="119">
        <f t="shared" si="3"/>
        <v>0</v>
      </c>
      <c r="AA33" s="19"/>
    </row>
    <row r="34" spans="1:27" ht="15" x14ac:dyDescent="0.25">
      <c r="A34" s="111">
        <v>24</v>
      </c>
      <c r="B34" s="128" t="s">
        <v>168</v>
      </c>
      <c r="C34" s="102"/>
      <c r="D34" s="101"/>
      <c r="E34" s="101"/>
      <c r="F34" s="135"/>
      <c r="G34" s="102">
        <f>'Link in'!B97</f>
        <v>37772.630000000005</v>
      </c>
      <c r="H34" s="98"/>
      <c r="I34" s="98"/>
      <c r="J34" s="101"/>
      <c r="K34" s="135"/>
      <c r="L34" s="102">
        <f>'Link in'!C97</f>
        <v>37772.630000000005</v>
      </c>
      <c r="M34" s="98"/>
      <c r="N34" s="98"/>
      <c r="O34" s="86"/>
      <c r="P34" s="138"/>
      <c r="Q34" s="102">
        <f>'Link in'!D97</f>
        <v>59000</v>
      </c>
      <c r="R34" s="98"/>
      <c r="S34" s="86"/>
      <c r="T34" s="86"/>
      <c r="U34" s="138"/>
      <c r="V34" s="102">
        <f>'Link in'!F97</f>
        <v>59000</v>
      </c>
      <c r="W34" s="101"/>
      <c r="X34" s="102">
        <f t="shared" si="4"/>
        <v>0</v>
      </c>
      <c r="Y34" s="101"/>
      <c r="Z34" s="119">
        <f t="shared" si="3"/>
        <v>0</v>
      </c>
      <c r="AA34" s="19"/>
    </row>
    <row r="35" spans="1:27" ht="15" x14ac:dyDescent="0.25">
      <c r="A35" s="111">
        <v>25</v>
      </c>
      <c r="B35" s="128" t="s">
        <v>169</v>
      </c>
      <c r="C35" s="102"/>
      <c r="D35" s="134"/>
      <c r="E35" s="101"/>
      <c r="F35" s="135"/>
      <c r="G35" s="102">
        <f>'Link in'!B98</f>
        <v>0</v>
      </c>
      <c r="H35" s="98"/>
      <c r="I35" s="98"/>
      <c r="J35" s="101"/>
      <c r="K35" s="135"/>
      <c r="L35" s="102">
        <f>'Link in'!C98</f>
        <v>0</v>
      </c>
      <c r="M35" s="98"/>
      <c r="N35" s="98"/>
      <c r="O35" s="86"/>
      <c r="P35" s="138"/>
      <c r="Q35" s="102">
        <f>'Link in'!D98</f>
        <v>0</v>
      </c>
      <c r="R35" s="98"/>
      <c r="S35" s="139"/>
      <c r="T35" s="86"/>
      <c r="U35" s="138"/>
      <c r="V35" s="102">
        <f>'Link in'!F98</f>
        <v>0</v>
      </c>
      <c r="W35" s="134"/>
      <c r="X35" s="102">
        <f t="shared" si="4"/>
        <v>0</v>
      </c>
      <c r="Y35" s="101"/>
      <c r="Z35" s="119">
        <f t="shared" si="3"/>
        <v>0</v>
      </c>
      <c r="AA35" s="19"/>
    </row>
    <row r="36" spans="1:27" ht="15" x14ac:dyDescent="0.25">
      <c r="A36" s="111">
        <v>26</v>
      </c>
      <c r="B36" s="86" t="s">
        <v>157</v>
      </c>
      <c r="C36" s="98"/>
      <c r="D36" s="86"/>
      <c r="E36" s="86"/>
      <c r="F36" s="138"/>
      <c r="G36" s="124">
        <f>SUM(G25:G35)</f>
        <v>2273817.7788888887</v>
      </c>
      <c r="H36" s="104"/>
      <c r="I36" s="98"/>
      <c r="J36" s="101"/>
      <c r="K36" s="135"/>
      <c r="L36" s="124">
        <f>SUM(L25:L35)</f>
        <v>2273817.7788888887</v>
      </c>
      <c r="M36" s="98"/>
      <c r="N36" s="98"/>
      <c r="O36" s="86"/>
      <c r="P36" s="138"/>
      <c r="Q36" s="126">
        <f>SUM(Q25:Q35)</f>
        <v>2174648</v>
      </c>
      <c r="R36" s="98"/>
      <c r="S36" s="86"/>
      <c r="T36" s="86"/>
      <c r="U36" s="138"/>
      <c r="V36" s="126">
        <f>SUM(V25:V35)</f>
        <v>2174648</v>
      </c>
      <c r="W36" s="101"/>
      <c r="X36" s="126">
        <f>V36-Q36</f>
        <v>0</v>
      </c>
      <c r="Y36" s="101"/>
      <c r="Z36" s="127">
        <f>IF(Q36=0,0,ROUND((X36/Q36),4))</f>
        <v>0</v>
      </c>
      <c r="AA36" s="19"/>
    </row>
    <row r="37" spans="1:27" ht="15" x14ac:dyDescent="0.25">
      <c r="A37" s="111">
        <v>27</v>
      </c>
      <c r="B37" s="86"/>
      <c r="C37" s="98"/>
      <c r="D37" s="111"/>
      <c r="E37" s="86"/>
      <c r="F37" s="138"/>
      <c r="G37" s="98"/>
      <c r="H37" s="98"/>
      <c r="I37" s="98"/>
      <c r="J37" s="101"/>
      <c r="K37" s="135"/>
      <c r="L37" s="102"/>
      <c r="M37" s="98"/>
      <c r="N37" s="98"/>
      <c r="O37" s="86"/>
      <c r="P37" s="138"/>
      <c r="Q37" s="98"/>
      <c r="R37" s="98"/>
      <c r="S37" s="111"/>
      <c r="T37" s="86"/>
      <c r="U37" s="138"/>
      <c r="V37" s="98"/>
      <c r="W37" s="101"/>
      <c r="X37" s="102"/>
      <c r="Y37" s="101"/>
      <c r="Z37" s="119"/>
      <c r="AA37" s="19"/>
    </row>
    <row r="38" spans="1:27" ht="15.75" thickBot="1" x14ac:dyDescent="0.3">
      <c r="A38" s="111">
        <v>28</v>
      </c>
      <c r="B38" s="86" t="s">
        <v>158</v>
      </c>
      <c r="C38" s="140"/>
      <c r="D38" s="140"/>
      <c r="E38" s="86"/>
      <c r="F38" s="140"/>
      <c r="G38" s="304">
        <f>G36+G22</f>
        <v>90183751.778888881</v>
      </c>
      <c r="H38" s="141"/>
      <c r="I38" s="140"/>
      <c r="J38" s="101"/>
      <c r="K38" s="131"/>
      <c r="L38" s="304">
        <f>L36+L22</f>
        <v>106427144.09509</v>
      </c>
      <c r="M38" s="140"/>
      <c r="N38" s="140"/>
      <c r="O38" s="86"/>
      <c r="P38" s="140"/>
      <c r="Q38" s="304">
        <f>Q36+Q22</f>
        <v>85529451</v>
      </c>
      <c r="R38" s="140"/>
      <c r="S38" s="140"/>
      <c r="T38" s="117"/>
      <c r="U38" s="117"/>
      <c r="V38" s="304">
        <f>V36+V22</f>
        <v>100993851</v>
      </c>
      <c r="W38" s="142"/>
      <c r="X38" s="304">
        <f>V38-Q38</f>
        <v>15464400</v>
      </c>
      <c r="Y38" s="113"/>
      <c r="Z38" s="143">
        <f>IF(Q38=0,0,ROUND((X38/Q38),4))</f>
        <v>0.18079999999999999</v>
      </c>
      <c r="AA38" s="19"/>
    </row>
    <row r="39" spans="1:27" ht="15.75" thickTop="1" x14ac:dyDescent="0.25">
      <c r="A39" s="111"/>
      <c r="B39" s="86"/>
      <c r="C39" s="144"/>
      <c r="D39" s="139"/>
      <c r="E39" s="86"/>
      <c r="F39" s="145"/>
      <c r="G39" s="144"/>
      <c r="H39" s="144"/>
      <c r="I39" s="144"/>
      <c r="J39" s="144"/>
      <c r="K39" s="144"/>
      <c r="L39" s="144"/>
      <c r="M39" s="144"/>
      <c r="N39" s="144"/>
      <c r="O39" s="86"/>
      <c r="P39" s="145"/>
      <c r="Q39" s="144"/>
      <c r="R39" s="144"/>
      <c r="S39" s="144"/>
      <c r="T39" s="139"/>
      <c r="U39" s="145"/>
      <c r="V39" s="139"/>
      <c r="W39" s="134"/>
      <c r="X39" s="102"/>
      <c r="Y39" s="134"/>
      <c r="Z39" s="119"/>
      <c r="AA39" s="19"/>
    </row>
    <row r="40" spans="1:27" ht="15" x14ac:dyDescent="0.25">
      <c r="A40" s="326" t="str">
        <f>A1</f>
        <v>Kentucky American Water Company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19"/>
    </row>
    <row r="41" spans="1:27" ht="15" x14ac:dyDescent="0.25">
      <c r="A41" s="326" t="s">
        <v>77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19"/>
    </row>
    <row r="42" spans="1:27" ht="15" x14ac:dyDescent="0.25">
      <c r="A42" s="326" t="str">
        <f>A3</f>
        <v>Case No. 2015-00418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19"/>
    </row>
    <row r="43" spans="1:27" ht="15" x14ac:dyDescent="0.25">
      <c r="A43" s="326" t="str">
        <f>A4</f>
        <v>Base Year for the 12 Months Ended April 30, 2016 and Forecast Year for the 12 Months Ended August 31, 2017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19"/>
    </row>
    <row r="44" spans="1:27" ht="15" x14ac:dyDescent="0.25">
      <c r="A44" s="116" t="str">
        <f>A5</f>
        <v>Witness Responsible:   Linda Bridwell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101"/>
      <c r="X44" s="101"/>
      <c r="Y44" s="101"/>
      <c r="Z44" s="106" t="s">
        <v>193</v>
      </c>
      <c r="AA44" s="19"/>
    </row>
    <row r="45" spans="1:27" ht="15" x14ac:dyDescent="0.25">
      <c r="A45" s="146" t="str">
        <f>A6</f>
        <v/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08"/>
      <c r="X45" s="108"/>
      <c r="Y45" s="108"/>
      <c r="Z45" s="148" t="e">
        <f ca="1">Z6</f>
        <v>#VALUE!</v>
      </c>
      <c r="AA45" s="19"/>
    </row>
    <row r="46" spans="1:27" ht="15" x14ac:dyDescent="0.25">
      <c r="A46" s="86"/>
      <c r="B46" s="86"/>
      <c r="C46" s="111"/>
      <c r="D46" s="319" t="s">
        <v>177</v>
      </c>
      <c r="E46" s="319" t="s">
        <v>97</v>
      </c>
      <c r="F46" s="319"/>
      <c r="G46" s="319"/>
      <c r="H46" s="111"/>
      <c r="I46" s="325" t="s">
        <v>176</v>
      </c>
      <c r="J46" s="325" t="s">
        <v>97</v>
      </c>
      <c r="K46" s="325"/>
      <c r="L46" s="325"/>
      <c r="M46" s="111"/>
      <c r="N46" s="319" t="s">
        <v>121</v>
      </c>
      <c r="O46" s="319" t="s">
        <v>98</v>
      </c>
      <c r="P46" s="319"/>
      <c r="Q46" s="319"/>
      <c r="R46" s="111"/>
      <c r="S46" s="319" t="s">
        <v>122</v>
      </c>
      <c r="T46" s="319" t="s">
        <v>99</v>
      </c>
      <c r="U46" s="319"/>
      <c r="V46" s="319"/>
      <c r="W46" s="112"/>
      <c r="X46" s="112"/>
      <c r="Y46" s="101"/>
      <c r="Z46" s="101"/>
      <c r="AA46" s="19"/>
    </row>
    <row r="47" spans="1:27" ht="15" x14ac:dyDescent="0.25">
      <c r="A47" s="86"/>
      <c r="B47" s="86"/>
      <c r="C47" s="111"/>
      <c r="D47" s="111" t="s">
        <v>27</v>
      </c>
      <c r="E47" s="111"/>
      <c r="F47" s="111"/>
      <c r="G47" s="111"/>
      <c r="H47" s="111"/>
      <c r="I47" s="113" t="s">
        <v>27</v>
      </c>
      <c r="J47" s="113"/>
      <c r="K47" s="113"/>
      <c r="L47" s="113"/>
      <c r="M47" s="111"/>
      <c r="N47" s="111" t="s">
        <v>27</v>
      </c>
      <c r="O47" s="111"/>
      <c r="P47" s="111"/>
      <c r="Q47" s="111"/>
      <c r="R47" s="111"/>
      <c r="S47" s="111" t="s">
        <v>27</v>
      </c>
      <c r="T47" s="111"/>
      <c r="U47" s="111"/>
      <c r="V47" s="111"/>
      <c r="W47" s="113"/>
      <c r="X47" s="113"/>
      <c r="Y47" s="101"/>
      <c r="Z47" s="101"/>
      <c r="AA47" s="19"/>
    </row>
    <row r="48" spans="1:27" ht="15" x14ac:dyDescent="0.25">
      <c r="A48" s="86"/>
      <c r="B48" s="111" t="s">
        <v>24</v>
      </c>
      <c r="C48" s="111"/>
      <c r="D48" s="111" t="s">
        <v>28</v>
      </c>
      <c r="E48" s="111" t="s">
        <v>39</v>
      </c>
      <c r="F48" s="111" t="s">
        <v>45</v>
      </c>
      <c r="G48" s="111" t="s">
        <v>1</v>
      </c>
      <c r="H48" s="111"/>
      <c r="I48" s="113" t="s">
        <v>28</v>
      </c>
      <c r="J48" s="113" t="s">
        <v>39</v>
      </c>
      <c r="K48" s="113" t="s">
        <v>178</v>
      </c>
      <c r="L48" s="113" t="s">
        <v>1</v>
      </c>
      <c r="M48" s="111"/>
      <c r="N48" s="111" t="s">
        <v>28</v>
      </c>
      <c r="O48" s="111" t="s">
        <v>39</v>
      </c>
      <c r="P48" s="111" t="s">
        <v>45</v>
      </c>
      <c r="Q48" s="111" t="s">
        <v>1</v>
      </c>
      <c r="R48" s="111"/>
      <c r="S48" s="111" t="s">
        <v>28</v>
      </c>
      <c r="T48" s="111" t="s">
        <v>39</v>
      </c>
      <c r="U48" s="111" t="s">
        <v>73</v>
      </c>
      <c r="V48" s="111" t="s">
        <v>1</v>
      </c>
      <c r="W48" s="113"/>
      <c r="X48" s="113" t="s">
        <v>51</v>
      </c>
      <c r="Y48" s="101"/>
      <c r="Z48" s="113" t="s">
        <v>53</v>
      </c>
      <c r="AA48" s="19"/>
    </row>
    <row r="49" spans="1:27" ht="15" x14ac:dyDescent="0.25">
      <c r="A49" s="114" t="s">
        <v>0</v>
      </c>
      <c r="B49" s="114" t="s">
        <v>2</v>
      </c>
      <c r="C49" s="111"/>
      <c r="D49" s="114" t="s">
        <v>29</v>
      </c>
      <c r="E49" s="114" t="str">
        <f>E10</f>
        <v>('000 Gal)</v>
      </c>
      <c r="F49" s="114" t="s">
        <v>46</v>
      </c>
      <c r="G49" s="114" t="s">
        <v>47</v>
      </c>
      <c r="H49" s="111"/>
      <c r="I49" s="115" t="s">
        <v>29</v>
      </c>
      <c r="J49" s="115" t="str">
        <f>J10</f>
        <v>('000 Gal)</v>
      </c>
      <c r="K49" s="115" t="s">
        <v>46</v>
      </c>
      <c r="L49" s="115" t="s">
        <v>47</v>
      </c>
      <c r="M49" s="111"/>
      <c r="N49" s="114" t="s">
        <v>29</v>
      </c>
      <c r="O49" s="114" t="str">
        <f>E49</f>
        <v>('000 Gal)</v>
      </c>
      <c r="P49" s="114" t="s">
        <v>46</v>
      </c>
      <c r="Q49" s="114" t="s">
        <v>47</v>
      </c>
      <c r="R49" s="111"/>
      <c r="S49" s="114" t="s">
        <v>29</v>
      </c>
      <c r="T49" s="114" t="str">
        <f>O49</f>
        <v>('000 Gal)</v>
      </c>
      <c r="U49" s="114" t="s">
        <v>46</v>
      </c>
      <c r="V49" s="114" t="s">
        <v>47</v>
      </c>
      <c r="W49" s="113"/>
      <c r="X49" s="115" t="s">
        <v>52</v>
      </c>
      <c r="Y49" s="101"/>
      <c r="Z49" s="115" t="s">
        <v>52</v>
      </c>
      <c r="AA49" s="19"/>
    </row>
    <row r="50" spans="1:27" ht="15" x14ac:dyDescent="0.25">
      <c r="A50" s="111">
        <v>1</v>
      </c>
      <c r="B50" s="116" t="s">
        <v>25</v>
      </c>
      <c r="C50" s="111"/>
      <c r="D50" s="86"/>
      <c r="E50" s="111"/>
      <c r="F50" s="111"/>
      <c r="G50" s="111"/>
      <c r="H50" s="111"/>
      <c r="I50" s="113"/>
      <c r="J50" s="113"/>
      <c r="K50" s="113"/>
      <c r="L50" s="113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3"/>
      <c r="X50" s="113"/>
      <c r="Y50" s="101"/>
      <c r="Z50" s="113"/>
      <c r="AA50" s="19"/>
    </row>
    <row r="51" spans="1:27" ht="15" x14ac:dyDescent="0.25">
      <c r="A51" s="111">
        <v>2</v>
      </c>
      <c r="B51" s="117" t="s">
        <v>26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101"/>
      <c r="X51" s="101"/>
      <c r="Y51" s="101"/>
      <c r="Z51" s="101"/>
      <c r="AA51" s="19"/>
    </row>
    <row r="52" spans="1:27" ht="15" x14ac:dyDescent="0.25">
      <c r="A52" s="111">
        <v>3</v>
      </c>
      <c r="B52" s="86" t="s">
        <v>30</v>
      </c>
      <c r="C52" s="104"/>
      <c r="D52" s="102">
        <f>'Link in'!C10</f>
        <v>1367034.3646176646</v>
      </c>
      <c r="E52" s="103"/>
      <c r="F52" s="149">
        <f>+'Link in'!C41</f>
        <v>12.49</v>
      </c>
      <c r="G52" s="104">
        <f>ROUND((D52*F52),0)</f>
        <v>17074259</v>
      </c>
      <c r="H52" s="104"/>
      <c r="I52" s="102">
        <f>D52</f>
        <v>1367034.3646176646</v>
      </c>
      <c r="J52" s="103"/>
      <c r="K52" s="149">
        <f>U52</f>
        <v>14.85</v>
      </c>
      <c r="L52" s="118">
        <f>ROUND((I52*K52),0)</f>
        <v>20300460</v>
      </c>
      <c r="M52" s="104"/>
      <c r="N52" s="102">
        <f>'Link in'!M10</f>
        <v>1377268</v>
      </c>
      <c r="O52" s="99"/>
      <c r="P52" s="150">
        <f>F52</f>
        <v>12.49</v>
      </c>
      <c r="Q52" s="104">
        <f>ROUND((N52*P52),0)</f>
        <v>17202077</v>
      </c>
      <c r="R52" s="104"/>
      <c r="S52" s="98">
        <f>N52</f>
        <v>1377268</v>
      </c>
      <c r="T52" s="103"/>
      <c r="U52" s="149">
        <f>'Link in'!J41</f>
        <v>14.85</v>
      </c>
      <c r="V52" s="104">
        <f>ROUND((S52*U52),0)</f>
        <v>20452430</v>
      </c>
      <c r="W52" s="118"/>
      <c r="X52" s="104">
        <f>+V52-Q52</f>
        <v>3250353</v>
      </c>
      <c r="Y52" s="103"/>
      <c r="Z52" s="119">
        <f t="shared" ref="Z52:Z61" si="5">IF(Q52=0,0,ROUND((X52/Q52),4))</f>
        <v>0.189</v>
      </c>
      <c r="AA52" s="19"/>
    </row>
    <row r="53" spans="1:27" ht="15" x14ac:dyDescent="0.25">
      <c r="A53" s="111">
        <v>4</v>
      </c>
      <c r="B53" s="86" t="s">
        <v>31</v>
      </c>
      <c r="C53" s="98"/>
      <c r="D53" s="102">
        <f>'Link in'!C11</f>
        <v>12</v>
      </c>
      <c r="E53" s="103"/>
      <c r="F53" s="121">
        <f>+'Link in'!C42</f>
        <v>18.739999999999998</v>
      </c>
      <c r="G53" s="98">
        <f t="shared" ref="G53:G60" si="6">ROUND((D53*F53),0)</f>
        <v>225</v>
      </c>
      <c r="H53" s="98"/>
      <c r="I53" s="102">
        <f t="shared" ref="I53:I60" si="7">D53</f>
        <v>12</v>
      </c>
      <c r="J53" s="103"/>
      <c r="K53" s="121">
        <f t="shared" ref="K53:K60" si="8">U53</f>
        <v>22.3</v>
      </c>
      <c r="L53" s="102">
        <f t="shared" ref="L53:L60" si="9">ROUND((I53*K53),0)</f>
        <v>268</v>
      </c>
      <c r="M53" s="98"/>
      <c r="N53" s="102">
        <f>'Link in'!M11</f>
        <v>12</v>
      </c>
      <c r="O53" s="99"/>
      <c r="P53" s="120">
        <f t="shared" ref="P53:P60" si="10">F53</f>
        <v>18.739999999999998</v>
      </c>
      <c r="Q53" s="98">
        <f t="shared" ref="Q53:Q60" si="11">ROUND((N53*P53),0)</f>
        <v>225</v>
      </c>
      <c r="R53" s="98"/>
      <c r="S53" s="98">
        <f t="shared" ref="S53:S60" si="12">N53</f>
        <v>12</v>
      </c>
      <c r="T53" s="103"/>
      <c r="U53" s="121">
        <f>'Link in'!J42</f>
        <v>22.3</v>
      </c>
      <c r="V53" s="98">
        <f t="shared" ref="V53:V60" si="13">ROUND((S53*U53),0)</f>
        <v>268</v>
      </c>
      <c r="W53" s="102"/>
      <c r="X53" s="98">
        <f t="shared" ref="X53:X61" si="14">+V53-Q53</f>
        <v>43</v>
      </c>
      <c r="Y53" s="103"/>
      <c r="Z53" s="119">
        <f t="shared" si="5"/>
        <v>0.19109999999999999</v>
      </c>
      <c r="AA53" s="19"/>
    </row>
    <row r="54" spans="1:27" ht="15" x14ac:dyDescent="0.25">
      <c r="A54" s="111">
        <v>5</v>
      </c>
      <c r="B54" s="86" t="s">
        <v>32</v>
      </c>
      <c r="C54" s="98"/>
      <c r="D54" s="102">
        <f>'Link in'!C12</f>
        <v>22836.577009285946</v>
      </c>
      <c r="E54" s="103"/>
      <c r="F54" s="121">
        <f>+'Link in'!C43</f>
        <v>31.23</v>
      </c>
      <c r="G54" s="98">
        <f t="shared" si="6"/>
        <v>713186</v>
      </c>
      <c r="H54" s="98"/>
      <c r="I54" s="102">
        <f t="shared" si="7"/>
        <v>22836.577009285946</v>
      </c>
      <c r="J54" s="103"/>
      <c r="K54" s="121">
        <f t="shared" si="8"/>
        <v>37.1</v>
      </c>
      <c r="L54" s="102">
        <f t="shared" si="9"/>
        <v>847237</v>
      </c>
      <c r="M54" s="98"/>
      <c r="N54" s="102">
        <f>'Link in'!M12</f>
        <v>21864</v>
      </c>
      <c r="O54" s="99"/>
      <c r="P54" s="120">
        <f t="shared" si="10"/>
        <v>31.23</v>
      </c>
      <c r="Q54" s="98">
        <f t="shared" si="11"/>
        <v>682813</v>
      </c>
      <c r="R54" s="98"/>
      <c r="S54" s="98">
        <f t="shared" si="12"/>
        <v>21864</v>
      </c>
      <c r="T54" s="103"/>
      <c r="U54" s="121">
        <f>'Link in'!J43</f>
        <v>37.1</v>
      </c>
      <c r="V54" s="98">
        <f t="shared" si="13"/>
        <v>811154</v>
      </c>
      <c r="W54" s="102"/>
      <c r="X54" s="98">
        <f t="shared" si="14"/>
        <v>128341</v>
      </c>
      <c r="Y54" s="103"/>
      <c r="Z54" s="119">
        <f t="shared" si="5"/>
        <v>0.188</v>
      </c>
      <c r="AA54" s="19"/>
    </row>
    <row r="55" spans="1:27" ht="15" x14ac:dyDescent="0.25">
      <c r="A55" s="111">
        <v>6</v>
      </c>
      <c r="B55" s="86" t="s">
        <v>33</v>
      </c>
      <c r="C55" s="98"/>
      <c r="D55" s="102">
        <f>'Link in'!C13</f>
        <v>156.05204163330666</v>
      </c>
      <c r="E55" s="103"/>
      <c r="F55" s="121">
        <f>+'Link in'!C44</f>
        <v>62.45</v>
      </c>
      <c r="G55" s="98">
        <f t="shared" si="6"/>
        <v>9745</v>
      </c>
      <c r="H55" s="98"/>
      <c r="I55" s="102">
        <f t="shared" si="7"/>
        <v>156.05204163330666</v>
      </c>
      <c r="J55" s="103"/>
      <c r="K55" s="121">
        <f t="shared" si="8"/>
        <v>74.3</v>
      </c>
      <c r="L55" s="102">
        <f t="shared" si="9"/>
        <v>11595</v>
      </c>
      <c r="M55" s="98"/>
      <c r="N55" s="102">
        <f>'Link in'!M13</f>
        <v>156</v>
      </c>
      <c r="O55" s="99"/>
      <c r="P55" s="120">
        <f t="shared" si="10"/>
        <v>62.45</v>
      </c>
      <c r="Q55" s="98">
        <f t="shared" si="11"/>
        <v>9742</v>
      </c>
      <c r="R55" s="98"/>
      <c r="S55" s="98">
        <f t="shared" si="12"/>
        <v>156</v>
      </c>
      <c r="T55" s="103"/>
      <c r="U55" s="121">
        <f>'Link in'!J44</f>
        <v>74.3</v>
      </c>
      <c r="V55" s="98">
        <f t="shared" si="13"/>
        <v>11591</v>
      </c>
      <c r="W55" s="102"/>
      <c r="X55" s="98">
        <f t="shared" si="14"/>
        <v>1849</v>
      </c>
      <c r="Y55" s="103"/>
      <c r="Z55" s="119">
        <f t="shared" si="5"/>
        <v>0.1898</v>
      </c>
      <c r="AA55" s="19"/>
    </row>
    <row r="56" spans="1:27" ht="15" x14ac:dyDescent="0.25">
      <c r="A56" s="111">
        <v>7</v>
      </c>
      <c r="B56" s="86" t="s">
        <v>34</v>
      </c>
      <c r="C56" s="98"/>
      <c r="D56" s="102">
        <f>'Link in'!C14</f>
        <v>1259.4495725042125</v>
      </c>
      <c r="E56" s="103"/>
      <c r="F56" s="121">
        <f>+'Link in'!C45</f>
        <v>99.92</v>
      </c>
      <c r="G56" s="98">
        <f t="shared" si="6"/>
        <v>125844</v>
      </c>
      <c r="H56" s="98"/>
      <c r="I56" s="102">
        <f t="shared" si="7"/>
        <v>1259.4495725042125</v>
      </c>
      <c r="J56" s="103"/>
      <c r="K56" s="121">
        <f t="shared" si="8"/>
        <v>118.8</v>
      </c>
      <c r="L56" s="102">
        <f t="shared" si="9"/>
        <v>149623</v>
      </c>
      <c r="M56" s="98"/>
      <c r="N56" s="102">
        <f>'Link in'!M14</f>
        <v>1176</v>
      </c>
      <c r="O56" s="99"/>
      <c r="P56" s="120">
        <f t="shared" si="10"/>
        <v>99.92</v>
      </c>
      <c r="Q56" s="98">
        <f t="shared" si="11"/>
        <v>117506</v>
      </c>
      <c r="R56" s="98"/>
      <c r="S56" s="98">
        <f t="shared" si="12"/>
        <v>1176</v>
      </c>
      <c r="T56" s="103"/>
      <c r="U56" s="121">
        <f>'Link in'!J45</f>
        <v>118.8</v>
      </c>
      <c r="V56" s="98">
        <f t="shared" si="13"/>
        <v>139709</v>
      </c>
      <c r="W56" s="102"/>
      <c r="X56" s="98">
        <f t="shared" si="14"/>
        <v>22203</v>
      </c>
      <c r="Y56" s="103"/>
      <c r="Z56" s="119">
        <f t="shared" si="5"/>
        <v>0.189</v>
      </c>
      <c r="AA56" s="19"/>
    </row>
    <row r="57" spans="1:27" ht="15" x14ac:dyDescent="0.25">
      <c r="A57" s="111">
        <v>8</v>
      </c>
      <c r="B57" s="86" t="s">
        <v>35</v>
      </c>
      <c r="C57" s="98"/>
      <c r="D57" s="102">
        <f>'Link in'!C15</f>
        <v>0</v>
      </c>
      <c r="E57" s="103"/>
      <c r="F57" s="121">
        <f>+'Link in'!C46</f>
        <v>187.35</v>
      </c>
      <c r="G57" s="98">
        <f t="shared" si="6"/>
        <v>0</v>
      </c>
      <c r="H57" s="98"/>
      <c r="I57" s="102">
        <f t="shared" si="7"/>
        <v>0</v>
      </c>
      <c r="J57" s="103"/>
      <c r="K57" s="121">
        <f t="shared" si="8"/>
        <v>222.8</v>
      </c>
      <c r="L57" s="102">
        <f t="shared" si="9"/>
        <v>0</v>
      </c>
      <c r="M57" s="98"/>
      <c r="N57" s="102">
        <f>'Link in'!M15</f>
        <v>0</v>
      </c>
      <c r="O57" s="99"/>
      <c r="P57" s="120">
        <f t="shared" si="10"/>
        <v>187.35</v>
      </c>
      <c r="Q57" s="98">
        <f t="shared" si="11"/>
        <v>0</v>
      </c>
      <c r="R57" s="98"/>
      <c r="S57" s="98">
        <f t="shared" si="12"/>
        <v>0</v>
      </c>
      <c r="T57" s="103"/>
      <c r="U57" s="121">
        <f>'Link in'!J46</f>
        <v>222.8</v>
      </c>
      <c r="V57" s="98">
        <f t="shared" si="13"/>
        <v>0</v>
      </c>
      <c r="W57" s="102"/>
      <c r="X57" s="98">
        <f t="shared" si="14"/>
        <v>0</v>
      </c>
      <c r="Y57" s="103"/>
      <c r="Z57" s="119">
        <f t="shared" si="5"/>
        <v>0</v>
      </c>
      <c r="AA57" s="19"/>
    </row>
    <row r="58" spans="1:27" ht="15" x14ac:dyDescent="0.25">
      <c r="A58" s="111">
        <v>9</v>
      </c>
      <c r="B58" s="86" t="s">
        <v>36</v>
      </c>
      <c r="C58" s="98"/>
      <c r="D58" s="102">
        <f>'Link in'!C16</f>
        <v>0</v>
      </c>
      <c r="E58" s="103"/>
      <c r="F58" s="121">
        <f>+'Link in'!C47</f>
        <v>312.25</v>
      </c>
      <c r="G58" s="98">
        <f t="shared" si="6"/>
        <v>0</v>
      </c>
      <c r="H58" s="98"/>
      <c r="I58" s="102">
        <f t="shared" si="7"/>
        <v>0</v>
      </c>
      <c r="J58" s="103"/>
      <c r="K58" s="121">
        <f t="shared" si="8"/>
        <v>371.3</v>
      </c>
      <c r="L58" s="102">
        <f t="shared" si="9"/>
        <v>0</v>
      </c>
      <c r="M58" s="98"/>
      <c r="N58" s="102">
        <f>'Link in'!M16</f>
        <v>0</v>
      </c>
      <c r="O58" s="99"/>
      <c r="P58" s="120">
        <f t="shared" si="10"/>
        <v>312.25</v>
      </c>
      <c r="Q58" s="98">
        <f t="shared" si="11"/>
        <v>0</v>
      </c>
      <c r="R58" s="98"/>
      <c r="S58" s="98">
        <f t="shared" si="12"/>
        <v>0</v>
      </c>
      <c r="T58" s="103"/>
      <c r="U58" s="121">
        <f>'Link in'!J47</f>
        <v>371.3</v>
      </c>
      <c r="V58" s="98">
        <f t="shared" si="13"/>
        <v>0</v>
      </c>
      <c r="W58" s="102"/>
      <c r="X58" s="98">
        <f t="shared" si="14"/>
        <v>0</v>
      </c>
      <c r="Y58" s="103"/>
      <c r="Z58" s="119">
        <f t="shared" si="5"/>
        <v>0</v>
      </c>
      <c r="AA58" s="19"/>
    </row>
    <row r="59" spans="1:27" ht="15" x14ac:dyDescent="0.25">
      <c r="A59" s="111">
        <v>10</v>
      </c>
      <c r="B59" s="86" t="s">
        <v>37</v>
      </c>
      <c r="C59" s="98"/>
      <c r="D59" s="102">
        <f>'Link in'!C17</f>
        <v>36</v>
      </c>
      <c r="E59" s="103"/>
      <c r="F59" s="121">
        <f>+'Link in'!C48</f>
        <v>624.5</v>
      </c>
      <c r="G59" s="98">
        <f t="shared" si="6"/>
        <v>22482</v>
      </c>
      <c r="H59" s="98"/>
      <c r="I59" s="102">
        <f t="shared" si="7"/>
        <v>36</v>
      </c>
      <c r="J59" s="103"/>
      <c r="K59" s="121">
        <f t="shared" si="8"/>
        <v>742.5</v>
      </c>
      <c r="L59" s="102">
        <f t="shared" si="9"/>
        <v>26730</v>
      </c>
      <c r="M59" s="98"/>
      <c r="N59" s="102">
        <f>'Link in'!M17</f>
        <v>36</v>
      </c>
      <c r="O59" s="99"/>
      <c r="P59" s="120">
        <f t="shared" si="10"/>
        <v>624.5</v>
      </c>
      <c r="Q59" s="98">
        <f t="shared" si="11"/>
        <v>22482</v>
      </c>
      <c r="R59" s="98"/>
      <c r="S59" s="98">
        <f t="shared" si="12"/>
        <v>36</v>
      </c>
      <c r="T59" s="103"/>
      <c r="U59" s="121">
        <f>'Link in'!J48</f>
        <v>742.5</v>
      </c>
      <c r="V59" s="98">
        <f t="shared" si="13"/>
        <v>26730</v>
      </c>
      <c r="W59" s="102"/>
      <c r="X59" s="98">
        <f t="shared" si="14"/>
        <v>4248</v>
      </c>
      <c r="Y59" s="103"/>
      <c r="Z59" s="119">
        <f t="shared" si="5"/>
        <v>0.189</v>
      </c>
      <c r="AA59" s="19"/>
    </row>
    <row r="60" spans="1:27" ht="15" x14ac:dyDescent="0.25">
      <c r="A60" s="111">
        <v>11</v>
      </c>
      <c r="B60" s="86" t="s">
        <v>38</v>
      </c>
      <c r="C60" s="98"/>
      <c r="D60" s="102">
        <f>'Link in'!C18</f>
        <v>31.999998488028272</v>
      </c>
      <c r="E60" s="103"/>
      <c r="F60" s="121">
        <f>+'Link in'!C49</f>
        <v>999.2</v>
      </c>
      <c r="G60" s="98">
        <f t="shared" si="6"/>
        <v>31974</v>
      </c>
      <c r="H60" s="98"/>
      <c r="I60" s="102">
        <f t="shared" si="7"/>
        <v>31.999998488028272</v>
      </c>
      <c r="J60" s="103"/>
      <c r="K60" s="121">
        <f t="shared" si="8"/>
        <v>1188</v>
      </c>
      <c r="L60" s="102">
        <f t="shared" si="9"/>
        <v>38016</v>
      </c>
      <c r="M60" s="98"/>
      <c r="N60" s="102">
        <f>'Link in'!M18</f>
        <v>12</v>
      </c>
      <c r="O60" s="99"/>
      <c r="P60" s="120">
        <f t="shared" si="10"/>
        <v>999.2</v>
      </c>
      <c r="Q60" s="98">
        <f t="shared" si="11"/>
        <v>11990</v>
      </c>
      <c r="R60" s="98"/>
      <c r="S60" s="98">
        <f t="shared" si="12"/>
        <v>12</v>
      </c>
      <c r="T60" s="103"/>
      <c r="U60" s="121">
        <f>'Link in'!J49</f>
        <v>1188</v>
      </c>
      <c r="V60" s="98">
        <f t="shared" si="13"/>
        <v>14256</v>
      </c>
      <c r="W60" s="102"/>
      <c r="X60" s="98">
        <f t="shared" si="14"/>
        <v>2266</v>
      </c>
      <c r="Y60" s="103"/>
      <c r="Z60" s="119">
        <f t="shared" si="5"/>
        <v>0.189</v>
      </c>
      <c r="AA60" s="19"/>
    </row>
    <row r="61" spans="1:27" ht="15" x14ac:dyDescent="0.25">
      <c r="A61" s="111">
        <v>12</v>
      </c>
      <c r="B61" s="86" t="s">
        <v>114</v>
      </c>
      <c r="C61" s="98"/>
      <c r="D61" s="102"/>
      <c r="E61" s="103"/>
      <c r="F61" s="121"/>
      <c r="G61" s="98"/>
      <c r="H61" s="98"/>
      <c r="I61" s="102"/>
      <c r="J61" s="103"/>
      <c r="K61" s="121"/>
      <c r="L61" s="102"/>
      <c r="M61" s="98"/>
      <c r="N61" s="98"/>
      <c r="O61" s="99"/>
      <c r="P61" s="120"/>
      <c r="Q61" s="120"/>
      <c r="R61" s="98"/>
      <c r="S61" s="98"/>
      <c r="T61" s="103"/>
      <c r="U61" s="121"/>
      <c r="V61" s="98"/>
      <c r="W61" s="102"/>
      <c r="X61" s="98">
        <f t="shared" si="14"/>
        <v>0</v>
      </c>
      <c r="Y61" s="103"/>
      <c r="Z61" s="119">
        <f t="shared" si="5"/>
        <v>0</v>
      </c>
      <c r="AA61" s="19"/>
    </row>
    <row r="62" spans="1:27" ht="15" x14ac:dyDescent="0.25">
      <c r="A62" s="111">
        <v>13</v>
      </c>
      <c r="B62" s="86"/>
      <c r="C62" s="98"/>
      <c r="D62" s="102"/>
      <c r="E62" s="103"/>
      <c r="F62" s="121"/>
      <c r="G62" s="98"/>
      <c r="H62" s="98"/>
      <c r="I62" s="102"/>
      <c r="J62" s="103"/>
      <c r="K62" s="121"/>
      <c r="L62" s="102"/>
      <c r="M62" s="98"/>
      <c r="N62" s="98"/>
      <c r="O62" s="99"/>
      <c r="P62" s="120"/>
      <c r="Q62" s="120"/>
      <c r="R62" s="98"/>
      <c r="S62" s="98"/>
      <c r="T62" s="103"/>
      <c r="U62" s="121"/>
      <c r="V62" s="98"/>
      <c r="W62" s="102"/>
      <c r="X62" s="118"/>
      <c r="Y62" s="103"/>
      <c r="Z62" s="119"/>
      <c r="AA62" s="19"/>
    </row>
    <row r="63" spans="1:27" ht="15" x14ac:dyDescent="0.25">
      <c r="A63" s="111">
        <v>14</v>
      </c>
      <c r="B63" s="86"/>
      <c r="C63" s="99"/>
      <c r="D63" s="103"/>
      <c r="E63" s="103"/>
      <c r="F63" s="103"/>
      <c r="G63" s="99"/>
      <c r="H63" s="99"/>
      <c r="I63" s="103"/>
      <c r="J63" s="103"/>
      <c r="K63" s="103"/>
      <c r="L63" s="103"/>
      <c r="M63" s="99"/>
      <c r="N63" s="99"/>
      <c r="O63" s="99"/>
      <c r="P63" s="99"/>
      <c r="Q63" s="99"/>
      <c r="R63" s="99"/>
      <c r="S63" s="99"/>
      <c r="T63" s="103"/>
      <c r="U63" s="103"/>
      <c r="V63" s="99"/>
      <c r="W63" s="103"/>
      <c r="X63" s="102"/>
      <c r="Y63" s="103"/>
      <c r="Z63" s="119"/>
      <c r="AA63" s="19"/>
    </row>
    <row r="64" spans="1:27" ht="15" x14ac:dyDescent="0.25">
      <c r="A64" s="111">
        <v>15</v>
      </c>
      <c r="B64" s="86"/>
      <c r="C64" s="86"/>
      <c r="D64" s="101"/>
      <c r="E64" s="101"/>
      <c r="F64" s="103"/>
      <c r="G64" s="86"/>
      <c r="H64" s="86"/>
      <c r="I64" s="101"/>
      <c r="J64" s="101"/>
      <c r="K64" s="103"/>
      <c r="L64" s="101"/>
      <c r="M64" s="86"/>
      <c r="N64" s="86"/>
      <c r="O64" s="86"/>
      <c r="P64" s="86"/>
      <c r="Q64" s="86"/>
      <c r="R64" s="86"/>
      <c r="S64" s="86"/>
      <c r="T64" s="101"/>
      <c r="U64" s="101"/>
      <c r="V64" s="86"/>
      <c r="W64" s="101"/>
      <c r="X64" s="101"/>
      <c r="Y64" s="101"/>
      <c r="Z64" s="101"/>
      <c r="AA64" s="19"/>
    </row>
    <row r="65" spans="1:27" ht="15" x14ac:dyDescent="0.25">
      <c r="A65" s="111">
        <v>16</v>
      </c>
      <c r="B65" s="117" t="s">
        <v>40</v>
      </c>
      <c r="C65" s="99"/>
      <c r="D65" s="103"/>
      <c r="E65" s="103"/>
      <c r="F65" s="103"/>
      <c r="G65" s="99"/>
      <c r="H65" s="99"/>
      <c r="I65" s="103"/>
      <c r="J65" s="103"/>
      <c r="K65" s="103"/>
      <c r="L65" s="103"/>
      <c r="M65" s="99"/>
      <c r="N65" s="99"/>
      <c r="O65" s="99"/>
      <c r="P65" s="99"/>
      <c r="Q65" s="99"/>
      <c r="R65" s="99"/>
      <c r="S65" s="99"/>
      <c r="T65" s="103"/>
      <c r="U65" s="103"/>
      <c r="V65" s="99"/>
      <c r="W65" s="103"/>
      <c r="X65" s="102"/>
      <c r="Y65" s="103"/>
      <c r="Z65" s="119"/>
      <c r="AA65" s="19"/>
    </row>
    <row r="66" spans="1:27" ht="15" x14ac:dyDescent="0.25">
      <c r="A66" s="111">
        <v>17</v>
      </c>
      <c r="B66" s="86" t="s">
        <v>41</v>
      </c>
      <c r="C66" s="104"/>
      <c r="D66" s="103"/>
      <c r="E66" s="102">
        <f>'Link in'!C23</f>
        <v>5731694.4440000001</v>
      </c>
      <c r="F66" s="151">
        <f>+'Link in'!C55</f>
        <v>5.3003999999999998</v>
      </c>
      <c r="G66" s="104">
        <f>ROUND((E66*F66),0)</f>
        <v>30380273</v>
      </c>
      <c r="H66" s="104"/>
      <c r="I66" s="103"/>
      <c r="J66" s="102">
        <f>E66</f>
        <v>5731694.4440000001</v>
      </c>
      <c r="K66" s="151">
        <f>U66</f>
        <v>6.4160000000000004</v>
      </c>
      <c r="L66" s="118">
        <f>ROUND((J66*K66),0)</f>
        <v>36774552</v>
      </c>
      <c r="M66" s="104"/>
      <c r="N66" s="99"/>
      <c r="O66" s="102">
        <f>'Link in'!M23</f>
        <v>5300511</v>
      </c>
      <c r="P66" s="152">
        <f>F66</f>
        <v>5.3003999999999998</v>
      </c>
      <c r="Q66" s="104">
        <f>ROUND((O66*P66),0)</f>
        <v>28094829</v>
      </c>
      <c r="R66" s="104"/>
      <c r="S66" s="99"/>
      <c r="T66" s="102">
        <f>O66</f>
        <v>5300511</v>
      </c>
      <c r="U66" s="151">
        <f>'Link in'!J55</f>
        <v>6.4160000000000004</v>
      </c>
      <c r="V66" s="104">
        <f>ROUND((T66*U66),0)</f>
        <v>34008079</v>
      </c>
      <c r="W66" s="102"/>
      <c r="X66" s="104">
        <f t="shared" ref="X66:X72" si="15">+V66-Q66</f>
        <v>5913250</v>
      </c>
      <c r="Y66" s="103"/>
      <c r="Z66" s="119">
        <f t="shared" ref="Z66:Z74" si="16">IF(Q66=0,0,ROUND((X66/Q66),4))</f>
        <v>0.21049999999999999</v>
      </c>
      <c r="AA66" s="19"/>
    </row>
    <row r="67" spans="1:27" ht="15" x14ac:dyDescent="0.25">
      <c r="A67" s="111">
        <v>18</v>
      </c>
      <c r="B67" s="86" t="s">
        <v>42</v>
      </c>
      <c r="C67" s="98"/>
      <c r="D67" s="101"/>
      <c r="E67" s="102">
        <f>'Link in'!C24</f>
        <v>0</v>
      </c>
      <c r="F67" s="129">
        <f>+'Link in'!C56</f>
        <v>0</v>
      </c>
      <c r="G67" s="98">
        <f>ROUND((E67*F67),0)</f>
        <v>0</v>
      </c>
      <c r="H67" s="98"/>
      <c r="I67" s="101"/>
      <c r="J67" s="102">
        <f t="shared" ref="J67:J72" si="17">E67</f>
        <v>0</v>
      </c>
      <c r="K67" s="129">
        <f t="shared" ref="K67:K71" si="18">U67</f>
        <v>0</v>
      </c>
      <c r="L67" s="102">
        <f>ROUND((J67*K67),0)</f>
        <v>0</v>
      </c>
      <c r="M67" s="98"/>
      <c r="N67" s="86"/>
      <c r="O67" s="102">
        <f>'Link in'!M24</f>
        <v>0</v>
      </c>
      <c r="P67" s="153">
        <f t="shared" ref="P67:P71" si="19">F67</f>
        <v>0</v>
      </c>
      <c r="Q67" s="98">
        <f>ROUND((O67*P67),0)</f>
        <v>0</v>
      </c>
      <c r="R67" s="98"/>
      <c r="S67" s="86"/>
      <c r="T67" s="102">
        <f t="shared" ref="T67:T71" si="20">O67</f>
        <v>0</v>
      </c>
      <c r="U67" s="129">
        <f>'Link in'!J56</f>
        <v>0</v>
      </c>
      <c r="V67" s="98">
        <f>ROUND((T67*U67),0)</f>
        <v>0</v>
      </c>
      <c r="W67" s="102"/>
      <c r="X67" s="98">
        <f t="shared" si="15"/>
        <v>0</v>
      </c>
      <c r="Y67" s="101"/>
      <c r="Z67" s="119">
        <f t="shared" si="16"/>
        <v>0</v>
      </c>
      <c r="AA67" s="19"/>
    </row>
    <row r="68" spans="1:27" ht="15" x14ac:dyDescent="0.25">
      <c r="A68" s="111">
        <v>19</v>
      </c>
      <c r="B68" s="86" t="s">
        <v>43</v>
      </c>
      <c r="C68" s="98"/>
      <c r="D68" s="101"/>
      <c r="E68" s="102">
        <f>'Link in'!C25</f>
        <v>0</v>
      </c>
      <c r="F68" s="129">
        <f>+'Link in'!C57</f>
        <v>0</v>
      </c>
      <c r="G68" s="98">
        <f>ROUND((E68*F68),0)</f>
        <v>0</v>
      </c>
      <c r="H68" s="98"/>
      <c r="I68" s="101"/>
      <c r="J68" s="102">
        <f t="shared" si="17"/>
        <v>0</v>
      </c>
      <c r="K68" s="129">
        <f t="shared" si="18"/>
        <v>0</v>
      </c>
      <c r="L68" s="102">
        <f>ROUND((J68*K68),0)</f>
        <v>0</v>
      </c>
      <c r="M68" s="98"/>
      <c r="N68" s="86"/>
      <c r="O68" s="102">
        <f>'Link in'!M25</f>
        <v>0</v>
      </c>
      <c r="P68" s="153">
        <f t="shared" si="19"/>
        <v>0</v>
      </c>
      <c r="Q68" s="98">
        <f>ROUND((O68*P68),0)</f>
        <v>0</v>
      </c>
      <c r="R68" s="98"/>
      <c r="S68" s="86"/>
      <c r="T68" s="102">
        <f t="shared" si="20"/>
        <v>0</v>
      </c>
      <c r="U68" s="129">
        <f>'Link in'!J57</f>
        <v>0</v>
      </c>
      <c r="V68" s="98">
        <f>ROUND((T68*U68),0)</f>
        <v>0</v>
      </c>
      <c r="W68" s="102"/>
      <c r="X68" s="98">
        <f>+V68-Q68</f>
        <v>0</v>
      </c>
      <c r="Y68" s="101"/>
      <c r="Z68" s="119">
        <f t="shared" si="16"/>
        <v>0</v>
      </c>
      <c r="AA68" s="19"/>
    </row>
    <row r="69" spans="1:27" ht="15" x14ac:dyDescent="0.25">
      <c r="A69" s="111">
        <v>20</v>
      </c>
      <c r="B69" s="86" t="s">
        <v>44</v>
      </c>
      <c r="C69" s="98"/>
      <c r="D69" s="101"/>
      <c r="E69" s="102">
        <f>'Link in'!C26</f>
        <v>0</v>
      </c>
      <c r="F69" s="129">
        <f>+'Link in'!C58</f>
        <v>0</v>
      </c>
      <c r="G69" s="98">
        <f>ROUND((E69*F69),0)</f>
        <v>0</v>
      </c>
      <c r="H69" s="98"/>
      <c r="I69" s="101"/>
      <c r="J69" s="102">
        <f t="shared" si="17"/>
        <v>0</v>
      </c>
      <c r="K69" s="129">
        <f t="shared" si="18"/>
        <v>0</v>
      </c>
      <c r="L69" s="102">
        <f>ROUND((J69*K69),0)</f>
        <v>0</v>
      </c>
      <c r="M69" s="98"/>
      <c r="N69" s="86"/>
      <c r="O69" s="102">
        <f>'Link in'!M26</f>
        <v>0</v>
      </c>
      <c r="P69" s="153">
        <f t="shared" si="19"/>
        <v>0</v>
      </c>
      <c r="Q69" s="98">
        <f>ROUND((O69*P69),0)</f>
        <v>0</v>
      </c>
      <c r="R69" s="98"/>
      <c r="S69" s="86"/>
      <c r="T69" s="102">
        <f t="shared" si="20"/>
        <v>0</v>
      </c>
      <c r="U69" s="129">
        <f>'Link in'!J58</f>
        <v>0</v>
      </c>
      <c r="V69" s="98">
        <f>ROUND((T69*U69),0)</f>
        <v>0</v>
      </c>
      <c r="W69" s="102"/>
      <c r="X69" s="98">
        <f t="shared" si="15"/>
        <v>0</v>
      </c>
      <c r="Y69" s="101"/>
      <c r="Z69" s="119">
        <f t="shared" si="16"/>
        <v>0</v>
      </c>
      <c r="AA69" s="19"/>
    </row>
    <row r="70" spans="1:27" ht="15" x14ac:dyDescent="0.25">
      <c r="A70" s="111">
        <v>21</v>
      </c>
      <c r="B70" s="86" t="s">
        <v>96</v>
      </c>
      <c r="C70" s="86"/>
      <c r="D70" s="101"/>
      <c r="E70" s="102">
        <f>'Link in'!C27</f>
        <v>0</v>
      </c>
      <c r="F70" s="129">
        <f>+'Link in'!C59</f>
        <v>0</v>
      </c>
      <c r="G70" s="98">
        <f t="shared" ref="G70:G71" si="21">ROUND((E70*F70),0)</f>
        <v>0</v>
      </c>
      <c r="H70" s="98"/>
      <c r="I70" s="101"/>
      <c r="J70" s="102">
        <f t="shared" si="17"/>
        <v>0</v>
      </c>
      <c r="K70" s="129">
        <f t="shared" si="18"/>
        <v>0</v>
      </c>
      <c r="L70" s="102">
        <f t="shared" ref="L70:L71" si="22">ROUND((J70*K70),0)</f>
        <v>0</v>
      </c>
      <c r="M70" s="86"/>
      <c r="N70" s="86"/>
      <c r="O70" s="102">
        <f>'Link in'!M27</f>
        <v>0</v>
      </c>
      <c r="P70" s="153">
        <f t="shared" si="19"/>
        <v>0</v>
      </c>
      <c r="Q70" s="98">
        <f t="shared" ref="Q70:Q71" si="23">ROUND((O70*P70),0)</f>
        <v>0</v>
      </c>
      <c r="R70" s="86"/>
      <c r="S70" s="86"/>
      <c r="T70" s="102">
        <f t="shared" si="20"/>
        <v>0</v>
      </c>
      <c r="U70" s="129">
        <f>'Link in'!J59</f>
        <v>0</v>
      </c>
      <c r="V70" s="98">
        <f t="shared" ref="V70:V71" si="24">ROUND((T70*U70),0)</f>
        <v>0</v>
      </c>
      <c r="W70" s="101"/>
      <c r="X70" s="98">
        <f t="shared" si="15"/>
        <v>0</v>
      </c>
      <c r="Y70" s="101"/>
      <c r="Z70" s="119">
        <f t="shared" si="16"/>
        <v>0</v>
      </c>
      <c r="AA70" s="19"/>
    </row>
    <row r="71" spans="1:27" ht="15" x14ac:dyDescent="0.25">
      <c r="A71" s="111">
        <v>22</v>
      </c>
      <c r="B71" s="86" t="s">
        <v>102</v>
      </c>
      <c r="C71" s="86"/>
      <c r="D71" s="101"/>
      <c r="E71" s="102">
        <f>'Link in'!C28</f>
        <v>0</v>
      </c>
      <c r="F71" s="129">
        <f>+'Link in'!C60</f>
        <v>0</v>
      </c>
      <c r="G71" s="98">
        <f t="shared" si="21"/>
        <v>0</v>
      </c>
      <c r="H71" s="98"/>
      <c r="I71" s="101"/>
      <c r="J71" s="102">
        <f t="shared" si="17"/>
        <v>0</v>
      </c>
      <c r="K71" s="129">
        <f t="shared" si="18"/>
        <v>0</v>
      </c>
      <c r="L71" s="102">
        <f t="shared" si="22"/>
        <v>0</v>
      </c>
      <c r="M71" s="86"/>
      <c r="N71" s="86"/>
      <c r="O71" s="102">
        <f>'Link in'!M28</f>
        <v>0</v>
      </c>
      <c r="P71" s="153">
        <f t="shared" si="19"/>
        <v>0</v>
      </c>
      <c r="Q71" s="98">
        <f t="shared" si="23"/>
        <v>0</v>
      </c>
      <c r="R71" s="86"/>
      <c r="S71" s="86"/>
      <c r="T71" s="102">
        <f t="shared" si="20"/>
        <v>0</v>
      </c>
      <c r="U71" s="129">
        <f>'Link in'!J60</f>
        <v>0</v>
      </c>
      <c r="V71" s="98">
        <f t="shared" si="24"/>
        <v>0</v>
      </c>
      <c r="W71" s="101"/>
      <c r="X71" s="98">
        <f t="shared" si="15"/>
        <v>0</v>
      </c>
      <c r="Y71" s="101"/>
      <c r="Z71" s="119">
        <f t="shared" si="16"/>
        <v>0</v>
      </c>
      <c r="AA71" s="96"/>
    </row>
    <row r="72" spans="1:27" ht="15" x14ac:dyDescent="0.25">
      <c r="A72" s="111">
        <v>23</v>
      </c>
      <c r="B72" s="101" t="s">
        <v>109</v>
      </c>
      <c r="C72" s="130"/>
      <c r="D72" s="101"/>
      <c r="E72" s="101">
        <f>'Link in'!C32</f>
        <v>30375.671999999904</v>
      </c>
      <c r="F72" s="129"/>
      <c r="G72" s="130">
        <f>'Link in'!C34</f>
        <v>-124165.60642608817</v>
      </c>
      <c r="H72" s="130"/>
      <c r="I72" s="101"/>
      <c r="J72" s="102">
        <f t="shared" si="17"/>
        <v>30375.671999999904</v>
      </c>
      <c r="K72" s="151"/>
      <c r="L72" s="130">
        <f>G72</f>
        <v>-124165.60642608817</v>
      </c>
      <c r="M72" s="130"/>
      <c r="N72" s="101"/>
      <c r="O72" s="101"/>
      <c r="P72" s="113"/>
      <c r="Q72" s="130">
        <f>+'Link in'!M34</f>
        <v>0</v>
      </c>
      <c r="R72" s="130"/>
      <c r="S72" s="101"/>
      <c r="T72" s="101">
        <f>O72</f>
        <v>0</v>
      </c>
      <c r="U72" s="113"/>
      <c r="V72" s="130">
        <f>Q72</f>
        <v>0</v>
      </c>
      <c r="W72" s="130"/>
      <c r="X72" s="130">
        <f t="shared" si="15"/>
        <v>0</v>
      </c>
      <c r="Y72" s="101"/>
      <c r="Z72" s="119">
        <f t="shared" si="16"/>
        <v>0</v>
      </c>
      <c r="AA72" s="19"/>
    </row>
    <row r="73" spans="1:27" ht="15" x14ac:dyDescent="0.25">
      <c r="A73" s="111">
        <v>24</v>
      </c>
      <c r="B73" s="86"/>
      <c r="C73" s="140"/>
      <c r="D73" s="86"/>
      <c r="E73" s="86"/>
      <c r="F73" s="140"/>
      <c r="G73" s="140"/>
      <c r="H73" s="140"/>
      <c r="I73" s="101"/>
      <c r="J73" s="101"/>
      <c r="K73" s="131"/>
      <c r="L73" s="131"/>
      <c r="M73" s="140"/>
      <c r="N73" s="86"/>
      <c r="O73" s="86"/>
      <c r="P73" s="140"/>
      <c r="Q73" s="140"/>
      <c r="R73" s="140"/>
      <c r="S73" s="86"/>
      <c r="T73" s="86"/>
      <c r="U73" s="140"/>
      <c r="V73" s="140"/>
      <c r="W73" s="131"/>
      <c r="X73" s="102"/>
      <c r="Y73" s="101"/>
      <c r="Z73" s="119"/>
      <c r="AA73" s="19"/>
    </row>
    <row r="74" spans="1:27" ht="15.75" thickBot="1" x14ac:dyDescent="0.3">
      <c r="A74" s="111">
        <v>25</v>
      </c>
      <c r="B74" s="86" t="s">
        <v>1</v>
      </c>
      <c r="C74" s="144"/>
      <c r="D74" s="154"/>
      <c r="E74" s="155">
        <f>SUM(E66:E73)</f>
        <v>5762070.1160000004</v>
      </c>
      <c r="F74" s="144"/>
      <c r="G74" s="156">
        <f>SUM(G52:G73)</f>
        <v>48233822.39357391</v>
      </c>
      <c r="H74" s="144"/>
      <c r="I74" s="157"/>
      <c r="J74" s="158">
        <f>SUM(J66:J73)</f>
        <v>5762070.1160000004</v>
      </c>
      <c r="K74" s="133"/>
      <c r="L74" s="159">
        <f>SUM(L52:L73)</f>
        <v>58024315.39357391</v>
      </c>
      <c r="M74" s="144"/>
      <c r="N74" s="154"/>
      <c r="O74" s="155">
        <f>SUM(O66:O73)</f>
        <v>5300511</v>
      </c>
      <c r="P74" s="144"/>
      <c r="Q74" s="156">
        <f>SUM(Q52:Q73)</f>
        <v>46141664</v>
      </c>
      <c r="R74" s="144"/>
      <c r="S74" s="154"/>
      <c r="T74" s="155">
        <f>SUM(T66:T73)</f>
        <v>5300511</v>
      </c>
      <c r="U74" s="144"/>
      <c r="V74" s="156">
        <f>SUM(V52:V73)</f>
        <v>55464217</v>
      </c>
      <c r="W74" s="133"/>
      <c r="X74" s="159">
        <f>SUM(X52:X73)</f>
        <v>9322553</v>
      </c>
      <c r="Y74" s="101"/>
      <c r="Z74" s="143">
        <f t="shared" si="16"/>
        <v>0.20200000000000001</v>
      </c>
      <c r="AA74" s="19"/>
    </row>
    <row r="75" spans="1:27" ht="15.75" thickTop="1" x14ac:dyDescent="0.25">
      <c r="A75" s="111"/>
      <c r="B75" s="86"/>
      <c r="C75" s="98"/>
      <c r="D75" s="86"/>
      <c r="E75" s="86"/>
      <c r="F75" s="138"/>
      <c r="G75" s="98"/>
      <c r="H75" s="98"/>
      <c r="I75" s="98"/>
      <c r="J75" s="98"/>
      <c r="K75" s="98"/>
      <c r="L75" s="98"/>
      <c r="M75" s="98"/>
      <c r="N75" s="98"/>
      <c r="O75" s="86"/>
      <c r="P75" s="138"/>
      <c r="Q75" s="98"/>
      <c r="R75" s="98"/>
      <c r="S75" s="86"/>
      <c r="T75" s="86"/>
      <c r="U75" s="138"/>
      <c r="V75" s="98"/>
      <c r="W75" s="101"/>
      <c r="X75" s="102"/>
      <c r="Y75" s="101"/>
      <c r="Z75" s="119"/>
      <c r="AA75" s="19"/>
    </row>
    <row r="76" spans="1:27" ht="15" x14ac:dyDescent="0.25">
      <c r="A76" s="111"/>
      <c r="B76" s="86"/>
      <c r="C76" s="98"/>
      <c r="D76" s="111"/>
      <c r="E76" s="86"/>
      <c r="F76" s="138"/>
      <c r="G76" s="98"/>
      <c r="H76" s="98"/>
      <c r="I76" s="98"/>
      <c r="J76" s="98"/>
      <c r="K76" s="98"/>
      <c r="L76" s="98"/>
      <c r="M76" s="98"/>
      <c r="N76" s="98"/>
      <c r="O76" s="86"/>
      <c r="P76" s="138"/>
      <c r="Q76" s="98"/>
      <c r="R76" s="98"/>
      <c r="S76" s="111"/>
      <c r="T76" s="86"/>
      <c r="U76" s="138"/>
      <c r="V76" s="98"/>
      <c r="W76" s="101"/>
      <c r="X76" s="102"/>
      <c r="Y76" s="101"/>
      <c r="Z76" s="119"/>
      <c r="AA76" s="19"/>
    </row>
    <row r="77" spans="1:27" ht="15" x14ac:dyDescent="0.25">
      <c r="A77" s="111"/>
      <c r="B77" s="86"/>
      <c r="C77" s="86"/>
      <c r="D77" s="86"/>
      <c r="E77" s="86"/>
      <c r="F77" s="160"/>
      <c r="G77" s="86"/>
      <c r="H77" s="86"/>
      <c r="I77" s="86"/>
      <c r="J77" s="86"/>
      <c r="K77" s="86"/>
      <c r="L77" s="86"/>
      <c r="M77" s="86"/>
      <c r="N77" s="86"/>
      <c r="O77" s="86"/>
      <c r="P77" s="160"/>
      <c r="Q77" s="86"/>
      <c r="R77" s="86"/>
      <c r="S77" s="86"/>
      <c r="T77" s="86"/>
      <c r="U77" s="160"/>
      <c r="V77" s="86"/>
      <c r="W77" s="101"/>
      <c r="X77" s="102"/>
      <c r="Y77" s="101"/>
      <c r="Z77" s="119"/>
      <c r="AA77" s="19"/>
    </row>
    <row r="78" spans="1:27" ht="15" x14ac:dyDescent="0.25">
      <c r="A78" s="111"/>
      <c r="B78" s="86"/>
      <c r="C78" s="86"/>
      <c r="D78" s="86"/>
      <c r="E78" s="86"/>
      <c r="F78" s="160"/>
      <c r="G78" s="86"/>
      <c r="H78" s="86"/>
      <c r="I78" s="86"/>
      <c r="J78" s="86"/>
      <c r="K78" s="86"/>
      <c r="L78" s="86"/>
      <c r="M78" s="86"/>
      <c r="N78" s="86"/>
      <c r="O78" s="86"/>
      <c r="P78" s="160"/>
      <c r="Q78" s="86"/>
      <c r="R78" s="86"/>
      <c r="S78" s="86"/>
      <c r="T78" s="86"/>
      <c r="U78" s="160"/>
      <c r="V78" s="86"/>
      <c r="W78" s="101"/>
      <c r="X78" s="102"/>
      <c r="Y78" s="101"/>
      <c r="Z78" s="119"/>
      <c r="AA78" s="19"/>
    </row>
    <row r="79" spans="1:27" ht="15" x14ac:dyDescent="0.25">
      <c r="A79" s="326" t="str">
        <f>A40</f>
        <v>Kentucky American Water Company</v>
      </c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</row>
    <row r="80" spans="1:27" ht="15" x14ac:dyDescent="0.25">
      <c r="A80" s="326" t="s">
        <v>77</v>
      </c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</row>
    <row r="81" spans="1:26" ht="15" x14ac:dyDescent="0.25">
      <c r="A81" s="326" t="str">
        <f>A42</f>
        <v>Case No. 2015-00418</v>
      </c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</row>
    <row r="82" spans="1:26" ht="15" x14ac:dyDescent="0.25">
      <c r="A82" s="326" t="str">
        <f>A43</f>
        <v>Base Year for the 12 Months Ended April 30, 2016 and Forecast Year for the 12 Months Ended August 31, 2017</v>
      </c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</row>
    <row r="83" spans="1:26" ht="15" x14ac:dyDescent="0.25">
      <c r="A83" s="116" t="str">
        <f>A44</f>
        <v>Witness Responsible:   Linda Bridwell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101"/>
      <c r="X83" s="101"/>
      <c r="Y83" s="101"/>
      <c r="Z83" s="106" t="str">
        <f>Z44</f>
        <v>Exhibit 37, Schedule M-3</v>
      </c>
    </row>
    <row r="84" spans="1:26" ht="15" x14ac:dyDescent="0.25">
      <c r="A84" s="146" t="str">
        <f>A45</f>
        <v/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08"/>
      <c r="X84" s="108"/>
      <c r="Y84" s="108"/>
      <c r="Z84" s="148" t="e">
        <f ca="1">Z45</f>
        <v>#VALUE!</v>
      </c>
    </row>
    <row r="85" spans="1:26" ht="15" x14ac:dyDescent="0.25">
      <c r="A85" s="86"/>
      <c r="B85" s="86"/>
      <c r="C85" s="111"/>
      <c r="D85" s="319" t="s">
        <v>177</v>
      </c>
      <c r="E85" s="319" t="s">
        <v>97</v>
      </c>
      <c r="F85" s="319"/>
      <c r="G85" s="319"/>
      <c r="H85" s="111"/>
      <c r="I85" s="325" t="s">
        <v>176</v>
      </c>
      <c r="J85" s="325" t="s">
        <v>97</v>
      </c>
      <c r="K85" s="325"/>
      <c r="L85" s="325"/>
      <c r="M85" s="111"/>
      <c r="N85" s="319" t="s">
        <v>121</v>
      </c>
      <c r="O85" s="319" t="s">
        <v>98</v>
      </c>
      <c r="P85" s="319"/>
      <c r="Q85" s="319"/>
      <c r="R85" s="111"/>
      <c r="S85" s="319" t="s">
        <v>122</v>
      </c>
      <c r="T85" s="319" t="s">
        <v>99</v>
      </c>
      <c r="U85" s="319"/>
      <c r="V85" s="319"/>
      <c r="W85" s="112"/>
      <c r="X85" s="112"/>
      <c r="Y85" s="101"/>
      <c r="Z85" s="101"/>
    </row>
    <row r="86" spans="1:26" ht="15" x14ac:dyDescent="0.25">
      <c r="A86" s="86"/>
      <c r="B86" s="86"/>
      <c r="C86" s="111"/>
      <c r="D86" s="111" t="s">
        <v>27</v>
      </c>
      <c r="E86" s="111"/>
      <c r="F86" s="111"/>
      <c r="G86" s="111"/>
      <c r="H86" s="111"/>
      <c r="I86" s="113" t="s">
        <v>27</v>
      </c>
      <c r="J86" s="113"/>
      <c r="K86" s="113"/>
      <c r="L86" s="113"/>
      <c r="M86" s="111"/>
      <c r="N86" s="111" t="s">
        <v>27</v>
      </c>
      <c r="O86" s="111"/>
      <c r="P86" s="111"/>
      <c r="Q86" s="111"/>
      <c r="R86" s="111"/>
      <c r="S86" s="111" t="s">
        <v>27</v>
      </c>
      <c r="T86" s="111"/>
      <c r="U86" s="111"/>
      <c r="V86" s="111"/>
      <c r="W86" s="113"/>
      <c r="X86" s="113"/>
      <c r="Y86" s="101"/>
      <c r="Z86" s="101"/>
    </row>
    <row r="87" spans="1:26" ht="15" x14ac:dyDescent="0.25">
      <c r="A87" s="86"/>
      <c r="B87" s="111" t="s">
        <v>24</v>
      </c>
      <c r="C87" s="111"/>
      <c r="D87" s="111" t="s">
        <v>28</v>
      </c>
      <c r="E87" s="111" t="s">
        <v>39</v>
      </c>
      <c r="F87" s="111" t="s">
        <v>45</v>
      </c>
      <c r="G87" s="111" t="s">
        <v>1</v>
      </c>
      <c r="H87" s="111"/>
      <c r="I87" s="113" t="s">
        <v>28</v>
      </c>
      <c r="J87" s="113" t="s">
        <v>39</v>
      </c>
      <c r="K87" s="113" t="s">
        <v>178</v>
      </c>
      <c r="L87" s="113" t="s">
        <v>1</v>
      </c>
      <c r="M87" s="111"/>
      <c r="N87" s="111" t="s">
        <v>28</v>
      </c>
      <c r="O87" s="111" t="s">
        <v>39</v>
      </c>
      <c r="P87" s="111" t="s">
        <v>45</v>
      </c>
      <c r="Q87" s="111" t="s">
        <v>1</v>
      </c>
      <c r="R87" s="111"/>
      <c r="S87" s="111" t="s">
        <v>28</v>
      </c>
      <c r="T87" s="111" t="s">
        <v>39</v>
      </c>
      <c r="U87" s="111" t="s">
        <v>73</v>
      </c>
      <c r="V87" s="111" t="s">
        <v>1</v>
      </c>
      <c r="W87" s="113"/>
      <c r="X87" s="113" t="s">
        <v>51</v>
      </c>
      <c r="Y87" s="101"/>
      <c r="Z87" s="113" t="s">
        <v>53</v>
      </c>
    </row>
    <row r="88" spans="1:26" ht="15" x14ac:dyDescent="0.25">
      <c r="A88" s="114" t="s">
        <v>0</v>
      </c>
      <c r="B88" s="114" t="s">
        <v>2</v>
      </c>
      <c r="C88" s="111"/>
      <c r="D88" s="114" t="s">
        <v>29</v>
      </c>
      <c r="E88" s="114" t="str">
        <f>E49</f>
        <v>('000 Gal)</v>
      </c>
      <c r="F88" s="114" t="s">
        <v>46</v>
      </c>
      <c r="G88" s="114" t="s">
        <v>47</v>
      </c>
      <c r="H88" s="111"/>
      <c r="I88" s="115" t="s">
        <v>29</v>
      </c>
      <c r="J88" s="115" t="str">
        <f>J49</f>
        <v>('000 Gal)</v>
      </c>
      <c r="K88" s="115" t="s">
        <v>46</v>
      </c>
      <c r="L88" s="115" t="s">
        <v>47</v>
      </c>
      <c r="M88" s="111"/>
      <c r="N88" s="114" t="s">
        <v>29</v>
      </c>
      <c r="O88" s="114" t="str">
        <f>E88</f>
        <v>('000 Gal)</v>
      </c>
      <c r="P88" s="114" t="s">
        <v>46</v>
      </c>
      <c r="Q88" s="114" t="s">
        <v>47</v>
      </c>
      <c r="R88" s="111"/>
      <c r="S88" s="114" t="s">
        <v>29</v>
      </c>
      <c r="T88" s="114" t="str">
        <f>O88</f>
        <v>('000 Gal)</v>
      </c>
      <c r="U88" s="114" t="s">
        <v>46</v>
      </c>
      <c r="V88" s="114" t="s">
        <v>47</v>
      </c>
      <c r="W88" s="113"/>
      <c r="X88" s="115" t="s">
        <v>52</v>
      </c>
      <c r="Y88" s="101"/>
      <c r="Z88" s="115" t="s">
        <v>52</v>
      </c>
    </row>
    <row r="89" spans="1:26" ht="15" x14ac:dyDescent="0.25">
      <c r="A89" s="111">
        <v>1</v>
      </c>
      <c r="B89" s="116" t="s">
        <v>54</v>
      </c>
      <c r="C89" s="111"/>
      <c r="D89" s="86"/>
      <c r="E89" s="111"/>
      <c r="F89" s="111"/>
      <c r="G89" s="111"/>
      <c r="H89" s="111"/>
      <c r="I89" s="113"/>
      <c r="J89" s="113"/>
      <c r="K89" s="113"/>
      <c r="L89" s="113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3"/>
      <c r="X89" s="113"/>
      <c r="Y89" s="101"/>
      <c r="Z89" s="113"/>
    </row>
    <row r="90" spans="1:26" ht="15" x14ac:dyDescent="0.25">
      <c r="A90" s="111">
        <v>2</v>
      </c>
      <c r="B90" s="117" t="s">
        <v>26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101"/>
      <c r="X90" s="101"/>
      <c r="Y90" s="101"/>
      <c r="Z90" s="101"/>
    </row>
    <row r="91" spans="1:26" ht="15" x14ac:dyDescent="0.25">
      <c r="A91" s="111">
        <v>3</v>
      </c>
      <c r="B91" s="86" t="s">
        <v>30</v>
      </c>
      <c r="C91" s="104"/>
      <c r="D91" s="102">
        <f>'Link in'!D10</f>
        <v>54822.824504633907</v>
      </c>
      <c r="E91" s="103"/>
      <c r="F91" s="149">
        <f>'Link in'!D41</f>
        <v>12.49</v>
      </c>
      <c r="G91" s="118">
        <f>ROUND((D91*F91),0)</f>
        <v>684737</v>
      </c>
      <c r="H91" s="104"/>
      <c r="I91" s="102">
        <f>D91</f>
        <v>54822.824504633907</v>
      </c>
      <c r="J91" s="103"/>
      <c r="K91" s="149">
        <f>U91</f>
        <v>14.85</v>
      </c>
      <c r="L91" s="118">
        <f>ROUND((I91*K91),0)</f>
        <v>814119</v>
      </c>
      <c r="M91" s="104"/>
      <c r="N91" s="102">
        <f>'Link in'!N10</f>
        <v>55013</v>
      </c>
      <c r="O91" s="103"/>
      <c r="P91" s="150">
        <f>F91</f>
        <v>12.49</v>
      </c>
      <c r="Q91" s="104">
        <f>ROUND((N91*P91),0)</f>
        <v>687112</v>
      </c>
      <c r="R91" s="104"/>
      <c r="S91" s="98">
        <f>N91</f>
        <v>55013</v>
      </c>
      <c r="T91" s="99"/>
      <c r="U91" s="149">
        <f>'Link in'!K41</f>
        <v>14.85</v>
      </c>
      <c r="V91" s="104">
        <f>ROUND((S91*U91),0)</f>
        <v>816943</v>
      </c>
      <c r="W91" s="118"/>
      <c r="X91" s="104">
        <f>+V91-Q91</f>
        <v>129831</v>
      </c>
      <c r="Y91" s="103"/>
      <c r="Z91" s="119">
        <f t="shared" ref="Z91:Z100" si="25">IF(Q91=0,0,ROUND((X91/Q91),4))</f>
        <v>0.189</v>
      </c>
    </row>
    <row r="92" spans="1:26" ht="15" x14ac:dyDescent="0.25">
      <c r="A92" s="111">
        <v>4</v>
      </c>
      <c r="B92" s="86" t="s">
        <v>31</v>
      </c>
      <c r="C92" s="98"/>
      <c r="D92" s="102">
        <f>'Link in'!D11</f>
        <v>11.361792956243329</v>
      </c>
      <c r="E92" s="103"/>
      <c r="F92" s="121">
        <f>'Link in'!D42</f>
        <v>18.739999999999998</v>
      </c>
      <c r="G92" s="102">
        <f t="shared" ref="G92:G99" si="26">ROUND((D92*F92),0)</f>
        <v>213</v>
      </c>
      <c r="H92" s="98"/>
      <c r="I92" s="102">
        <f t="shared" ref="I92:I99" si="27">D92</f>
        <v>11.361792956243329</v>
      </c>
      <c r="J92" s="103"/>
      <c r="K92" s="121">
        <f t="shared" ref="K92:K99" si="28">U92</f>
        <v>22.3</v>
      </c>
      <c r="L92" s="102">
        <f t="shared" ref="L92:L99" si="29">ROUND((I92*K92),0)</f>
        <v>253</v>
      </c>
      <c r="M92" s="98"/>
      <c r="N92" s="102">
        <f>'Link in'!N11</f>
        <v>12</v>
      </c>
      <c r="O92" s="103"/>
      <c r="P92" s="120">
        <f t="shared" ref="P92:P99" si="30">F92</f>
        <v>18.739999999999998</v>
      </c>
      <c r="Q92" s="98">
        <f t="shared" ref="Q92:Q99" si="31">ROUND((N92*P92),0)</f>
        <v>225</v>
      </c>
      <c r="R92" s="98"/>
      <c r="S92" s="98">
        <f t="shared" ref="S92:S99" si="32">N92</f>
        <v>12</v>
      </c>
      <c r="T92" s="99"/>
      <c r="U92" s="121">
        <f>'Link in'!K42</f>
        <v>22.3</v>
      </c>
      <c r="V92" s="98">
        <f t="shared" ref="V92:V99" si="33">ROUND((S92*U92),0)</f>
        <v>268</v>
      </c>
      <c r="W92" s="102"/>
      <c r="X92" s="98">
        <f t="shared" ref="X92:X100" si="34">+V92-Q92</f>
        <v>43</v>
      </c>
      <c r="Y92" s="103"/>
      <c r="Z92" s="119">
        <f t="shared" si="25"/>
        <v>0.19109999999999999</v>
      </c>
    </row>
    <row r="93" spans="1:26" ht="15" x14ac:dyDescent="0.25">
      <c r="A93" s="111">
        <v>5</v>
      </c>
      <c r="B93" s="86" t="s">
        <v>32</v>
      </c>
      <c r="C93" s="98"/>
      <c r="D93" s="102">
        <f>'Link in'!D12</f>
        <v>30530.478947175696</v>
      </c>
      <c r="E93" s="103"/>
      <c r="F93" s="121">
        <f>'Link in'!D43</f>
        <v>31.23</v>
      </c>
      <c r="G93" s="102">
        <f t="shared" si="26"/>
        <v>953467</v>
      </c>
      <c r="H93" s="98"/>
      <c r="I93" s="102">
        <f t="shared" si="27"/>
        <v>30530.478947175696</v>
      </c>
      <c r="J93" s="103"/>
      <c r="K93" s="121">
        <f t="shared" si="28"/>
        <v>37.1</v>
      </c>
      <c r="L93" s="102">
        <f t="shared" si="29"/>
        <v>1132681</v>
      </c>
      <c r="M93" s="98"/>
      <c r="N93" s="102">
        <f>'Link in'!N12</f>
        <v>28522</v>
      </c>
      <c r="O93" s="103"/>
      <c r="P93" s="120">
        <f t="shared" si="30"/>
        <v>31.23</v>
      </c>
      <c r="Q93" s="98">
        <f t="shared" si="31"/>
        <v>890742</v>
      </c>
      <c r="R93" s="98"/>
      <c r="S93" s="98">
        <f t="shared" si="32"/>
        <v>28522</v>
      </c>
      <c r="T93" s="99"/>
      <c r="U93" s="121">
        <f>'Link in'!K43</f>
        <v>37.1</v>
      </c>
      <c r="V93" s="98">
        <f t="shared" si="33"/>
        <v>1058166</v>
      </c>
      <c r="W93" s="102"/>
      <c r="X93" s="98">
        <f t="shared" si="34"/>
        <v>167424</v>
      </c>
      <c r="Y93" s="103"/>
      <c r="Z93" s="119">
        <f t="shared" si="25"/>
        <v>0.188</v>
      </c>
    </row>
    <row r="94" spans="1:26" ht="15" x14ac:dyDescent="0.25">
      <c r="A94" s="111">
        <v>6</v>
      </c>
      <c r="B94" s="86" t="s">
        <v>33</v>
      </c>
      <c r="C94" s="98"/>
      <c r="D94" s="102">
        <f>'Link in'!D13</f>
        <v>2035.0587670136108</v>
      </c>
      <c r="E94" s="103"/>
      <c r="F94" s="121">
        <f>'Link in'!D44</f>
        <v>62.45</v>
      </c>
      <c r="G94" s="102">
        <f t="shared" si="26"/>
        <v>127089</v>
      </c>
      <c r="H94" s="98"/>
      <c r="I94" s="102">
        <f t="shared" si="27"/>
        <v>2035.0587670136108</v>
      </c>
      <c r="J94" s="103"/>
      <c r="K94" s="121">
        <f t="shared" si="28"/>
        <v>74.3</v>
      </c>
      <c r="L94" s="102">
        <f t="shared" si="29"/>
        <v>151205</v>
      </c>
      <c r="M94" s="98"/>
      <c r="N94" s="102">
        <f>'Link in'!N13</f>
        <v>2046</v>
      </c>
      <c r="O94" s="103"/>
      <c r="P94" s="120">
        <f t="shared" si="30"/>
        <v>62.45</v>
      </c>
      <c r="Q94" s="98">
        <f t="shared" si="31"/>
        <v>127773</v>
      </c>
      <c r="R94" s="98"/>
      <c r="S94" s="98">
        <f t="shared" si="32"/>
        <v>2046</v>
      </c>
      <c r="T94" s="99"/>
      <c r="U94" s="121">
        <f>'Link in'!K44</f>
        <v>74.3</v>
      </c>
      <c r="V94" s="98">
        <f t="shared" si="33"/>
        <v>152018</v>
      </c>
      <c r="W94" s="102"/>
      <c r="X94" s="98">
        <f t="shared" si="34"/>
        <v>24245</v>
      </c>
      <c r="Y94" s="103"/>
      <c r="Z94" s="119">
        <f t="shared" si="25"/>
        <v>0.1898</v>
      </c>
    </row>
    <row r="95" spans="1:26" ht="15" x14ac:dyDescent="0.25">
      <c r="A95" s="111">
        <v>7</v>
      </c>
      <c r="B95" s="86" t="s">
        <v>34</v>
      </c>
      <c r="C95" s="98"/>
      <c r="D95" s="102">
        <f>'Link in'!D14</f>
        <v>20452.626455711445</v>
      </c>
      <c r="E95" s="103"/>
      <c r="F95" s="121">
        <f>'Link in'!D45</f>
        <v>99.92</v>
      </c>
      <c r="G95" s="102">
        <f t="shared" si="26"/>
        <v>2043626</v>
      </c>
      <c r="H95" s="98"/>
      <c r="I95" s="102">
        <f t="shared" si="27"/>
        <v>20452.626455711445</v>
      </c>
      <c r="J95" s="103"/>
      <c r="K95" s="121">
        <f t="shared" si="28"/>
        <v>118.8</v>
      </c>
      <c r="L95" s="102">
        <f t="shared" si="29"/>
        <v>2429772</v>
      </c>
      <c r="M95" s="98"/>
      <c r="N95" s="102">
        <f>'Link in'!N14</f>
        <v>22447</v>
      </c>
      <c r="O95" s="103"/>
      <c r="P95" s="120">
        <f t="shared" si="30"/>
        <v>99.92</v>
      </c>
      <c r="Q95" s="98">
        <f t="shared" si="31"/>
        <v>2242904</v>
      </c>
      <c r="R95" s="98"/>
      <c r="S95" s="98">
        <f t="shared" si="32"/>
        <v>22447</v>
      </c>
      <c r="T95" s="99"/>
      <c r="U95" s="121">
        <f>'Link in'!K45</f>
        <v>118.8</v>
      </c>
      <c r="V95" s="98">
        <f t="shared" si="33"/>
        <v>2666704</v>
      </c>
      <c r="W95" s="102"/>
      <c r="X95" s="98">
        <f t="shared" si="34"/>
        <v>423800</v>
      </c>
      <c r="Y95" s="103"/>
      <c r="Z95" s="119">
        <f t="shared" si="25"/>
        <v>0.189</v>
      </c>
    </row>
    <row r="96" spans="1:26" ht="15" x14ac:dyDescent="0.25">
      <c r="A96" s="111">
        <v>8</v>
      </c>
      <c r="B96" s="86" t="s">
        <v>35</v>
      </c>
      <c r="C96" s="98"/>
      <c r="D96" s="102">
        <f>'Link in'!D15</f>
        <v>16</v>
      </c>
      <c r="E96" s="103"/>
      <c r="F96" s="121">
        <f>'Link in'!D46</f>
        <v>187.35</v>
      </c>
      <c r="G96" s="102">
        <f t="shared" si="26"/>
        <v>2998</v>
      </c>
      <c r="H96" s="98"/>
      <c r="I96" s="102">
        <f t="shared" si="27"/>
        <v>16</v>
      </c>
      <c r="J96" s="103"/>
      <c r="K96" s="121">
        <f t="shared" si="28"/>
        <v>222.8</v>
      </c>
      <c r="L96" s="102">
        <f t="shared" si="29"/>
        <v>3565</v>
      </c>
      <c r="M96" s="98"/>
      <c r="N96" s="102">
        <f>'Link in'!N15</f>
        <v>24</v>
      </c>
      <c r="O96" s="103"/>
      <c r="P96" s="120">
        <f t="shared" si="30"/>
        <v>187.35</v>
      </c>
      <c r="Q96" s="98">
        <f t="shared" si="31"/>
        <v>4496</v>
      </c>
      <c r="R96" s="98"/>
      <c r="S96" s="98">
        <f t="shared" si="32"/>
        <v>24</v>
      </c>
      <c r="T96" s="99"/>
      <c r="U96" s="121">
        <f>'Link in'!K46</f>
        <v>222.8</v>
      </c>
      <c r="V96" s="98">
        <f t="shared" si="33"/>
        <v>5347</v>
      </c>
      <c r="W96" s="102"/>
      <c r="X96" s="98">
        <f t="shared" si="34"/>
        <v>851</v>
      </c>
      <c r="Y96" s="103"/>
      <c r="Z96" s="119">
        <f t="shared" si="25"/>
        <v>0.1893</v>
      </c>
    </row>
    <row r="97" spans="1:27" ht="15" x14ac:dyDescent="0.25">
      <c r="A97" s="111">
        <v>9</v>
      </c>
      <c r="B97" s="86" t="s">
        <v>36</v>
      </c>
      <c r="C97" s="98"/>
      <c r="D97" s="102">
        <f>'Link in'!D16</f>
        <v>370.39727782225782</v>
      </c>
      <c r="E97" s="103"/>
      <c r="F97" s="121">
        <f>'Link in'!D47</f>
        <v>312.25</v>
      </c>
      <c r="G97" s="102">
        <f t="shared" si="26"/>
        <v>115657</v>
      </c>
      <c r="H97" s="98"/>
      <c r="I97" s="102">
        <f t="shared" si="27"/>
        <v>370.39727782225782</v>
      </c>
      <c r="J97" s="103"/>
      <c r="K97" s="121">
        <f t="shared" si="28"/>
        <v>371.3</v>
      </c>
      <c r="L97" s="102">
        <f t="shared" si="29"/>
        <v>137529</v>
      </c>
      <c r="M97" s="98"/>
      <c r="N97" s="102">
        <f>'Link in'!N16</f>
        <v>372</v>
      </c>
      <c r="O97" s="103"/>
      <c r="P97" s="120">
        <f t="shared" si="30"/>
        <v>312.25</v>
      </c>
      <c r="Q97" s="98">
        <f t="shared" si="31"/>
        <v>116157</v>
      </c>
      <c r="R97" s="98"/>
      <c r="S97" s="98">
        <f t="shared" si="32"/>
        <v>372</v>
      </c>
      <c r="T97" s="99"/>
      <c r="U97" s="121">
        <f>'Link in'!K47</f>
        <v>371.3</v>
      </c>
      <c r="V97" s="98">
        <f t="shared" si="33"/>
        <v>138124</v>
      </c>
      <c r="W97" s="102"/>
      <c r="X97" s="98">
        <f t="shared" si="34"/>
        <v>21967</v>
      </c>
      <c r="Y97" s="103"/>
      <c r="Z97" s="119">
        <f t="shared" si="25"/>
        <v>0.18909999999999999</v>
      </c>
    </row>
    <row r="98" spans="1:27" ht="15" x14ac:dyDescent="0.25">
      <c r="A98" s="111">
        <v>10</v>
      </c>
      <c r="B98" s="86" t="s">
        <v>37</v>
      </c>
      <c r="C98" s="98"/>
      <c r="D98" s="102">
        <f>'Link in'!D17</f>
        <v>152.95341873498799</v>
      </c>
      <c r="E98" s="103"/>
      <c r="F98" s="121">
        <f>'Link in'!D48</f>
        <v>624.5</v>
      </c>
      <c r="G98" s="102">
        <f t="shared" si="26"/>
        <v>95519</v>
      </c>
      <c r="H98" s="98"/>
      <c r="I98" s="102">
        <f t="shared" si="27"/>
        <v>152.95341873498799</v>
      </c>
      <c r="J98" s="103"/>
      <c r="K98" s="121">
        <f t="shared" si="28"/>
        <v>742.5</v>
      </c>
      <c r="L98" s="102">
        <f t="shared" si="29"/>
        <v>113568</v>
      </c>
      <c r="M98" s="98"/>
      <c r="N98" s="102">
        <f>'Link in'!N17</f>
        <v>156</v>
      </c>
      <c r="O98" s="103"/>
      <c r="P98" s="120">
        <f t="shared" si="30"/>
        <v>624.5</v>
      </c>
      <c r="Q98" s="98">
        <f t="shared" si="31"/>
        <v>97422</v>
      </c>
      <c r="R98" s="98"/>
      <c r="S98" s="98">
        <f t="shared" si="32"/>
        <v>156</v>
      </c>
      <c r="T98" s="99"/>
      <c r="U98" s="121">
        <f>'Link in'!K48</f>
        <v>742.5</v>
      </c>
      <c r="V98" s="98">
        <f t="shared" si="33"/>
        <v>115830</v>
      </c>
      <c r="W98" s="102"/>
      <c r="X98" s="98">
        <f t="shared" si="34"/>
        <v>18408</v>
      </c>
      <c r="Y98" s="103"/>
      <c r="Z98" s="119">
        <f t="shared" si="25"/>
        <v>0.189</v>
      </c>
    </row>
    <row r="99" spans="1:27" ht="15" x14ac:dyDescent="0.25">
      <c r="A99" s="111">
        <v>11</v>
      </c>
      <c r="B99" s="86" t="s">
        <v>38</v>
      </c>
      <c r="C99" s="98"/>
      <c r="D99" s="102">
        <f>'Link in'!D18</f>
        <v>109.00000151197173</v>
      </c>
      <c r="E99" s="103"/>
      <c r="F99" s="121">
        <f>'Link in'!D49</f>
        <v>999.2</v>
      </c>
      <c r="G99" s="102">
        <f t="shared" si="26"/>
        <v>108913</v>
      </c>
      <c r="H99" s="98"/>
      <c r="I99" s="102">
        <f t="shared" si="27"/>
        <v>109.00000151197173</v>
      </c>
      <c r="J99" s="103"/>
      <c r="K99" s="121">
        <f t="shared" si="28"/>
        <v>1188</v>
      </c>
      <c r="L99" s="102">
        <f t="shared" si="29"/>
        <v>129492</v>
      </c>
      <c r="M99" s="98"/>
      <c r="N99" s="102">
        <f>'Link in'!N18</f>
        <v>132</v>
      </c>
      <c r="O99" s="103"/>
      <c r="P99" s="120">
        <f t="shared" si="30"/>
        <v>999.2</v>
      </c>
      <c r="Q99" s="98">
        <f t="shared" si="31"/>
        <v>131894</v>
      </c>
      <c r="R99" s="98"/>
      <c r="S99" s="98">
        <f t="shared" si="32"/>
        <v>132</v>
      </c>
      <c r="T99" s="99"/>
      <c r="U99" s="121">
        <f>'Link in'!K49</f>
        <v>1188</v>
      </c>
      <c r="V99" s="98">
        <f t="shared" si="33"/>
        <v>156816</v>
      </c>
      <c r="W99" s="102"/>
      <c r="X99" s="98">
        <f t="shared" si="34"/>
        <v>24922</v>
      </c>
      <c r="Y99" s="103"/>
      <c r="Z99" s="119">
        <f t="shared" si="25"/>
        <v>0.189</v>
      </c>
    </row>
    <row r="100" spans="1:27" ht="15" x14ac:dyDescent="0.25">
      <c r="A100" s="111">
        <v>12</v>
      </c>
      <c r="B100" s="86" t="s">
        <v>114</v>
      </c>
      <c r="C100" s="98"/>
      <c r="D100" s="102"/>
      <c r="E100" s="103"/>
      <c r="F100" s="121"/>
      <c r="G100" s="102"/>
      <c r="H100" s="98"/>
      <c r="I100" s="102"/>
      <c r="J100" s="103"/>
      <c r="K100" s="121"/>
      <c r="L100" s="102"/>
      <c r="M100" s="98"/>
      <c r="N100" s="102"/>
      <c r="O100" s="103"/>
      <c r="P100" s="120"/>
      <c r="Q100" s="120"/>
      <c r="R100" s="98"/>
      <c r="S100" s="98"/>
      <c r="T100" s="99"/>
      <c r="U100" s="120"/>
      <c r="V100" s="98"/>
      <c r="W100" s="102"/>
      <c r="X100" s="98">
        <f t="shared" si="34"/>
        <v>0</v>
      </c>
      <c r="Y100" s="103"/>
      <c r="Z100" s="119">
        <f t="shared" si="25"/>
        <v>0</v>
      </c>
    </row>
    <row r="101" spans="1:27" ht="15" x14ac:dyDescent="0.25">
      <c r="A101" s="111">
        <v>13</v>
      </c>
      <c r="B101" s="86"/>
      <c r="C101" s="98"/>
      <c r="D101" s="102"/>
      <c r="E101" s="103"/>
      <c r="F101" s="121"/>
      <c r="G101" s="102"/>
      <c r="H101" s="98"/>
      <c r="I101" s="102"/>
      <c r="J101" s="103"/>
      <c r="K101" s="121"/>
      <c r="L101" s="102"/>
      <c r="M101" s="98"/>
      <c r="N101" s="102"/>
      <c r="O101" s="103"/>
      <c r="P101" s="120"/>
      <c r="Q101" s="120"/>
      <c r="R101" s="98"/>
      <c r="S101" s="98"/>
      <c r="T101" s="99"/>
      <c r="U101" s="120"/>
      <c r="V101" s="98"/>
      <c r="W101" s="102"/>
      <c r="X101" s="118"/>
      <c r="Y101" s="103"/>
      <c r="Z101" s="119"/>
    </row>
    <row r="102" spans="1:27" ht="15" x14ac:dyDescent="0.25">
      <c r="A102" s="111">
        <v>14</v>
      </c>
      <c r="B102" s="86"/>
      <c r="C102" s="99"/>
      <c r="D102" s="103"/>
      <c r="E102" s="103"/>
      <c r="F102" s="103"/>
      <c r="G102" s="103"/>
      <c r="H102" s="99"/>
      <c r="I102" s="103"/>
      <c r="J102" s="103"/>
      <c r="K102" s="103"/>
      <c r="L102" s="103"/>
      <c r="M102" s="99"/>
      <c r="N102" s="103"/>
      <c r="O102" s="103"/>
      <c r="P102" s="99"/>
      <c r="Q102" s="99"/>
      <c r="R102" s="99"/>
      <c r="S102" s="99"/>
      <c r="T102" s="99"/>
      <c r="U102" s="99"/>
      <c r="V102" s="99"/>
      <c r="W102" s="103"/>
      <c r="X102" s="102"/>
      <c r="Y102" s="103"/>
      <c r="Z102" s="119"/>
    </row>
    <row r="103" spans="1:27" ht="15" x14ac:dyDescent="0.25">
      <c r="A103" s="111">
        <v>15</v>
      </c>
      <c r="B103" s="86"/>
      <c r="C103" s="86"/>
      <c r="D103" s="101"/>
      <c r="E103" s="101"/>
      <c r="F103" s="103"/>
      <c r="G103" s="101"/>
      <c r="H103" s="86"/>
      <c r="I103" s="101"/>
      <c r="J103" s="101"/>
      <c r="K103" s="103"/>
      <c r="L103" s="101"/>
      <c r="M103" s="86"/>
      <c r="N103" s="101"/>
      <c r="O103" s="101"/>
      <c r="P103" s="86"/>
      <c r="Q103" s="86"/>
      <c r="R103" s="86"/>
      <c r="S103" s="86"/>
      <c r="T103" s="86"/>
      <c r="U103" s="86"/>
      <c r="V103" s="86"/>
      <c r="W103" s="101"/>
      <c r="X103" s="101"/>
      <c r="Y103" s="101"/>
      <c r="Z103" s="101"/>
    </row>
    <row r="104" spans="1:27" ht="15" x14ac:dyDescent="0.25">
      <c r="A104" s="111">
        <v>16</v>
      </c>
      <c r="B104" s="117" t="s">
        <v>40</v>
      </c>
      <c r="C104" s="99"/>
      <c r="D104" s="103"/>
      <c r="E104" s="103"/>
      <c r="F104" s="103"/>
      <c r="G104" s="103"/>
      <c r="H104" s="99"/>
      <c r="I104" s="103"/>
      <c r="J104" s="103"/>
      <c r="K104" s="103"/>
      <c r="L104" s="103"/>
      <c r="M104" s="99"/>
      <c r="N104" s="103"/>
      <c r="O104" s="103"/>
      <c r="P104" s="99"/>
      <c r="Q104" s="99"/>
      <c r="R104" s="99"/>
      <c r="S104" s="99"/>
      <c r="T104" s="99"/>
      <c r="U104" s="99"/>
      <c r="V104" s="99"/>
      <c r="W104" s="103"/>
      <c r="X104" s="102"/>
      <c r="Y104" s="103"/>
      <c r="Z104" s="119"/>
    </row>
    <row r="105" spans="1:27" ht="15" x14ac:dyDescent="0.25">
      <c r="A105" s="111">
        <v>17</v>
      </c>
      <c r="B105" s="86" t="s">
        <v>41</v>
      </c>
      <c r="C105" s="104"/>
      <c r="D105" s="103"/>
      <c r="E105" s="102">
        <f>'Link in'!D23</f>
        <v>3712689.4809999997</v>
      </c>
      <c r="F105" s="151">
        <f>'Link in'!D55</f>
        <v>4.8280000000000003</v>
      </c>
      <c r="G105" s="118">
        <f>ROUND((E105*F105),0)</f>
        <v>17924865</v>
      </c>
      <c r="H105" s="104"/>
      <c r="I105" s="103"/>
      <c r="J105" s="102">
        <f>E105</f>
        <v>3712689.4809999997</v>
      </c>
      <c r="K105" s="151">
        <f>U105</f>
        <v>5.585</v>
      </c>
      <c r="L105" s="118">
        <f>ROUND((J105*K105),0)</f>
        <v>20735371</v>
      </c>
      <c r="M105" s="104"/>
      <c r="N105" s="103"/>
      <c r="O105" s="102">
        <f>'Link in'!N23</f>
        <v>3349415</v>
      </c>
      <c r="P105" s="152">
        <f>F105</f>
        <v>4.8280000000000003</v>
      </c>
      <c r="Q105" s="104">
        <f>ROUND((O105*P105),0)</f>
        <v>16170976</v>
      </c>
      <c r="R105" s="104"/>
      <c r="S105" s="99"/>
      <c r="T105" s="98">
        <f>O105</f>
        <v>3349415</v>
      </c>
      <c r="U105" s="151">
        <f>'Link in'!K55</f>
        <v>5.585</v>
      </c>
      <c r="V105" s="104">
        <f>ROUND((T105*U105),0)</f>
        <v>18706483</v>
      </c>
      <c r="W105" s="102"/>
      <c r="X105" s="104">
        <f t="shared" ref="X105:X111" si="35">+V105-Q105</f>
        <v>2535507</v>
      </c>
      <c r="Y105" s="103"/>
      <c r="Z105" s="119">
        <f t="shared" ref="Z105:Z113" si="36">IF(Q105=0,0,ROUND((X105/Q105),4))</f>
        <v>0.15679999999999999</v>
      </c>
    </row>
    <row r="106" spans="1:27" ht="15" x14ac:dyDescent="0.25">
      <c r="A106" s="111">
        <v>18</v>
      </c>
      <c r="B106" s="86" t="s">
        <v>42</v>
      </c>
      <c r="C106" s="98"/>
      <c r="D106" s="101"/>
      <c r="E106" s="102">
        <f>'Link in'!D24</f>
        <v>0</v>
      </c>
      <c r="F106" s="129">
        <f>'Link in'!D56</f>
        <v>0</v>
      </c>
      <c r="G106" s="102">
        <f>ROUND((E106*F106),0)</f>
        <v>0</v>
      </c>
      <c r="H106" s="98"/>
      <c r="I106" s="101"/>
      <c r="J106" s="102">
        <f t="shared" ref="J106:J111" si="37">E106</f>
        <v>0</v>
      </c>
      <c r="K106" s="129">
        <f t="shared" ref="K106:K110" si="38">U106</f>
        <v>0</v>
      </c>
      <c r="L106" s="102">
        <f>ROUND((J106*K106),0)</f>
        <v>0</v>
      </c>
      <c r="M106" s="98"/>
      <c r="N106" s="101"/>
      <c r="O106" s="102">
        <f>'Link in'!N24</f>
        <v>0</v>
      </c>
      <c r="P106" s="153">
        <f t="shared" ref="P106:P110" si="39">F106</f>
        <v>0</v>
      </c>
      <c r="Q106" s="98">
        <f>ROUND((O106*P106),0)</f>
        <v>0</v>
      </c>
      <c r="R106" s="98"/>
      <c r="S106" s="86"/>
      <c r="T106" s="98">
        <f t="shared" ref="T106:T110" si="40">O106</f>
        <v>0</v>
      </c>
      <c r="U106" s="129">
        <f>'Link in'!K56</f>
        <v>0</v>
      </c>
      <c r="V106" s="98">
        <f>ROUND((T106*U106),0)</f>
        <v>0</v>
      </c>
      <c r="W106" s="102"/>
      <c r="X106" s="98">
        <f t="shared" si="35"/>
        <v>0</v>
      </c>
      <c r="Y106" s="101"/>
      <c r="Z106" s="119">
        <f t="shared" si="36"/>
        <v>0</v>
      </c>
    </row>
    <row r="107" spans="1:27" ht="15" x14ac:dyDescent="0.25">
      <c r="A107" s="111">
        <v>19</v>
      </c>
      <c r="B107" s="86" t="s">
        <v>43</v>
      </c>
      <c r="C107" s="98"/>
      <c r="D107" s="101"/>
      <c r="E107" s="102">
        <f>'Link in'!D25</f>
        <v>0</v>
      </c>
      <c r="F107" s="129">
        <f>'Link in'!D57</f>
        <v>0</v>
      </c>
      <c r="G107" s="102">
        <f>ROUND((E107*F107),0)</f>
        <v>0</v>
      </c>
      <c r="H107" s="98"/>
      <c r="I107" s="101"/>
      <c r="J107" s="102">
        <f t="shared" si="37"/>
        <v>0</v>
      </c>
      <c r="K107" s="129">
        <f t="shared" si="38"/>
        <v>0</v>
      </c>
      <c r="L107" s="102">
        <f>ROUND((J107*K107),0)</f>
        <v>0</v>
      </c>
      <c r="M107" s="98"/>
      <c r="N107" s="101"/>
      <c r="O107" s="102">
        <f>'Link in'!N25</f>
        <v>0</v>
      </c>
      <c r="P107" s="153">
        <f t="shared" si="39"/>
        <v>0</v>
      </c>
      <c r="Q107" s="98">
        <f>ROUND((O107*P107),0)</f>
        <v>0</v>
      </c>
      <c r="R107" s="98"/>
      <c r="S107" s="86"/>
      <c r="T107" s="98">
        <f t="shared" si="40"/>
        <v>0</v>
      </c>
      <c r="U107" s="129">
        <f>'Link in'!K57</f>
        <v>0</v>
      </c>
      <c r="V107" s="98">
        <f>ROUND((T107*U107),0)</f>
        <v>0</v>
      </c>
      <c r="W107" s="102"/>
      <c r="X107" s="98">
        <f t="shared" si="35"/>
        <v>0</v>
      </c>
      <c r="Y107" s="101"/>
      <c r="Z107" s="119">
        <f t="shared" si="36"/>
        <v>0</v>
      </c>
    </row>
    <row r="108" spans="1:27" ht="15" x14ac:dyDescent="0.25">
      <c r="A108" s="111">
        <v>20</v>
      </c>
      <c r="B108" s="86" t="s">
        <v>44</v>
      </c>
      <c r="C108" s="98"/>
      <c r="D108" s="101"/>
      <c r="E108" s="102">
        <f>'Link in'!D26</f>
        <v>0</v>
      </c>
      <c r="F108" s="129">
        <f>'Link in'!D58</f>
        <v>0</v>
      </c>
      <c r="G108" s="102">
        <f>ROUND((E108*F108),0)</f>
        <v>0</v>
      </c>
      <c r="H108" s="98"/>
      <c r="I108" s="101"/>
      <c r="J108" s="102">
        <f t="shared" si="37"/>
        <v>0</v>
      </c>
      <c r="K108" s="129">
        <f t="shared" si="38"/>
        <v>0</v>
      </c>
      <c r="L108" s="102">
        <f>ROUND((J108*K108),0)</f>
        <v>0</v>
      </c>
      <c r="M108" s="98"/>
      <c r="N108" s="101"/>
      <c r="O108" s="102">
        <f>'Link in'!N26</f>
        <v>0</v>
      </c>
      <c r="P108" s="153">
        <f t="shared" si="39"/>
        <v>0</v>
      </c>
      <c r="Q108" s="98">
        <f>ROUND((O108*P108),0)</f>
        <v>0</v>
      </c>
      <c r="R108" s="98"/>
      <c r="S108" s="86"/>
      <c r="T108" s="98">
        <f t="shared" si="40"/>
        <v>0</v>
      </c>
      <c r="U108" s="129">
        <f>'Link in'!K58</f>
        <v>0</v>
      </c>
      <c r="V108" s="98">
        <f>ROUND((T108*U108),0)</f>
        <v>0</v>
      </c>
      <c r="W108" s="102"/>
      <c r="X108" s="98">
        <f t="shared" si="35"/>
        <v>0</v>
      </c>
      <c r="Y108" s="101"/>
      <c r="Z108" s="119">
        <f t="shared" si="36"/>
        <v>0</v>
      </c>
    </row>
    <row r="109" spans="1:27" ht="15" x14ac:dyDescent="0.25">
      <c r="A109" s="111">
        <v>21</v>
      </c>
      <c r="B109" s="86" t="s">
        <v>96</v>
      </c>
      <c r="C109" s="86"/>
      <c r="D109" s="101"/>
      <c r="E109" s="102">
        <f>'Link in'!D27</f>
        <v>0</v>
      </c>
      <c r="F109" s="129">
        <f>'Link in'!D59</f>
        <v>0</v>
      </c>
      <c r="G109" s="102">
        <f t="shared" ref="G109:G110" si="41">ROUND((E109*F109),0)</f>
        <v>0</v>
      </c>
      <c r="H109" s="98"/>
      <c r="I109" s="101"/>
      <c r="J109" s="102">
        <f t="shared" si="37"/>
        <v>0</v>
      </c>
      <c r="K109" s="129">
        <f t="shared" si="38"/>
        <v>0</v>
      </c>
      <c r="L109" s="102">
        <f t="shared" ref="L109:L110" si="42">ROUND((J109*K109),0)</f>
        <v>0</v>
      </c>
      <c r="M109" s="86"/>
      <c r="N109" s="101"/>
      <c r="O109" s="102">
        <f>'Link in'!N27</f>
        <v>0</v>
      </c>
      <c r="P109" s="153">
        <f t="shared" si="39"/>
        <v>0</v>
      </c>
      <c r="Q109" s="98">
        <f t="shared" ref="Q109:Q110" si="43">ROUND((O109*P109),0)</f>
        <v>0</v>
      </c>
      <c r="R109" s="86"/>
      <c r="S109" s="86"/>
      <c r="T109" s="98">
        <f t="shared" si="40"/>
        <v>0</v>
      </c>
      <c r="U109" s="129">
        <f>'Link in'!K59</f>
        <v>0</v>
      </c>
      <c r="V109" s="98">
        <f t="shared" ref="V109:V110" si="44">ROUND((T109*U109),0)</f>
        <v>0</v>
      </c>
      <c r="W109" s="101"/>
      <c r="X109" s="98">
        <f t="shared" si="35"/>
        <v>0</v>
      </c>
      <c r="Y109" s="101"/>
      <c r="Z109" s="119">
        <f t="shared" si="36"/>
        <v>0</v>
      </c>
    </row>
    <row r="110" spans="1:27" ht="15" x14ac:dyDescent="0.25">
      <c r="A110" s="111">
        <v>22</v>
      </c>
      <c r="B110" s="86" t="s">
        <v>102</v>
      </c>
      <c r="C110" s="86"/>
      <c r="D110" s="101"/>
      <c r="E110" s="102">
        <f>'Link in'!D28</f>
        <v>0</v>
      </c>
      <c r="F110" s="129">
        <f>'Link in'!D60</f>
        <v>0</v>
      </c>
      <c r="G110" s="102">
        <f t="shared" si="41"/>
        <v>0</v>
      </c>
      <c r="H110" s="98"/>
      <c r="I110" s="101"/>
      <c r="J110" s="102">
        <f t="shared" si="37"/>
        <v>0</v>
      </c>
      <c r="K110" s="129">
        <f t="shared" si="38"/>
        <v>0</v>
      </c>
      <c r="L110" s="102">
        <f t="shared" si="42"/>
        <v>0</v>
      </c>
      <c r="M110" s="86"/>
      <c r="N110" s="101"/>
      <c r="O110" s="102">
        <f>'Link in'!N28</f>
        <v>0</v>
      </c>
      <c r="P110" s="153">
        <f t="shared" si="39"/>
        <v>0</v>
      </c>
      <c r="Q110" s="98">
        <f t="shared" si="43"/>
        <v>0</v>
      </c>
      <c r="R110" s="86"/>
      <c r="S110" s="86"/>
      <c r="T110" s="98">
        <f t="shared" si="40"/>
        <v>0</v>
      </c>
      <c r="U110" s="129">
        <f>'Link in'!K60</f>
        <v>0</v>
      </c>
      <c r="V110" s="98">
        <f t="shared" si="44"/>
        <v>0</v>
      </c>
      <c r="W110" s="101"/>
      <c r="X110" s="98">
        <f t="shared" si="35"/>
        <v>0</v>
      </c>
      <c r="Y110" s="101"/>
      <c r="Z110" s="119">
        <f t="shared" si="36"/>
        <v>0</v>
      </c>
    </row>
    <row r="111" spans="1:27" ht="15" x14ac:dyDescent="0.25">
      <c r="A111" s="111">
        <v>23</v>
      </c>
      <c r="B111" s="101" t="s">
        <v>109</v>
      </c>
      <c r="C111" s="130"/>
      <c r="D111" s="101"/>
      <c r="E111" s="101">
        <f>+'Link in'!D32</f>
        <v>13847.786999999949</v>
      </c>
      <c r="F111" s="129"/>
      <c r="G111" s="130">
        <f>'Link in'!D34</f>
        <v>283783</v>
      </c>
      <c r="H111" s="130"/>
      <c r="I111" s="101"/>
      <c r="J111" s="102">
        <f t="shared" si="37"/>
        <v>13847.786999999949</v>
      </c>
      <c r="K111" s="151"/>
      <c r="L111" s="130">
        <f>G111</f>
        <v>283783</v>
      </c>
      <c r="M111" s="130"/>
      <c r="N111" s="101"/>
      <c r="O111" s="101"/>
      <c r="P111" s="113"/>
      <c r="Q111" s="130">
        <f>+'Link in'!N34</f>
        <v>0</v>
      </c>
      <c r="R111" s="130"/>
      <c r="S111" s="101"/>
      <c r="T111" s="101">
        <f>O111</f>
        <v>0</v>
      </c>
      <c r="U111" s="113"/>
      <c r="V111" s="130">
        <f>Q111</f>
        <v>0</v>
      </c>
      <c r="W111" s="130"/>
      <c r="X111" s="130">
        <f t="shared" si="35"/>
        <v>0</v>
      </c>
      <c r="Y111" s="101"/>
      <c r="Z111" s="119">
        <f t="shared" si="36"/>
        <v>0</v>
      </c>
      <c r="AA111" s="24"/>
    </row>
    <row r="112" spans="1:27" ht="15" x14ac:dyDescent="0.25">
      <c r="A112" s="111">
        <v>24</v>
      </c>
      <c r="B112" s="86"/>
      <c r="C112" s="140"/>
      <c r="D112" s="101"/>
      <c r="E112" s="101"/>
      <c r="F112" s="131"/>
      <c r="G112" s="131"/>
      <c r="H112" s="140"/>
      <c r="I112" s="101"/>
      <c r="J112" s="101"/>
      <c r="K112" s="131"/>
      <c r="L112" s="131"/>
      <c r="M112" s="140"/>
      <c r="N112" s="86"/>
      <c r="O112" s="86"/>
      <c r="P112" s="140"/>
      <c r="Q112" s="140"/>
      <c r="R112" s="140"/>
      <c r="S112" s="86"/>
      <c r="T112" s="86"/>
      <c r="U112" s="140"/>
      <c r="V112" s="140"/>
      <c r="W112" s="131"/>
      <c r="X112" s="102"/>
      <c r="Y112" s="101"/>
      <c r="Z112" s="119"/>
    </row>
    <row r="113" spans="1:26" ht="15.75" thickBot="1" x14ac:dyDescent="0.3">
      <c r="A113" s="111">
        <v>25</v>
      </c>
      <c r="B113" s="86" t="s">
        <v>1</v>
      </c>
      <c r="C113" s="144"/>
      <c r="D113" s="157"/>
      <c r="E113" s="158">
        <f>SUM(E105:E112)</f>
        <v>3726537.2679999997</v>
      </c>
      <c r="F113" s="133"/>
      <c r="G113" s="159">
        <f>SUM(G91:G112)</f>
        <v>22340867</v>
      </c>
      <c r="H113" s="144"/>
      <c r="I113" s="157"/>
      <c r="J113" s="158">
        <f>SUM(J105:J112)</f>
        <v>3726537.2679999997</v>
      </c>
      <c r="K113" s="133"/>
      <c r="L113" s="159">
        <f>SUM(L91:L112)</f>
        <v>25931338</v>
      </c>
      <c r="M113" s="144"/>
      <c r="N113" s="154"/>
      <c r="O113" s="155">
        <f>SUM(O105:O112)</f>
        <v>3349415</v>
      </c>
      <c r="P113" s="144"/>
      <c r="Q113" s="156">
        <f>SUM(Q91:Q112)</f>
        <v>20469701</v>
      </c>
      <c r="R113" s="144"/>
      <c r="S113" s="154"/>
      <c r="T113" s="155">
        <f>SUM(T105:T112)</f>
        <v>3349415</v>
      </c>
      <c r="U113" s="144"/>
      <c r="V113" s="156">
        <f>SUM(V91:V112)</f>
        <v>23816699</v>
      </c>
      <c r="W113" s="133"/>
      <c r="X113" s="159">
        <f>SUM(X91:X112)</f>
        <v>3346998</v>
      </c>
      <c r="Y113" s="101"/>
      <c r="Z113" s="143">
        <f t="shared" si="36"/>
        <v>0.16350000000000001</v>
      </c>
    </row>
    <row r="114" spans="1:26" ht="15.75" thickTop="1" x14ac:dyDescent="0.25">
      <c r="A114" s="111"/>
      <c r="B114" s="86"/>
      <c r="C114" s="98"/>
      <c r="D114" s="101"/>
      <c r="E114" s="101"/>
      <c r="F114" s="135"/>
      <c r="G114" s="102"/>
      <c r="H114" s="98"/>
      <c r="I114" s="98"/>
      <c r="J114" s="98"/>
      <c r="K114" s="98"/>
      <c r="L114" s="98"/>
      <c r="M114" s="98"/>
      <c r="N114" s="98"/>
      <c r="O114" s="86"/>
      <c r="P114" s="138"/>
      <c r="Q114" s="98"/>
      <c r="R114" s="98"/>
      <c r="S114" s="86"/>
      <c r="T114" s="86"/>
      <c r="U114" s="138"/>
      <c r="V114" s="98"/>
      <c r="W114" s="101"/>
      <c r="X114" s="102"/>
      <c r="Y114" s="101"/>
      <c r="Z114" s="119"/>
    </row>
    <row r="115" spans="1:26" ht="15" x14ac:dyDescent="0.25">
      <c r="A115" s="111"/>
      <c r="B115" s="86"/>
      <c r="C115" s="98"/>
      <c r="D115" s="111"/>
      <c r="E115" s="86"/>
      <c r="F115" s="138"/>
      <c r="G115" s="98"/>
      <c r="H115" s="98"/>
      <c r="I115" s="98"/>
      <c r="J115" s="98"/>
      <c r="K115" s="98"/>
      <c r="L115" s="98"/>
      <c r="M115" s="98"/>
      <c r="N115" s="98"/>
      <c r="O115" s="86"/>
      <c r="P115" s="138"/>
      <c r="Q115" s="98"/>
      <c r="R115" s="98"/>
      <c r="S115" s="111"/>
      <c r="T115" s="86"/>
      <c r="U115" s="138"/>
      <c r="V115" s="98"/>
      <c r="W115" s="101"/>
      <c r="X115" s="102"/>
      <c r="Y115" s="101"/>
      <c r="Z115" s="119"/>
    </row>
    <row r="116" spans="1:26" ht="15" x14ac:dyDescent="0.25">
      <c r="A116" s="111"/>
      <c r="B116" s="86"/>
      <c r="C116" s="86"/>
      <c r="D116" s="86"/>
      <c r="E116" s="86"/>
      <c r="F116" s="160"/>
      <c r="G116" s="86"/>
      <c r="H116" s="86"/>
      <c r="I116" s="86"/>
      <c r="J116" s="86"/>
      <c r="K116" s="86"/>
      <c r="L116" s="86"/>
      <c r="M116" s="86"/>
      <c r="N116" s="86"/>
      <c r="O116" s="86"/>
      <c r="P116" s="160"/>
      <c r="Q116" s="86"/>
      <c r="R116" s="86"/>
      <c r="S116" s="86"/>
      <c r="T116" s="86"/>
      <c r="U116" s="160"/>
      <c r="V116" s="86"/>
      <c r="W116" s="101"/>
      <c r="X116" s="102"/>
      <c r="Y116" s="101"/>
      <c r="Z116" s="119"/>
    </row>
    <row r="117" spans="1:26" ht="15" x14ac:dyDescent="0.25">
      <c r="A117" s="111"/>
      <c r="B117" s="86"/>
      <c r="C117" s="86"/>
      <c r="D117" s="86"/>
      <c r="E117" s="86"/>
      <c r="F117" s="160"/>
      <c r="G117" s="86"/>
      <c r="H117" s="86"/>
      <c r="I117" s="86"/>
      <c r="J117" s="86"/>
      <c r="K117" s="86"/>
      <c r="L117" s="86"/>
      <c r="M117" s="86"/>
      <c r="N117" s="86"/>
      <c r="O117" s="86"/>
      <c r="P117" s="160"/>
      <c r="Q117" s="86"/>
      <c r="R117" s="86"/>
      <c r="S117" s="86"/>
      <c r="T117" s="86"/>
      <c r="U117" s="160"/>
      <c r="V117" s="86"/>
      <c r="W117" s="101"/>
      <c r="X117" s="102"/>
      <c r="Y117" s="101"/>
      <c r="Z117" s="119"/>
    </row>
    <row r="118" spans="1:26" ht="15" x14ac:dyDescent="0.25">
      <c r="A118" s="326" t="str">
        <f>A79</f>
        <v>Kentucky American Water Company</v>
      </c>
      <c r="B118" s="326"/>
      <c r="C118" s="326"/>
      <c r="D118" s="326"/>
      <c r="E118" s="326"/>
      <c r="F118" s="326"/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</row>
    <row r="119" spans="1:26" ht="15" x14ac:dyDescent="0.25">
      <c r="A119" s="326" t="s">
        <v>77</v>
      </c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</row>
    <row r="120" spans="1:26" ht="15" x14ac:dyDescent="0.25">
      <c r="A120" s="326" t="str">
        <f>A81</f>
        <v>Case No. 2015-00418</v>
      </c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  <c r="X120" s="326"/>
      <c r="Y120" s="326"/>
      <c r="Z120" s="326"/>
    </row>
    <row r="121" spans="1:26" ht="15" x14ac:dyDescent="0.25">
      <c r="A121" s="326" t="str">
        <f>A82</f>
        <v>Base Year for the 12 Months Ended April 30, 2016 and Forecast Year for the 12 Months Ended August 31, 2017</v>
      </c>
      <c r="B121" s="326"/>
      <c r="C121" s="326"/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</row>
    <row r="122" spans="1:26" ht="15" x14ac:dyDescent="0.25">
      <c r="A122" s="116" t="str">
        <f>A83</f>
        <v>Witness Responsible:   Linda Bridwell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101"/>
      <c r="X122" s="101"/>
      <c r="Y122" s="101"/>
      <c r="Z122" s="106" t="str">
        <f>Z83</f>
        <v>Exhibit 37, Schedule M-3</v>
      </c>
    </row>
    <row r="123" spans="1:26" ht="15" x14ac:dyDescent="0.25">
      <c r="A123" s="146" t="str">
        <f>A84</f>
        <v/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08"/>
      <c r="X123" s="108"/>
      <c r="Y123" s="108"/>
      <c r="Z123" s="148" t="e">
        <f ca="1">Z84</f>
        <v>#VALUE!</v>
      </c>
    </row>
    <row r="124" spans="1:26" ht="15" x14ac:dyDescent="0.25">
      <c r="A124" s="86"/>
      <c r="B124" s="86"/>
      <c r="C124" s="111"/>
      <c r="D124" s="319" t="s">
        <v>177</v>
      </c>
      <c r="E124" s="319" t="s">
        <v>97</v>
      </c>
      <c r="F124" s="319"/>
      <c r="G124" s="319"/>
      <c r="H124" s="111"/>
      <c r="I124" s="325" t="s">
        <v>176</v>
      </c>
      <c r="J124" s="325" t="s">
        <v>97</v>
      </c>
      <c r="K124" s="325"/>
      <c r="L124" s="325"/>
      <c r="M124" s="111"/>
      <c r="N124" s="319" t="s">
        <v>121</v>
      </c>
      <c r="O124" s="319" t="s">
        <v>98</v>
      </c>
      <c r="P124" s="319"/>
      <c r="Q124" s="319"/>
      <c r="R124" s="111"/>
      <c r="S124" s="319" t="s">
        <v>122</v>
      </c>
      <c r="T124" s="319" t="s">
        <v>99</v>
      </c>
      <c r="U124" s="319"/>
      <c r="V124" s="319"/>
      <c r="W124" s="112"/>
      <c r="X124" s="112"/>
      <c r="Y124" s="101"/>
      <c r="Z124" s="101"/>
    </row>
    <row r="125" spans="1:26" ht="15" x14ac:dyDescent="0.25">
      <c r="A125" s="86"/>
      <c r="B125" s="86"/>
      <c r="C125" s="111"/>
      <c r="D125" s="111" t="s">
        <v>27</v>
      </c>
      <c r="E125" s="111"/>
      <c r="F125" s="111"/>
      <c r="G125" s="111"/>
      <c r="H125" s="111"/>
      <c r="I125" s="113" t="s">
        <v>27</v>
      </c>
      <c r="J125" s="113"/>
      <c r="K125" s="113"/>
      <c r="L125" s="113"/>
      <c r="M125" s="111"/>
      <c r="N125" s="111" t="s">
        <v>27</v>
      </c>
      <c r="O125" s="111"/>
      <c r="P125" s="111"/>
      <c r="Q125" s="111"/>
      <c r="R125" s="111"/>
      <c r="S125" s="111" t="s">
        <v>27</v>
      </c>
      <c r="T125" s="111"/>
      <c r="U125" s="111"/>
      <c r="V125" s="111"/>
      <c r="W125" s="113"/>
      <c r="X125" s="113"/>
      <c r="Y125" s="101"/>
      <c r="Z125" s="101"/>
    </row>
    <row r="126" spans="1:26" ht="15" x14ac:dyDescent="0.25">
      <c r="A126" s="86"/>
      <c r="B126" s="111" t="s">
        <v>24</v>
      </c>
      <c r="C126" s="111"/>
      <c r="D126" s="111" t="s">
        <v>28</v>
      </c>
      <c r="E126" s="111" t="s">
        <v>39</v>
      </c>
      <c r="F126" s="111" t="s">
        <v>45</v>
      </c>
      <c r="G126" s="111" t="s">
        <v>1</v>
      </c>
      <c r="H126" s="111"/>
      <c r="I126" s="113" t="s">
        <v>28</v>
      </c>
      <c r="J126" s="113" t="s">
        <v>39</v>
      </c>
      <c r="K126" s="113" t="s">
        <v>178</v>
      </c>
      <c r="L126" s="113" t="s">
        <v>1</v>
      </c>
      <c r="M126" s="111"/>
      <c r="N126" s="111" t="s">
        <v>28</v>
      </c>
      <c r="O126" s="111" t="s">
        <v>39</v>
      </c>
      <c r="P126" s="111" t="s">
        <v>45</v>
      </c>
      <c r="Q126" s="111" t="s">
        <v>1</v>
      </c>
      <c r="R126" s="111"/>
      <c r="S126" s="111" t="s">
        <v>28</v>
      </c>
      <c r="T126" s="111" t="s">
        <v>39</v>
      </c>
      <c r="U126" s="111" t="s">
        <v>73</v>
      </c>
      <c r="V126" s="111" t="s">
        <v>1</v>
      </c>
      <c r="W126" s="113"/>
      <c r="X126" s="113" t="s">
        <v>51</v>
      </c>
      <c r="Y126" s="101"/>
      <c r="Z126" s="113" t="s">
        <v>53</v>
      </c>
    </row>
    <row r="127" spans="1:26" ht="15" x14ac:dyDescent="0.25">
      <c r="A127" s="114" t="s">
        <v>0</v>
      </c>
      <c r="B127" s="114" t="s">
        <v>2</v>
      </c>
      <c r="C127" s="111"/>
      <c r="D127" s="114" t="s">
        <v>29</v>
      </c>
      <c r="E127" s="114" t="str">
        <f>E88</f>
        <v>('000 Gal)</v>
      </c>
      <c r="F127" s="114" t="s">
        <v>46</v>
      </c>
      <c r="G127" s="114" t="s">
        <v>47</v>
      </c>
      <c r="H127" s="111"/>
      <c r="I127" s="115" t="s">
        <v>29</v>
      </c>
      <c r="J127" s="115" t="str">
        <f>J88</f>
        <v>('000 Gal)</v>
      </c>
      <c r="K127" s="115" t="s">
        <v>46</v>
      </c>
      <c r="L127" s="115" t="s">
        <v>47</v>
      </c>
      <c r="M127" s="111"/>
      <c r="N127" s="114" t="s">
        <v>29</v>
      </c>
      <c r="O127" s="114" t="str">
        <f>E127</f>
        <v>('000 Gal)</v>
      </c>
      <c r="P127" s="114" t="s">
        <v>46</v>
      </c>
      <c r="Q127" s="114" t="s">
        <v>47</v>
      </c>
      <c r="R127" s="111"/>
      <c r="S127" s="114" t="s">
        <v>29</v>
      </c>
      <c r="T127" s="114" t="str">
        <f>O127</f>
        <v>('000 Gal)</v>
      </c>
      <c r="U127" s="114" t="s">
        <v>46</v>
      </c>
      <c r="V127" s="114" t="s">
        <v>47</v>
      </c>
      <c r="W127" s="113"/>
      <c r="X127" s="115" t="s">
        <v>52</v>
      </c>
      <c r="Y127" s="101"/>
      <c r="Z127" s="115" t="s">
        <v>52</v>
      </c>
    </row>
    <row r="128" spans="1:26" ht="15" x14ac:dyDescent="0.25">
      <c r="A128" s="111">
        <v>1</v>
      </c>
      <c r="B128" s="116" t="s">
        <v>55</v>
      </c>
      <c r="C128" s="111"/>
      <c r="D128" s="86"/>
      <c r="E128" s="111"/>
      <c r="F128" s="111"/>
      <c r="G128" s="111"/>
      <c r="H128" s="111"/>
      <c r="I128" s="113"/>
      <c r="J128" s="113"/>
      <c r="K128" s="113"/>
      <c r="L128" s="113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3"/>
      <c r="X128" s="113"/>
      <c r="Y128" s="101"/>
      <c r="Z128" s="113"/>
    </row>
    <row r="129" spans="1:26" ht="15" x14ac:dyDescent="0.25">
      <c r="A129" s="111">
        <v>2</v>
      </c>
      <c r="B129" s="117" t="s">
        <v>26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101"/>
      <c r="X129" s="101"/>
      <c r="Y129" s="101"/>
      <c r="Z129" s="101"/>
    </row>
    <row r="130" spans="1:26" ht="15" x14ac:dyDescent="0.25">
      <c r="A130" s="111">
        <v>3</v>
      </c>
      <c r="B130" s="86" t="s">
        <v>30</v>
      </c>
      <c r="C130" s="104"/>
      <c r="D130" s="102">
        <f>'Link in'!E10</f>
        <v>70.164131305044037</v>
      </c>
      <c r="E130" s="103"/>
      <c r="F130" s="149">
        <f>'Link in'!E41</f>
        <v>12.49</v>
      </c>
      <c r="G130" s="118">
        <f>ROUND((D130*F130),0)</f>
        <v>876</v>
      </c>
      <c r="H130" s="104"/>
      <c r="I130" s="102">
        <f>D130</f>
        <v>70.164131305044037</v>
      </c>
      <c r="J130" s="103"/>
      <c r="K130" s="149">
        <f>U130</f>
        <v>14.85</v>
      </c>
      <c r="L130" s="118">
        <f>ROUND((I130*K130),0)</f>
        <v>1042</v>
      </c>
      <c r="M130" s="104"/>
      <c r="N130" s="102">
        <f>'Link in'!O10</f>
        <v>72</v>
      </c>
      <c r="O130" s="103"/>
      <c r="P130" s="149">
        <f>F130</f>
        <v>12.49</v>
      </c>
      <c r="Q130" s="118">
        <f>ROUND((N130*P130),0)</f>
        <v>899</v>
      </c>
      <c r="R130" s="104"/>
      <c r="S130" s="98">
        <f>N130</f>
        <v>72</v>
      </c>
      <c r="T130" s="99"/>
      <c r="U130" s="149">
        <f>'Link in'!L41</f>
        <v>14.85</v>
      </c>
      <c r="V130" s="104">
        <f>ROUND((S130*U130),0)</f>
        <v>1069</v>
      </c>
      <c r="W130" s="118"/>
      <c r="X130" s="104">
        <f>+V130-Q130</f>
        <v>170</v>
      </c>
      <c r="Y130" s="103"/>
      <c r="Z130" s="119">
        <f t="shared" ref="Z130:Z139" si="45">IF(Q130=0,0,ROUND((X130/Q130),4))</f>
        <v>0.18909999999999999</v>
      </c>
    </row>
    <row r="131" spans="1:26" ht="15" x14ac:dyDescent="0.25">
      <c r="A131" s="111">
        <v>4</v>
      </c>
      <c r="B131" s="86" t="s">
        <v>31</v>
      </c>
      <c r="C131" s="98"/>
      <c r="D131" s="102">
        <f>'Link in'!E11</f>
        <v>0</v>
      </c>
      <c r="E131" s="103"/>
      <c r="F131" s="121">
        <f>'Link in'!E42</f>
        <v>18.739999999999998</v>
      </c>
      <c r="G131" s="102">
        <f t="shared" ref="G131:G138" si="46">ROUND((D131*F131),0)</f>
        <v>0</v>
      </c>
      <c r="H131" s="98"/>
      <c r="I131" s="102">
        <f t="shared" ref="I131:I138" si="47">D131</f>
        <v>0</v>
      </c>
      <c r="J131" s="103"/>
      <c r="K131" s="121">
        <f t="shared" ref="K131:K138" si="48">U131</f>
        <v>22.3</v>
      </c>
      <c r="L131" s="102">
        <f t="shared" ref="L131:L138" si="49">ROUND((I131*K131),0)</f>
        <v>0</v>
      </c>
      <c r="M131" s="98"/>
      <c r="N131" s="102">
        <f>'Link in'!O11</f>
        <v>0</v>
      </c>
      <c r="O131" s="103"/>
      <c r="P131" s="121">
        <f t="shared" ref="P131:P138" si="50">F131</f>
        <v>18.739999999999998</v>
      </c>
      <c r="Q131" s="102">
        <f t="shared" ref="Q131:Q138" si="51">ROUND((N131*P131),0)</f>
        <v>0</v>
      </c>
      <c r="R131" s="98"/>
      <c r="S131" s="98">
        <f t="shared" ref="S131:S138" si="52">N131</f>
        <v>0</v>
      </c>
      <c r="T131" s="99"/>
      <c r="U131" s="121">
        <f>'Link in'!L42</f>
        <v>22.3</v>
      </c>
      <c r="V131" s="98">
        <f t="shared" ref="V131:V138" si="53">ROUND((S131*U131),0)</f>
        <v>0</v>
      </c>
      <c r="W131" s="102"/>
      <c r="X131" s="98">
        <f t="shared" ref="X131:X139" si="54">+V131-Q131</f>
        <v>0</v>
      </c>
      <c r="Y131" s="103"/>
      <c r="Z131" s="119">
        <f t="shared" si="45"/>
        <v>0</v>
      </c>
    </row>
    <row r="132" spans="1:26" ht="15" x14ac:dyDescent="0.25">
      <c r="A132" s="111">
        <v>5</v>
      </c>
      <c r="B132" s="86" t="s">
        <v>32</v>
      </c>
      <c r="C132" s="98"/>
      <c r="D132" s="102">
        <f>'Link in'!E12</f>
        <v>24</v>
      </c>
      <c r="E132" s="103"/>
      <c r="F132" s="121">
        <f>'Link in'!E43</f>
        <v>31.23</v>
      </c>
      <c r="G132" s="102">
        <f t="shared" si="46"/>
        <v>750</v>
      </c>
      <c r="H132" s="98"/>
      <c r="I132" s="102">
        <f t="shared" si="47"/>
        <v>24</v>
      </c>
      <c r="J132" s="103"/>
      <c r="K132" s="121">
        <f t="shared" si="48"/>
        <v>37.1</v>
      </c>
      <c r="L132" s="102">
        <f t="shared" si="49"/>
        <v>890</v>
      </c>
      <c r="M132" s="98"/>
      <c r="N132" s="102">
        <f>'Link in'!O12</f>
        <v>24</v>
      </c>
      <c r="O132" s="103"/>
      <c r="P132" s="121">
        <f t="shared" si="50"/>
        <v>31.23</v>
      </c>
      <c r="Q132" s="102">
        <f t="shared" si="51"/>
        <v>750</v>
      </c>
      <c r="R132" s="98"/>
      <c r="S132" s="98">
        <f t="shared" si="52"/>
        <v>24</v>
      </c>
      <c r="T132" s="99"/>
      <c r="U132" s="121">
        <f>'Link in'!L43</f>
        <v>37.1</v>
      </c>
      <c r="V132" s="98">
        <f t="shared" si="53"/>
        <v>890</v>
      </c>
      <c r="W132" s="102"/>
      <c r="X132" s="98">
        <f t="shared" si="54"/>
        <v>140</v>
      </c>
      <c r="Y132" s="103"/>
      <c r="Z132" s="119">
        <f t="shared" si="45"/>
        <v>0.1867</v>
      </c>
    </row>
    <row r="133" spans="1:26" ht="15" x14ac:dyDescent="0.25">
      <c r="A133" s="111">
        <v>6</v>
      </c>
      <c r="B133" s="86" t="s">
        <v>33</v>
      </c>
      <c r="C133" s="98"/>
      <c r="D133" s="102">
        <f>'Link in'!E13</f>
        <v>24</v>
      </c>
      <c r="E133" s="103"/>
      <c r="F133" s="121">
        <f>'Link in'!E44</f>
        <v>62.45</v>
      </c>
      <c r="G133" s="102">
        <f t="shared" si="46"/>
        <v>1499</v>
      </c>
      <c r="H133" s="98"/>
      <c r="I133" s="102">
        <f t="shared" si="47"/>
        <v>24</v>
      </c>
      <c r="J133" s="103"/>
      <c r="K133" s="121">
        <f t="shared" si="48"/>
        <v>74.3</v>
      </c>
      <c r="L133" s="102">
        <f t="shared" si="49"/>
        <v>1783</v>
      </c>
      <c r="M133" s="98"/>
      <c r="N133" s="102">
        <f>'Link in'!O13</f>
        <v>24</v>
      </c>
      <c r="O133" s="103"/>
      <c r="P133" s="121">
        <f t="shared" si="50"/>
        <v>62.45</v>
      </c>
      <c r="Q133" s="102">
        <f t="shared" si="51"/>
        <v>1499</v>
      </c>
      <c r="R133" s="98"/>
      <c r="S133" s="98">
        <f t="shared" si="52"/>
        <v>24</v>
      </c>
      <c r="T133" s="99"/>
      <c r="U133" s="121">
        <f>'Link in'!L44</f>
        <v>74.3</v>
      </c>
      <c r="V133" s="98">
        <f t="shared" si="53"/>
        <v>1783</v>
      </c>
      <c r="W133" s="102"/>
      <c r="X133" s="98">
        <f t="shared" si="54"/>
        <v>284</v>
      </c>
      <c r="Y133" s="103"/>
      <c r="Z133" s="119">
        <f t="shared" si="45"/>
        <v>0.1895</v>
      </c>
    </row>
    <row r="134" spans="1:26" ht="15" x14ac:dyDescent="0.25">
      <c r="A134" s="111">
        <v>7</v>
      </c>
      <c r="B134" s="86" t="s">
        <v>34</v>
      </c>
      <c r="C134" s="98"/>
      <c r="D134" s="102">
        <f>'Link in'!E14</f>
        <v>289.93975180144116</v>
      </c>
      <c r="E134" s="103"/>
      <c r="F134" s="121">
        <f>'Link in'!E45</f>
        <v>99.92</v>
      </c>
      <c r="G134" s="102">
        <f t="shared" si="46"/>
        <v>28971</v>
      </c>
      <c r="H134" s="98"/>
      <c r="I134" s="102">
        <f t="shared" si="47"/>
        <v>289.93975180144116</v>
      </c>
      <c r="J134" s="103"/>
      <c r="K134" s="121">
        <f t="shared" si="48"/>
        <v>118.8</v>
      </c>
      <c r="L134" s="102">
        <f t="shared" si="49"/>
        <v>34445</v>
      </c>
      <c r="M134" s="98"/>
      <c r="N134" s="102">
        <f>'Link in'!O14</f>
        <v>296</v>
      </c>
      <c r="O134" s="103"/>
      <c r="P134" s="121">
        <f t="shared" si="50"/>
        <v>99.92</v>
      </c>
      <c r="Q134" s="102">
        <f t="shared" si="51"/>
        <v>29576</v>
      </c>
      <c r="R134" s="98"/>
      <c r="S134" s="98">
        <f t="shared" si="52"/>
        <v>296</v>
      </c>
      <c r="T134" s="99"/>
      <c r="U134" s="121">
        <f>'Link in'!L45</f>
        <v>118.8</v>
      </c>
      <c r="V134" s="98">
        <f t="shared" si="53"/>
        <v>35165</v>
      </c>
      <c r="W134" s="102"/>
      <c r="X134" s="98">
        <f t="shared" si="54"/>
        <v>5589</v>
      </c>
      <c r="Y134" s="103"/>
      <c r="Z134" s="119">
        <f t="shared" si="45"/>
        <v>0.189</v>
      </c>
    </row>
    <row r="135" spans="1:26" ht="15" x14ac:dyDescent="0.25">
      <c r="A135" s="111">
        <v>8</v>
      </c>
      <c r="B135" s="86" t="s">
        <v>35</v>
      </c>
      <c r="C135" s="98"/>
      <c r="D135" s="102">
        <f>'Link in'!E15</f>
        <v>0</v>
      </c>
      <c r="E135" s="103"/>
      <c r="F135" s="121">
        <f>'Link in'!E46</f>
        <v>187.35</v>
      </c>
      <c r="G135" s="102">
        <f t="shared" si="46"/>
        <v>0</v>
      </c>
      <c r="H135" s="98"/>
      <c r="I135" s="102">
        <f t="shared" si="47"/>
        <v>0</v>
      </c>
      <c r="J135" s="103"/>
      <c r="K135" s="121">
        <f t="shared" si="48"/>
        <v>222.8</v>
      </c>
      <c r="L135" s="102">
        <f t="shared" si="49"/>
        <v>0</v>
      </c>
      <c r="M135" s="98"/>
      <c r="N135" s="102">
        <f>'Link in'!O15</f>
        <v>0</v>
      </c>
      <c r="O135" s="103"/>
      <c r="P135" s="121">
        <f t="shared" si="50"/>
        <v>187.35</v>
      </c>
      <c r="Q135" s="102">
        <f t="shared" si="51"/>
        <v>0</v>
      </c>
      <c r="R135" s="98"/>
      <c r="S135" s="98">
        <f t="shared" si="52"/>
        <v>0</v>
      </c>
      <c r="T135" s="99"/>
      <c r="U135" s="121">
        <f>'Link in'!L46</f>
        <v>222.8</v>
      </c>
      <c r="V135" s="98">
        <f t="shared" si="53"/>
        <v>0</v>
      </c>
      <c r="W135" s="102"/>
      <c r="X135" s="98">
        <f t="shared" si="54"/>
        <v>0</v>
      </c>
      <c r="Y135" s="103"/>
      <c r="Z135" s="119">
        <f t="shared" si="45"/>
        <v>0</v>
      </c>
    </row>
    <row r="136" spans="1:26" ht="15" x14ac:dyDescent="0.25">
      <c r="A136" s="111">
        <v>9</v>
      </c>
      <c r="B136" s="86" t="s">
        <v>36</v>
      </c>
      <c r="C136" s="98"/>
      <c r="D136" s="102">
        <f>'Link in'!E16</f>
        <v>126</v>
      </c>
      <c r="E136" s="103"/>
      <c r="F136" s="121">
        <f>'Link in'!E47</f>
        <v>312.25</v>
      </c>
      <c r="G136" s="102">
        <f t="shared" si="46"/>
        <v>39344</v>
      </c>
      <c r="H136" s="98"/>
      <c r="I136" s="102">
        <f t="shared" si="47"/>
        <v>126</v>
      </c>
      <c r="J136" s="103"/>
      <c r="K136" s="121">
        <f t="shared" si="48"/>
        <v>371.3</v>
      </c>
      <c r="L136" s="102">
        <f t="shared" si="49"/>
        <v>46784</v>
      </c>
      <c r="M136" s="98"/>
      <c r="N136" s="102">
        <f>'Link in'!O16</f>
        <v>120</v>
      </c>
      <c r="O136" s="103"/>
      <c r="P136" s="121">
        <f t="shared" si="50"/>
        <v>312.25</v>
      </c>
      <c r="Q136" s="102">
        <f t="shared" si="51"/>
        <v>37470</v>
      </c>
      <c r="R136" s="98"/>
      <c r="S136" s="98">
        <f t="shared" si="52"/>
        <v>120</v>
      </c>
      <c r="T136" s="99"/>
      <c r="U136" s="121">
        <f>'Link in'!L47</f>
        <v>371.3</v>
      </c>
      <c r="V136" s="98">
        <f t="shared" si="53"/>
        <v>44556</v>
      </c>
      <c r="W136" s="102"/>
      <c r="X136" s="98">
        <f t="shared" si="54"/>
        <v>7086</v>
      </c>
      <c r="Y136" s="103"/>
      <c r="Z136" s="119">
        <f t="shared" si="45"/>
        <v>0.18909999999999999</v>
      </c>
    </row>
    <row r="137" spans="1:26" ht="15" x14ac:dyDescent="0.25">
      <c r="A137" s="111">
        <v>10</v>
      </c>
      <c r="B137" s="86" t="s">
        <v>37</v>
      </c>
      <c r="C137" s="98"/>
      <c r="D137" s="102">
        <f>'Link in'!E17</f>
        <v>95.879455564451561</v>
      </c>
      <c r="E137" s="103"/>
      <c r="F137" s="121">
        <f>'Link in'!E48</f>
        <v>624.5</v>
      </c>
      <c r="G137" s="102">
        <f t="shared" si="46"/>
        <v>59877</v>
      </c>
      <c r="H137" s="98"/>
      <c r="I137" s="102">
        <f t="shared" si="47"/>
        <v>95.879455564451561</v>
      </c>
      <c r="J137" s="103"/>
      <c r="K137" s="121">
        <f t="shared" si="48"/>
        <v>742.5</v>
      </c>
      <c r="L137" s="102">
        <f t="shared" si="49"/>
        <v>71190</v>
      </c>
      <c r="M137" s="98"/>
      <c r="N137" s="102">
        <f>'Link in'!O17</f>
        <v>96</v>
      </c>
      <c r="O137" s="103"/>
      <c r="P137" s="121">
        <f t="shared" si="50"/>
        <v>624.5</v>
      </c>
      <c r="Q137" s="102">
        <f t="shared" si="51"/>
        <v>59952</v>
      </c>
      <c r="R137" s="98"/>
      <c r="S137" s="98">
        <f t="shared" si="52"/>
        <v>96</v>
      </c>
      <c r="T137" s="99"/>
      <c r="U137" s="121">
        <f>'Link in'!L48</f>
        <v>742.5</v>
      </c>
      <c r="V137" s="98">
        <f t="shared" si="53"/>
        <v>71280</v>
      </c>
      <c r="W137" s="102"/>
      <c r="X137" s="98">
        <f t="shared" si="54"/>
        <v>11328</v>
      </c>
      <c r="Y137" s="103"/>
      <c r="Z137" s="119">
        <f t="shared" si="45"/>
        <v>0.189</v>
      </c>
    </row>
    <row r="138" spans="1:26" ht="15" x14ac:dyDescent="0.25">
      <c r="A138" s="111">
        <v>11</v>
      </c>
      <c r="B138" s="86" t="s">
        <v>38</v>
      </c>
      <c r="C138" s="98"/>
      <c r="D138" s="102">
        <f>'Link in'!E18</f>
        <v>0</v>
      </c>
      <c r="E138" s="103"/>
      <c r="F138" s="121">
        <f>'Link in'!E49</f>
        <v>999.2</v>
      </c>
      <c r="G138" s="102">
        <f t="shared" si="46"/>
        <v>0</v>
      </c>
      <c r="H138" s="98"/>
      <c r="I138" s="102">
        <f t="shared" si="47"/>
        <v>0</v>
      </c>
      <c r="J138" s="103"/>
      <c r="K138" s="121">
        <f t="shared" si="48"/>
        <v>1188</v>
      </c>
      <c r="L138" s="102">
        <f t="shared" si="49"/>
        <v>0</v>
      </c>
      <c r="M138" s="98"/>
      <c r="N138" s="102">
        <f>'Link in'!O18</f>
        <v>0</v>
      </c>
      <c r="O138" s="103"/>
      <c r="P138" s="121">
        <f t="shared" si="50"/>
        <v>999.2</v>
      </c>
      <c r="Q138" s="102">
        <f t="shared" si="51"/>
        <v>0</v>
      </c>
      <c r="R138" s="98"/>
      <c r="S138" s="98">
        <f t="shared" si="52"/>
        <v>0</v>
      </c>
      <c r="T138" s="99"/>
      <c r="U138" s="121">
        <f>'Link in'!L49</f>
        <v>1188</v>
      </c>
      <c r="V138" s="98">
        <f t="shared" si="53"/>
        <v>0</v>
      </c>
      <c r="W138" s="102"/>
      <c r="X138" s="98">
        <f t="shared" si="54"/>
        <v>0</v>
      </c>
      <c r="Y138" s="103"/>
      <c r="Z138" s="119">
        <f t="shared" si="45"/>
        <v>0</v>
      </c>
    </row>
    <row r="139" spans="1:26" ht="15" x14ac:dyDescent="0.25">
      <c r="A139" s="111">
        <v>12</v>
      </c>
      <c r="B139" s="86" t="s">
        <v>114</v>
      </c>
      <c r="C139" s="98"/>
      <c r="D139" s="102"/>
      <c r="E139" s="103"/>
      <c r="F139" s="121"/>
      <c r="G139" s="102"/>
      <c r="H139" s="98"/>
      <c r="I139" s="102"/>
      <c r="J139" s="103"/>
      <c r="K139" s="121"/>
      <c r="L139" s="102"/>
      <c r="M139" s="98"/>
      <c r="N139" s="102"/>
      <c r="O139" s="103"/>
      <c r="P139" s="121"/>
      <c r="Q139" s="121"/>
      <c r="R139" s="98"/>
      <c r="S139" s="98"/>
      <c r="T139" s="99"/>
      <c r="U139" s="120"/>
      <c r="V139" s="98"/>
      <c r="W139" s="102"/>
      <c r="X139" s="98">
        <f t="shared" si="54"/>
        <v>0</v>
      </c>
      <c r="Y139" s="103"/>
      <c r="Z139" s="119">
        <f t="shared" si="45"/>
        <v>0</v>
      </c>
    </row>
    <row r="140" spans="1:26" ht="15" x14ac:dyDescent="0.25">
      <c r="A140" s="111">
        <v>13</v>
      </c>
      <c r="B140" s="86"/>
      <c r="C140" s="98"/>
      <c r="D140" s="102"/>
      <c r="E140" s="103"/>
      <c r="F140" s="121"/>
      <c r="G140" s="102"/>
      <c r="H140" s="98"/>
      <c r="I140" s="102"/>
      <c r="J140" s="103"/>
      <c r="K140" s="121"/>
      <c r="L140" s="102"/>
      <c r="M140" s="98"/>
      <c r="N140" s="102"/>
      <c r="O140" s="103"/>
      <c r="P140" s="121"/>
      <c r="Q140" s="121"/>
      <c r="R140" s="98"/>
      <c r="S140" s="98"/>
      <c r="T140" s="99"/>
      <c r="U140" s="120"/>
      <c r="V140" s="98"/>
      <c r="W140" s="102"/>
      <c r="X140" s="118"/>
      <c r="Y140" s="103"/>
      <c r="Z140" s="119"/>
    </row>
    <row r="141" spans="1:26" ht="15" x14ac:dyDescent="0.25">
      <c r="A141" s="111">
        <v>14</v>
      </c>
      <c r="B141" s="86"/>
      <c r="C141" s="99"/>
      <c r="D141" s="103"/>
      <c r="E141" s="103"/>
      <c r="F141" s="103"/>
      <c r="G141" s="103"/>
      <c r="H141" s="99"/>
      <c r="I141" s="103"/>
      <c r="J141" s="103"/>
      <c r="K141" s="103"/>
      <c r="L141" s="103"/>
      <c r="M141" s="99"/>
      <c r="N141" s="103"/>
      <c r="O141" s="103"/>
      <c r="P141" s="103"/>
      <c r="Q141" s="103"/>
      <c r="R141" s="99"/>
      <c r="S141" s="99"/>
      <c r="T141" s="99"/>
      <c r="U141" s="99"/>
      <c r="V141" s="99"/>
      <c r="W141" s="103"/>
      <c r="X141" s="102"/>
      <c r="Y141" s="103"/>
      <c r="Z141" s="119"/>
    </row>
    <row r="142" spans="1:26" ht="15" x14ac:dyDescent="0.25">
      <c r="A142" s="111">
        <v>15</v>
      </c>
      <c r="B142" s="86"/>
      <c r="C142" s="86"/>
      <c r="D142" s="101"/>
      <c r="E142" s="101"/>
      <c r="F142" s="103"/>
      <c r="G142" s="101"/>
      <c r="H142" s="86"/>
      <c r="I142" s="101"/>
      <c r="J142" s="101"/>
      <c r="K142" s="103"/>
      <c r="L142" s="101"/>
      <c r="M142" s="86"/>
      <c r="N142" s="101"/>
      <c r="O142" s="101"/>
      <c r="P142" s="101"/>
      <c r="Q142" s="101"/>
      <c r="R142" s="86"/>
      <c r="S142" s="86"/>
      <c r="T142" s="86"/>
      <c r="U142" s="86"/>
      <c r="V142" s="86"/>
      <c r="W142" s="101"/>
      <c r="X142" s="101"/>
      <c r="Y142" s="101"/>
      <c r="Z142" s="101"/>
    </row>
    <row r="143" spans="1:26" ht="15" x14ac:dyDescent="0.25">
      <c r="A143" s="111">
        <v>16</v>
      </c>
      <c r="B143" s="117" t="s">
        <v>40</v>
      </c>
      <c r="C143" s="99"/>
      <c r="D143" s="103"/>
      <c r="E143" s="103"/>
      <c r="F143" s="103"/>
      <c r="G143" s="103"/>
      <c r="H143" s="99"/>
      <c r="I143" s="103"/>
      <c r="J143" s="103"/>
      <c r="K143" s="103"/>
      <c r="L143" s="103"/>
      <c r="M143" s="99"/>
      <c r="N143" s="103"/>
      <c r="O143" s="103"/>
      <c r="P143" s="103"/>
      <c r="Q143" s="103"/>
      <c r="R143" s="99"/>
      <c r="S143" s="99"/>
      <c r="T143" s="99"/>
      <c r="U143" s="99"/>
      <c r="V143" s="99"/>
      <c r="W143" s="103"/>
      <c r="X143" s="102"/>
      <c r="Y143" s="103"/>
      <c r="Z143" s="119"/>
    </row>
    <row r="144" spans="1:26" ht="15" x14ac:dyDescent="0.25">
      <c r="A144" s="111">
        <v>17</v>
      </c>
      <c r="B144" s="86" t="s">
        <v>41</v>
      </c>
      <c r="C144" s="104"/>
      <c r="D144" s="103"/>
      <c r="E144" s="102">
        <f>'Link in'!E23</f>
        <v>617787.86100000003</v>
      </c>
      <c r="F144" s="151">
        <f>'Link in'!E55</f>
        <v>3.8946700000000001</v>
      </c>
      <c r="G144" s="118">
        <f>ROUND((E144*F144),0)</f>
        <v>2406080</v>
      </c>
      <c r="H144" s="104"/>
      <c r="I144" s="103"/>
      <c r="J144" s="102">
        <f>E144</f>
        <v>617787.86100000003</v>
      </c>
      <c r="K144" s="151">
        <f>U144</f>
        <v>4.9219999999999997</v>
      </c>
      <c r="L144" s="118">
        <f>ROUND((J144*K144),0)</f>
        <v>3040752</v>
      </c>
      <c r="M144" s="104"/>
      <c r="N144" s="103"/>
      <c r="O144" s="102">
        <f>'Link in'!O23</f>
        <v>619086</v>
      </c>
      <c r="P144" s="151">
        <f>F144</f>
        <v>3.8946700000000001</v>
      </c>
      <c r="Q144" s="118">
        <f>ROUND((O144*P144),0)</f>
        <v>2411136</v>
      </c>
      <c r="R144" s="104"/>
      <c r="S144" s="99"/>
      <c r="T144" s="98">
        <f>O144</f>
        <v>619086</v>
      </c>
      <c r="U144" s="151">
        <f>+'Link in'!$L55</f>
        <v>4.9219999999999997</v>
      </c>
      <c r="V144" s="104">
        <f>ROUND((T144*U144),0)</f>
        <v>3047141</v>
      </c>
      <c r="W144" s="102"/>
      <c r="X144" s="104">
        <f t="shared" ref="X144:X150" si="55">+V144-Q144</f>
        <v>636005</v>
      </c>
      <c r="Y144" s="103"/>
      <c r="Z144" s="119">
        <f t="shared" ref="Z144:Z152" si="56">IF(Q144=0,0,ROUND((X144/Q144),4))</f>
        <v>0.26379999999999998</v>
      </c>
    </row>
    <row r="145" spans="1:27" ht="15" x14ac:dyDescent="0.25">
      <c r="A145" s="111">
        <v>18</v>
      </c>
      <c r="B145" s="86" t="s">
        <v>42</v>
      </c>
      <c r="C145" s="98"/>
      <c r="D145" s="101"/>
      <c r="E145" s="102">
        <f>'Link in'!E24</f>
        <v>0</v>
      </c>
      <c r="F145" s="129">
        <f>'Link in'!E56</f>
        <v>0</v>
      </c>
      <c r="G145" s="102">
        <f>ROUND((E145*F145),0)</f>
        <v>0</v>
      </c>
      <c r="H145" s="98"/>
      <c r="I145" s="101"/>
      <c r="J145" s="102">
        <f t="shared" ref="J145:J150" si="57">E145</f>
        <v>0</v>
      </c>
      <c r="K145" s="129">
        <f t="shared" ref="K145:K149" si="58">U145</f>
        <v>0</v>
      </c>
      <c r="L145" s="102">
        <f>ROUND((J145*K145),0)</f>
        <v>0</v>
      </c>
      <c r="M145" s="98"/>
      <c r="N145" s="101"/>
      <c r="O145" s="102">
        <f>'Link in'!O24</f>
        <v>0</v>
      </c>
      <c r="P145" s="129">
        <f t="shared" ref="P145:P149" si="59">F145</f>
        <v>0</v>
      </c>
      <c r="Q145" s="102">
        <f>ROUND((O145*P145),0)</f>
        <v>0</v>
      </c>
      <c r="R145" s="98"/>
      <c r="S145" s="86"/>
      <c r="T145" s="98">
        <f t="shared" ref="T145:T150" si="60">O145</f>
        <v>0</v>
      </c>
      <c r="U145" s="129">
        <f>+'Link in'!$L56</f>
        <v>0</v>
      </c>
      <c r="V145" s="98">
        <f>ROUND((T145*U145),0)</f>
        <v>0</v>
      </c>
      <c r="W145" s="102"/>
      <c r="X145" s="98">
        <f t="shared" si="55"/>
        <v>0</v>
      </c>
      <c r="Y145" s="101"/>
      <c r="Z145" s="119">
        <f t="shared" si="56"/>
        <v>0</v>
      </c>
    </row>
    <row r="146" spans="1:27" ht="15" x14ac:dyDescent="0.25">
      <c r="A146" s="111">
        <v>19</v>
      </c>
      <c r="B146" s="86" t="s">
        <v>43</v>
      </c>
      <c r="C146" s="98"/>
      <c r="D146" s="101"/>
      <c r="E146" s="102">
        <f>'Link in'!E25</f>
        <v>0</v>
      </c>
      <c r="F146" s="129">
        <f>'Link in'!E57</f>
        <v>0</v>
      </c>
      <c r="G146" s="102">
        <f>ROUND((E146*F146),0)</f>
        <v>0</v>
      </c>
      <c r="H146" s="98"/>
      <c r="I146" s="101"/>
      <c r="J146" s="102">
        <f t="shared" si="57"/>
        <v>0</v>
      </c>
      <c r="K146" s="129">
        <f t="shared" si="58"/>
        <v>0</v>
      </c>
      <c r="L146" s="102">
        <f>ROUND((J146*K146),0)</f>
        <v>0</v>
      </c>
      <c r="M146" s="98"/>
      <c r="N146" s="101"/>
      <c r="O146" s="102">
        <f>'Link in'!O25</f>
        <v>0</v>
      </c>
      <c r="P146" s="129">
        <f t="shared" si="59"/>
        <v>0</v>
      </c>
      <c r="Q146" s="102">
        <f>ROUND((O146*P146),0)</f>
        <v>0</v>
      </c>
      <c r="R146" s="98"/>
      <c r="S146" s="86"/>
      <c r="T146" s="98">
        <f t="shared" si="60"/>
        <v>0</v>
      </c>
      <c r="U146" s="129">
        <f>+'Link in'!$L57</f>
        <v>0</v>
      </c>
      <c r="V146" s="98">
        <f>ROUND((T146*U146),0)</f>
        <v>0</v>
      </c>
      <c r="W146" s="102"/>
      <c r="X146" s="98">
        <f t="shared" si="55"/>
        <v>0</v>
      </c>
      <c r="Y146" s="101"/>
      <c r="Z146" s="119">
        <f t="shared" si="56"/>
        <v>0</v>
      </c>
    </row>
    <row r="147" spans="1:27" ht="15" x14ac:dyDescent="0.25">
      <c r="A147" s="111">
        <v>20</v>
      </c>
      <c r="B147" s="86" t="s">
        <v>44</v>
      </c>
      <c r="C147" s="98"/>
      <c r="D147" s="101"/>
      <c r="E147" s="102">
        <f>'Link in'!E26</f>
        <v>0</v>
      </c>
      <c r="F147" s="129">
        <f>'Link in'!E58</f>
        <v>0</v>
      </c>
      <c r="G147" s="102">
        <f>ROUND((E147*F147),0)</f>
        <v>0</v>
      </c>
      <c r="H147" s="98"/>
      <c r="I147" s="101"/>
      <c r="J147" s="102">
        <f t="shared" si="57"/>
        <v>0</v>
      </c>
      <c r="K147" s="129">
        <f t="shared" si="58"/>
        <v>0</v>
      </c>
      <c r="L147" s="102">
        <f>ROUND((J147*K147),0)</f>
        <v>0</v>
      </c>
      <c r="M147" s="98"/>
      <c r="N147" s="101"/>
      <c r="O147" s="102">
        <f>'Link in'!O26</f>
        <v>0</v>
      </c>
      <c r="P147" s="129">
        <f t="shared" si="59"/>
        <v>0</v>
      </c>
      <c r="Q147" s="102">
        <f>ROUND((O147*P147),0)</f>
        <v>0</v>
      </c>
      <c r="R147" s="98"/>
      <c r="S147" s="86"/>
      <c r="T147" s="98">
        <f t="shared" si="60"/>
        <v>0</v>
      </c>
      <c r="U147" s="129">
        <f>+'Link in'!$L58</f>
        <v>0</v>
      </c>
      <c r="V147" s="98">
        <f>ROUND((T147*U147),0)</f>
        <v>0</v>
      </c>
      <c r="W147" s="102"/>
      <c r="X147" s="98">
        <f t="shared" si="55"/>
        <v>0</v>
      </c>
      <c r="Y147" s="101"/>
      <c r="Z147" s="119">
        <f t="shared" si="56"/>
        <v>0</v>
      </c>
    </row>
    <row r="148" spans="1:27" ht="15" x14ac:dyDescent="0.25">
      <c r="A148" s="111">
        <v>21</v>
      </c>
      <c r="B148" s="86" t="s">
        <v>96</v>
      </c>
      <c r="C148" s="86"/>
      <c r="D148" s="101"/>
      <c r="E148" s="102">
        <f>'Link in'!E27</f>
        <v>0</v>
      </c>
      <c r="F148" s="129">
        <f>'Link in'!E59</f>
        <v>0</v>
      </c>
      <c r="G148" s="102">
        <f t="shared" ref="G148:G149" si="61">ROUND((E148*F148),0)</f>
        <v>0</v>
      </c>
      <c r="H148" s="98"/>
      <c r="I148" s="101"/>
      <c r="J148" s="102">
        <f t="shared" si="57"/>
        <v>0</v>
      </c>
      <c r="K148" s="129">
        <f t="shared" si="58"/>
        <v>0</v>
      </c>
      <c r="L148" s="102">
        <f t="shared" ref="L148:L149" si="62">ROUND((J148*K148),0)</f>
        <v>0</v>
      </c>
      <c r="M148" s="86"/>
      <c r="N148" s="101"/>
      <c r="O148" s="102">
        <f>'Link in'!O27</f>
        <v>0</v>
      </c>
      <c r="P148" s="129">
        <f t="shared" si="59"/>
        <v>0</v>
      </c>
      <c r="Q148" s="102">
        <f t="shared" ref="Q148:Q149" si="63">ROUND((O148*P148),0)</f>
        <v>0</v>
      </c>
      <c r="R148" s="86"/>
      <c r="S148" s="86"/>
      <c r="T148" s="98">
        <f t="shared" si="60"/>
        <v>0</v>
      </c>
      <c r="U148" s="129">
        <f>+'Link in'!$L59</f>
        <v>0</v>
      </c>
      <c r="V148" s="98">
        <f t="shared" ref="V148:V149" si="64">ROUND((T148*U148),0)</f>
        <v>0</v>
      </c>
      <c r="W148" s="101"/>
      <c r="X148" s="98">
        <f t="shared" si="55"/>
        <v>0</v>
      </c>
      <c r="Y148" s="101"/>
      <c r="Z148" s="119">
        <f t="shared" si="56"/>
        <v>0</v>
      </c>
    </row>
    <row r="149" spans="1:27" ht="15" x14ac:dyDescent="0.25">
      <c r="A149" s="111">
        <v>22</v>
      </c>
      <c r="B149" s="86" t="s">
        <v>102</v>
      </c>
      <c r="C149" s="86"/>
      <c r="D149" s="101"/>
      <c r="E149" s="102">
        <f>'Link in'!E28</f>
        <v>0</v>
      </c>
      <c r="F149" s="129">
        <f>'Link in'!E60</f>
        <v>0</v>
      </c>
      <c r="G149" s="102">
        <f t="shared" si="61"/>
        <v>0</v>
      </c>
      <c r="H149" s="98"/>
      <c r="I149" s="101"/>
      <c r="J149" s="102">
        <f t="shared" si="57"/>
        <v>0</v>
      </c>
      <c r="K149" s="129">
        <f t="shared" si="58"/>
        <v>0</v>
      </c>
      <c r="L149" s="102">
        <f t="shared" si="62"/>
        <v>0</v>
      </c>
      <c r="M149" s="86"/>
      <c r="N149" s="101"/>
      <c r="O149" s="102">
        <f>'Link in'!O28</f>
        <v>0</v>
      </c>
      <c r="P149" s="129">
        <f t="shared" si="59"/>
        <v>0</v>
      </c>
      <c r="Q149" s="102">
        <f t="shared" si="63"/>
        <v>0</v>
      </c>
      <c r="R149" s="86"/>
      <c r="S149" s="86"/>
      <c r="T149" s="98">
        <f t="shared" si="60"/>
        <v>0</v>
      </c>
      <c r="U149" s="129">
        <f>+'Link in'!$L60</f>
        <v>0</v>
      </c>
      <c r="V149" s="98">
        <f t="shared" si="64"/>
        <v>0</v>
      </c>
      <c r="W149" s="101"/>
      <c r="X149" s="98">
        <f t="shared" si="55"/>
        <v>0</v>
      </c>
      <c r="Y149" s="101"/>
      <c r="Z149" s="119">
        <f t="shared" si="56"/>
        <v>0</v>
      </c>
    </row>
    <row r="150" spans="1:27" ht="15" x14ac:dyDescent="0.25">
      <c r="A150" s="111">
        <v>23</v>
      </c>
      <c r="B150" s="101" t="s">
        <v>109</v>
      </c>
      <c r="C150" s="130"/>
      <c r="D150" s="101"/>
      <c r="E150" s="101">
        <f>'Link in'!E32</f>
        <v>507.14400000000023</v>
      </c>
      <c r="F150" s="129"/>
      <c r="G150" s="130">
        <f>'Link in'!E34</f>
        <v>111291</v>
      </c>
      <c r="H150" s="130"/>
      <c r="I150" s="101"/>
      <c r="J150" s="102">
        <f t="shared" si="57"/>
        <v>507.14400000000023</v>
      </c>
      <c r="K150" s="151"/>
      <c r="L150" s="130">
        <f>G150</f>
        <v>111291</v>
      </c>
      <c r="M150" s="130"/>
      <c r="N150" s="101"/>
      <c r="O150" s="101"/>
      <c r="P150" s="113"/>
      <c r="Q150" s="130"/>
      <c r="R150" s="130"/>
      <c r="S150" s="101"/>
      <c r="T150" s="101">
        <f t="shared" si="60"/>
        <v>0</v>
      </c>
      <c r="U150" s="113"/>
      <c r="V150" s="130">
        <f>Q150</f>
        <v>0</v>
      </c>
      <c r="W150" s="130"/>
      <c r="X150" s="130">
        <f t="shared" si="55"/>
        <v>0</v>
      </c>
      <c r="Y150" s="101"/>
      <c r="Z150" s="119">
        <f t="shared" si="56"/>
        <v>0</v>
      </c>
      <c r="AA150" s="24"/>
    </row>
    <row r="151" spans="1:27" ht="15" x14ac:dyDescent="0.25">
      <c r="A151" s="111">
        <v>24</v>
      </c>
      <c r="B151" s="86"/>
      <c r="C151" s="140"/>
      <c r="D151" s="101"/>
      <c r="E151" s="101"/>
      <c r="F151" s="131"/>
      <c r="G151" s="131"/>
      <c r="H151" s="140"/>
      <c r="I151" s="101"/>
      <c r="J151" s="101"/>
      <c r="K151" s="131"/>
      <c r="L151" s="131"/>
      <c r="M151" s="140"/>
      <c r="N151" s="86"/>
      <c r="O151" s="86"/>
      <c r="P151" s="140"/>
      <c r="Q151" s="140"/>
      <c r="R151" s="140"/>
      <c r="S151" s="86"/>
      <c r="T151" s="86"/>
      <c r="U151" s="140"/>
      <c r="V151" s="140"/>
      <c r="W151" s="131"/>
      <c r="X151" s="102"/>
      <c r="Y151" s="101"/>
      <c r="Z151" s="119"/>
    </row>
    <row r="152" spans="1:27" ht="15.75" thickBot="1" x14ac:dyDescent="0.3">
      <c r="A152" s="111">
        <v>25</v>
      </c>
      <c r="B152" s="86" t="s">
        <v>1</v>
      </c>
      <c r="C152" s="144"/>
      <c r="D152" s="157"/>
      <c r="E152" s="158">
        <f>SUM(E144:E151)</f>
        <v>618295.005</v>
      </c>
      <c r="F152" s="133"/>
      <c r="G152" s="159">
        <f>SUM(G130:G151)</f>
        <v>2648688</v>
      </c>
      <c r="H152" s="144"/>
      <c r="I152" s="157"/>
      <c r="J152" s="158">
        <f>SUM(J144:J151)</f>
        <v>618295.005</v>
      </c>
      <c r="K152" s="133"/>
      <c r="L152" s="159">
        <f>SUM(L130:L151)</f>
        <v>3308177</v>
      </c>
      <c r="M152" s="144"/>
      <c r="N152" s="154"/>
      <c r="O152" s="155">
        <f>SUM(O144:O151)</f>
        <v>619086</v>
      </c>
      <c r="P152" s="144"/>
      <c r="Q152" s="156">
        <f>SUM(Q130:Q151)</f>
        <v>2541282</v>
      </c>
      <c r="R152" s="144"/>
      <c r="S152" s="154"/>
      <c r="T152" s="155">
        <f>SUM(T144:T151)</f>
        <v>619086</v>
      </c>
      <c r="U152" s="144"/>
      <c r="V152" s="156">
        <f>SUM(V130:V151)</f>
        <v>3201884</v>
      </c>
      <c r="W152" s="133"/>
      <c r="X152" s="159">
        <f>SUM(X130:X151)</f>
        <v>660602</v>
      </c>
      <c r="Y152" s="101"/>
      <c r="Z152" s="143">
        <f t="shared" si="56"/>
        <v>0.25990000000000002</v>
      </c>
    </row>
    <row r="153" spans="1:27" ht="15.75" thickTop="1" x14ac:dyDescent="0.25">
      <c r="A153" s="111"/>
      <c r="B153" s="86"/>
      <c r="C153" s="98"/>
      <c r="D153" s="86"/>
      <c r="E153" s="86"/>
      <c r="F153" s="138"/>
      <c r="G153" s="98"/>
      <c r="H153" s="98"/>
      <c r="I153" s="98"/>
      <c r="J153" s="98"/>
      <c r="K153" s="98"/>
      <c r="L153" s="98"/>
      <c r="M153" s="98"/>
      <c r="N153" s="98"/>
      <c r="O153" s="86"/>
      <c r="P153" s="138"/>
      <c r="Q153" s="98"/>
      <c r="R153" s="98"/>
      <c r="S153" s="86"/>
      <c r="T153" s="86"/>
      <c r="U153" s="138"/>
      <c r="V153" s="98"/>
      <c r="W153" s="101"/>
      <c r="X153" s="102"/>
      <c r="Y153" s="101"/>
      <c r="Z153" s="119"/>
    </row>
    <row r="154" spans="1:27" ht="15" x14ac:dyDescent="0.25">
      <c r="A154" s="111"/>
      <c r="B154" s="86"/>
      <c r="C154" s="98"/>
      <c r="D154" s="111"/>
      <c r="E154" s="86"/>
      <c r="F154" s="138"/>
      <c r="G154" s="98"/>
      <c r="H154" s="98"/>
      <c r="I154" s="98"/>
      <c r="J154" s="98"/>
      <c r="K154" s="98"/>
      <c r="L154" s="98"/>
      <c r="M154" s="98"/>
      <c r="N154" s="98"/>
      <c r="O154" s="86"/>
      <c r="P154" s="138"/>
      <c r="Q154" s="98"/>
      <c r="R154" s="98"/>
      <c r="S154" s="111"/>
      <c r="T154" s="86"/>
      <c r="U154" s="138"/>
      <c r="V154" s="98"/>
      <c r="W154" s="101"/>
      <c r="X154" s="102"/>
      <c r="Y154" s="101"/>
      <c r="Z154" s="119"/>
    </row>
    <row r="155" spans="1:27" ht="15" x14ac:dyDescent="0.25">
      <c r="A155" s="111"/>
      <c r="B155" s="86"/>
      <c r="C155" s="86"/>
      <c r="D155" s="86"/>
      <c r="E155" s="86"/>
      <c r="F155" s="160"/>
      <c r="G155" s="86"/>
      <c r="H155" s="86"/>
      <c r="I155" s="86"/>
      <c r="J155" s="86"/>
      <c r="K155" s="86"/>
      <c r="L155" s="86"/>
      <c r="M155" s="86"/>
      <c r="N155" s="86"/>
      <c r="O155" s="86"/>
      <c r="P155" s="160"/>
      <c r="Q155" s="86"/>
      <c r="R155" s="86"/>
      <c r="S155" s="86"/>
      <c r="T155" s="86"/>
      <c r="U155" s="160"/>
      <c r="V155" s="86"/>
      <c r="W155" s="101"/>
      <c r="X155" s="102"/>
      <c r="Y155" s="101"/>
      <c r="Z155" s="119"/>
    </row>
    <row r="156" spans="1:27" ht="15" x14ac:dyDescent="0.25">
      <c r="A156" s="111"/>
      <c r="B156" s="86"/>
      <c r="C156" s="86"/>
      <c r="D156" s="86"/>
      <c r="E156" s="86"/>
      <c r="F156" s="160"/>
      <c r="G156" s="86"/>
      <c r="H156" s="86"/>
      <c r="I156" s="86"/>
      <c r="J156" s="86"/>
      <c r="K156" s="86"/>
      <c r="L156" s="86"/>
      <c r="M156" s="86"/>
      <c r="N156" s="86"/>
      <c r="O156" s="86"/>
      <c r="P156" s="160"/>
      <c r="Q156" s="86"/>
      <c r="R156" s="86"/>
      <c r="S156" s="86"/>
      <c r="T156" s="86"/>
      <c r="U156" s="160"/>
      <c r="V156" s="86"/>
      <c r="W156" s="101"/>
      <c r="X156" s="102"/>
      <c r="Y156" s="101"/>
      <c r="Z156" s="119"/>
    </row>
    <row r="157" spans="1:27" ht="15" x14ac:dyDescent="0.25">
      <c r="A157" s="326" t="str">
        <f>A118</f>
        <v>Kentucky American Water Company</v>
      </c>
      <c r="B157" s="326"/>
      <c r="C157" s="326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6"/>
      <c r="Z157" s="326"/>
    </row>
    <row r="158" spans="1:27" ht="15" x14ac:dyDescent="0.25">
      <c r="A158" s="326" t="s">
        <v>77</v>
      </c>
      <c r="B158" s="326"/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  <c r="X158" s="326"/>
      <c r="Y158" s="326"/>
      <c r="Z158" s="326"/>
    </row>
    <row r="159" spans="1:27" ht="15" x14ac:dyDescent="0.25">
      <c r="A159" s="326" t="str">
        <f>A120</f>
        <v>Case No. 2015-00418</v>
      </c>
      <c r="B159" s="326"/>
      <c r="C159" s="326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  <c r="X159" s="326"/>
      <c r="Y159" s="326"/>
      <c r="Z159" s="326"/>
    </row>
    <row r="160" spans="1:27" ht="15" x14ac:dyDescent="0.25">
      <c r="A160" s="326" t="str">
        <f>A121</f>
        <v>Base Year for the 12 Months Ended April 30, 2016 and Forecast Year for the 12 Months Ended August 31, 2017</v>
      </c>
      <c r="B160" s="326"/>
      <c r="C160" s="326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  <c r="X160" s="326"/>
      <c r="Y160" s="326"/>
      <c r="Z160" s="326"/>
    </row>
    <row r="161" spans="1:26" ht="15" x14ac:dyDescent="0.25">
      <c r="A161" s="116" t="str">
        <f>A122</f>
        <v>Witness Responsible:   Linda Bridwell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101"/>
      <c r="X161" s="101"/>
      <c r="Y161" s="101"/>
      <c r="Z161" s="106" t="str">
        <f>Z122</f>
        <v>Exhibit 37, Schedule M-3</v>
      </c>
    </row>
    <row r="162" spans="1:26" ht="15" x14ac:dyDescent="0.25">
      <c r="A162" s="146" t="str">
        <f>A123</f>
        <v/>
      </c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08"/>
      <c r="X162" s="108"/>
      <c r="Y162" s="108"/>
      <c r="Z162" s="148" t="e">
        <f ca="1">Z123</f>
        <v>#VALUE!</v>
      </c>
    </row>
    <row r="163" spans="1:26" ht="15" x14ac:dyDescent="0.25">
      <c r="A163" s="86"/>
      <c r="B163" s="86"/>
      <c r="C163" s="111"/>
      <c r="D163" s="319" t="s">
        <v>177</v>
      </c>
      <c r="E163" s="319" t="s">
        <v>97</v>
      </c>
      <c r="F163" s="319"/>
      <c r="G163" s="319"/>
      <c r="H163" s="111"/>
      <c r="I163" s="325" t="s">
        <v>176</v>
      </c>
      <c r="J163" s="325" t="s">
        <v>97</v>
      </c>
      <c r="K163" s="325"/>
      <c r="L163" s="325"/>
      <c r="M163" s="111"/>
      <c r="N163" s="319" t="s">
        <v>121</v>
      </c>
      <c r="O163" s="319" t="s">
        <v>98</v>
      </c>
      <c r="P163" s="319"/>
      <c r="Q163" s="319"/>
      <c r="R163" s="111"/>
      <c r="S163" s="319" t="s">
        <v>122</v>
      </c>
      <c r="T163" s="319" t="s">
        <v>99</v>
      </c>
      <c r="U163" s="319"/>
      <c r="V163" s="319"/>
      <c r="W163" s="112"/>
      <c r="X163" s="112"/>
      <c r="Y163" s="101"/>
      <c r="Z163" s="101"/>
    </row>
    <row r="164" spans="1:26" ht="15" x14ac:dyDescent="0.25">
      <c r="A164" s="86"/>
      <c r="B164" s="86"/>
      <c r="C164" s="111"/>
      <c r="D164" s="111" t="s">
        <v>27</v>
      </c>
      <c r="E164" s="111"/>
      <c r="F164" s="111"/>
      <c r="G164" s="111"/>
      <c r="H164" s="111"/>
      <c r="I164" s="113" t="s">
        <v>27</v>
      </c>
      <c r="J164" s="113"/>
      <c r="K164" s="113"/>
      <c r="L164" s="113"/>
      <c r="M164" s="111"/>
      <c r="N164" s="111" t="s">
        <v>27</v>
      </c>
      <c r="O164" s="111"/>
      <c r="P164" s="111"/>
      <c r="Q164" s="111"/>
      <c r="R164" s="111"/>
      <c r="S164" s="111" t="s">
        <v>27</v>
      </c>
      <c r="T164" s="111"/>
      <c r="U164" s="111"/>
      <c r="V164" s="111"/>
      <c r="W164" s="113"/>
      <c r="X164" s="113"/>
      <c r="Y164" s="101"/>
      <c r="Z164" s="101"/>
    </row>
    <row r="165" spans="1:26" ht="15" x14ac:dyDescent="0.25">
      <c r="A165" s="86"/>
      <c r="B165" s="111" t="s">
        <v>24</v>
      </c>
      <c r="C165" s="111"/>
      <c r="D165" s="111" t="s">
        <v>28</v>
      </c>
      <c r="E165" s="111" t="s">
        <v>39</v>
      </c>
      <c r="F165" s="111" t="s">
        <v>45</v>
      </c>
      <c r="G165" s="111" t="s">
        <v>1</v>
      </c>
      <c r="H165" s="111"/>
      <c r="I165" s="113" t="s">
        <v>28</v>
      </c>
      <c r="J165" s="113" t="s">
        <v>39</v>
      </c>
      <c r="K165" s="113" t="s">
        <v>178</v>
      </c>
      <c r="L165" s="113" t="s">
        <v>1</v>
      </c>
      <c r="M165" s="111"/>
      <c r="N165" s="111" t="s">
        <v>28</v>
      </c>
      <c r="O165" s="111" t="s">
        <v>39</v>
      </c>
      <c r="P165" s="111" t="s">
        <v>45</v>
      </c>
      <c r="Q165" s="111" t="s">
        <v>1</v>
      </c>
      <c r="R165" s="111"/>
      <c r="S165" s="111" t="s">
        <v>28</v>
      </c>
      <c r="T165" s="111" t="s">
        <v>39</v>
      </c>
      <c r="U165" s="111" t="s">
        <v>73</v>
      </c>
      <c r="V165" s="111" t="s">
        <v>1</v>
      </c>
      <c r="W165" s="113"/>
      <c r="X165" s="113" t="s">
        <v>51</v>
      </c>
      <c r="Y165" s="101"/>
      <c r="Z165" s="113" t="s">
        <v>53</v>
      </c>
    </row>
    <row r="166" spans="1:26" ht="15" x14ac:dyDescent="0.25">
      <c r="A166" s="114" t="s">
        <v>0</v>
      </c>
      <c r="B166" s="114" t="s">
        <v>2</v>
      </c>
      <c r="C166" s="111"/>
      <c r="D166" s="114" t="s">
        <v>29</v>
      </c>
      <c r="E166" s="114" t="str">
        <f>E127</f>
        <v>('000 Gal)</v>
      </c>
      <c r="F166" s="114" t="s">
        <v>46</v>
      </c>
      <c r="G166" s="114" t="s">
        <v>47</v>
      </c>
      <c r="H166" s="111"/>
      <c r="I166" s="115" t="s">
        <v>29</v>
      </c>
      <c r="J166" s="115" t="str">
        <f>J127</f>
        <v>('000 Gal)</v>
      </c>
      <c r="K166" s="115" t="s">
        <v>46</v>
      </c>
      <c r="L166" s="115" t="s">
        <v>47</v>
      </c>
      <c r="M166" s="111"/>
      <c r="N166" s="114" t="s">
        <v>29</v>
      </c>
      <c r="O166" s="114" t="str">
        <f>E166</f>
        <v>('000 Gal)</v>
      </c>
      <c r="P166" s="114" t="s">
        <v>46</v>
      </c>
      <c r="Q166" s="114" t="s">
        <v>47</v>
      </c>
      <c r="R166" s="111"/>
      <c r="S166" s="114" t="s">
        <v>29</v>
      </c>
      <c r="T166" s="114" t="str">
        <f>O166</f>
        <v>('000 Gal)</v>
      </c>
      <c r="U166" s="114" t="s">
        <v>46</v>
      </c>
      <c r="V166" s="114" t="s">
        <v>47</v>
      </c>
      <c r="W166" s="113"/>
      <c r="X166" s="115" t="s">
        <v>52</v>
      </c>
      <c r="Y166" s="101"/>
      <c r="Z166" s="115" t="s">
        <v>52</v>
      </c>
    </row>
    <row r="167" spans="1:26" ht="15" x14ac:dyDescent="0.25">
      <c r="A167" s="111">
        <v>1</v>
      </c>
      <c r="B167" s="116" t="s">
        <v>56</v>
      </c>
      <c r="C167" s="111"/>
      <c r="D167" s="86"/>
      <c r="E167" s="111"/>
      <c r="F167" s="111"/>
      <c r="G167" s="111"/>
      <c r="H167" s="111"/>
      <c r="I167" s="113"/>
      <c r="J167" s="113"/>
      <c r="K167" s="113"/>
      <c r="L167" s="113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3"/>
      <c r="X167" s="113"/>
      <c r="Y167" s="101"/>
      <c r="Z167" s="113"/>
    </row>
    <row r="168" spans="1:26" ht="15" x14ac:dyDescent="0.25">
      <c r="A168" s="111">
        <v>2</v>
      </c>
      <c r="B168" s="117" t="s">
        <v>26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101"/>
      <c r="X168" s="101"/>
      <c r="Y168" s="101"/>
      <c r="Z168" s="101"/>
    </row>
    <row r="169" spans="1:26" ht="15" x14ac:dyDescent="0.25">
      <c r="A169" s="111">
        <v>3</v>
      </c>
      <c r="B169" s="86" t="s">
        <v>30</v>
      </c>
      <c r="C169" s="104"/>
      <c r="D169" s="102">
        <f>'Link in'!F10</f>
        <v>1677.5252201761409</v>
      </c>
      <c r="E169" s="103"/>
      <c r="F169" s="149">
        <f>'Link in'!F41</f>
        <v>12.49</v>
      </c>
      <c r="G169" s="118">
        <f>ROUND((D169*F169),0)</f>
        <v>20952</v>
      </c>
      <c r="H169" s="104"/>
      <c r="I169" s="102">
        <f>D169</f>
        <v>1677.5252201761409</v>
      </c>
      <c r="J169" s="103"/>
      <c r="K169" s="149">
        <f>U169</f>
        <v>14.85</v>
      </c>
      <c r="L169" s="118">
        <f>ROUND((I169*K169),0)</f>
        <v>24911</v>
      </c>
      <c r="M169" s="104"/>
      <c r="N169" s="102">
        <f>'Link in'!P10</f>
        <v>1672</v>
      </c>
      <c r="O169" s="103"/>
      <c r="P169" s="149">
        <f>F169</f>
        <v>12.49</v>
      </c>
      <c r="Q169" s="118">
        <f>ROUND((N169*P169),0)</f>
        <v>20883</v>
      </c>
      <c r="R169" s="118"/>
      <c r="S169" s="98">
        <f>N169</f>
        <v>1672</v>
      </c>
      <c r="T169" s="99"/>
      <c r="U169" s="149">
        <f>'Link in'!M41</f>
        <v>14.85</v>
      </c>
      <c r="V169" s="104">
        <f>ROUND((S169*U169),0)</f>
        <v>24829</v>
      </c>
      <c r="W169" s="118"/>
      <c r="X169" s="104">
        <f>+V169-Q169</f>
        <v>3946</v>
      </c>
      <c r="Y169" s="103"/>
      <c r="Z169" s="119">
        <f t="shared" ref="Z169:Z178" si="65">IF(Q169=0,0,ROUND((X169/Q169),4))</f>
        <v>0.189</v>
      </c>
    </row>
    <row r="170" spans="1:26" ht="15" x14ac:dyDescent="0.25">
      <c r="A170" s="111">
        <v>4</v>
      </c>
      <c r="B170" s="86" t="s">
        <v>31</v>
      </c>
      <c r="C170" s="98"/>
      <c r="D170" s="102">
        <f>'Link in'!F11</f>
        <v>0</v>
      </c>
      <c r="E170" s="103"/>
      <c r="F170" s="121">
        <f>'Link in'!F42</f>
        <v>18.739999999999998</v>
      </c>
      <c r="G170" s="102">
        <f t="shared" ref="G170:G177" si="66">ROUND((D170*F170),0)</f>
        <v>0</v>
      </c>
      <c r="H170" s="98"/>
      <c r="I170" s="102">
        <f t="shared" ref="I170:I177" si="67">D170</f>
        <v>0</v>
      </c>
      <c r="J170" s="103"/>
      <c r="K170" s="121">
        <f t="shared" ref="K170:K177" si="68">U170</f>
        <v>22.3</v>
      </c>
      <c r="L170" s="102">
        <f t="shared" ref="L170:L177" si="69">ROUND((I170*K170),0)</f>
        <v>0</v>
      </c>
      <c r="M170" s="98"/>
      <c r="N170" s="102">
        <f>'Link in'!P11</f>
        <v>0</v>
      </c>
      <c r="O170" s="103"/>
      <c r="P170" s="121">
        <f t="shared" ref="P170:P177" si="70">F170</f>
        <v>18.739999999999998</v>
      </c>
      <c r="Q170" s="102">
        <f t="shared" ref="Q170:Q177" si="71">ROUND((N170*P170),0)</f>
        <v>0</v>
      </c>
      <c r="R170" s="102"/>
      <c r="S170" s="98">
        <f t="shared" ref="S170:S177" si="72">N170</f>
        <v>0</v>
      </c>
      <c r="T170" s="99"/>
      <c r="U170" s="121">
        <f>'Link in'!M42</f>
        <v>22.3</v>
      </c>
      <c r="V170" s="98">
        <f t="shared" ref="V170:V177" si="73">ROUND((S170*U170),0)</f>
        <v>0</v>
      </c>
      <c r="W170" s="102"/>
      <c r="X170" s="98">
        <f t="shared" ref="X170:X178" si="74">+V170-Q170</f>
        <v>0</v>
      </c>
      <c r="Y170" s="103"/>
      <c r="Z170" s="119">
        <f t="shared" si="65"/>
        <v>0</v>
      </c>
    </row>
    <row r="171" spans="1:26" ht="15" x14ac:dyDescent="0.25">
      <c r="A171" s="111">
        <v>5</v>
      </c>
      <c r="B171" s="86" t="s">
        <v>32</v>
      </c>
      <c r="C171" s="98"/>
      <c r="D171" s="102">
        <f>'Link in'!F12</f>
        <v>2062.8408581492158</v>
      </c>
      <c r="E171" s="103"/>
      <c r="F171" s="121">
        <f>'Link in'!F43</f>
        <v>31.23</v>
      </c>
      <c r="G171" s="102">
        <f t="shared" si="66"/>
        <v>64423</v>
      </c>
      <c r="H171" s="98"/>
      <c r="I171" s="102">
        <f t="shared" si="67"/>
        <v>2062.8408581492158</v>
      </c>
      <c r="J171" s="103"/>
      <c r="K171" s="121">
        <f t="shared" si="68"/>
        <v>37.1</v>
      </c>
      <c r="L171" s="102">
        <f t="shared" si="69"/>
        <v>76531</v>
      </c>
      <c r="M171" s="98"/>
      <c r="N171" s="102">
        <f>'Link in'!P12</f>
        <v>2056</v>
      </c>
      <c r="O171" s="103"/>
      <c r="P171" s="121">
        <f t="shared" si="70"/>
        <v>31.23</v>
      </c>
      <c r="Q171" s="102">
        <f t="shared" si="71"/>
        <v>64209</v>
      </c>
      <c r="R171" s="102"/>
      <c r="S171" s="98">
        <f t="shared" si="72"/>
        <v>2056</v>
      </c>
      <c r="T171" s="99"/>
      <c r="U171" s="121">
        <f>'Link in'!M43</f>
        <v>37.1</v>
      </c>
      <c r="V171" s="98">
        <f t="shared" si="73"/>
        <v>76278</v>
      </c>
      <c r="W171" s="102"/>
      <c r="X171" s="98">
        <f t="shared" si="74"/>
        <v>12069</v>
      </c>
      <c r="Y171" s="103"/>
      <c r="Z171" s="119">
        <f t="shared" si="65"/>
        <v>0.188</v>
      </c>
    </row>
    <row r="172" spans="1:26" ht="15" x14ac:dyDescent="0.25">
      <c r="A172" s="111">
        <v>6</v>
      </c>
      <c r="B172" s="86" t="s">
        <v>33</v>
      </c>
      <c r="C172" s="98"/>
      <c r="D172" s="102">
        <f>'Link in'!F13</f>
        <v>340.3287429943955</v>
      </c>
      <c r="E172" s="103"/>
      <c r="F172" s="121">
        <f>'Link in'!F44</f>
        <v>62.45</v>
      </c>
      <c r="G172" s="102">
        <f t="shared" si="66"/>
        <v>21254</v>
      </c>
      <c r="H172" s="98"/>
      <c r="I172" s="102">
        <f t="shared" si="67"/>
        <v>340.3287429943955</v>
      </c>
      <c r="J172" s="103"/>
      <c r="K172" s="121">
        <f t="shared" si="68"/>
        <v>74.3</v>
      </c>
      <c r="L172" s="102">
        <f t="shared" si="69"/>
        <v>25286</v>
      </c>
      <c r="M172" s="98"/>
      <c r="N172" s="102">
        <f>'Link in'!P13</f>
        <v>336</v>
      </c>
      <c r="O172" s="103"/>
      <c r="P172" s="121">
        <f t="shared" si="70"/>
        <v>62.45</v>
      </c>
      <c r="Q172" s="102">
        <f t="shared" si="71"/>
        <v>20983</v>
      </c>
      <c r="R172" s="102"/>
      <c r="S172" s="98">
        <f t="shared" si="72"/>
        <v>336</v>
      </c>
      <c r="T172" s="99"/>
      <c r="U172" s="121">
        <f>'Link in'!M44</f>
        <v>74.3</v>
      </c>
      <c r="V172" s="98">
        <f t="shared" si="73"/>
        <v>24965</v>
      </c>
      <c r="W172" s="102"/>
      <c r="X172" s="98">
        <f t="shared" si="74"/>
        <v>3982</v>
      </c>
      <c r="Y172" s="103"/>
      <c r="Z172" s="119">
        <f t="shared" si="65"/>
        <v>0.1898</v>
      </c>
    </row>
    <row r="173" spans="1:26" ht="15" x14ac:dyDescent="0.25">
      <c r="A173" s="111">
        <v>7</v>
      </c>
      <c r="B173" s="86" t="s">
        <v>34</v>
      </c>
      <c r="C173" s="98"/>
      <c r="D173" s="102">
        <f>'Link in'!F14</f>
        <v>4426.9592674139312</v>
      </c>
      <c r="E173" s="103"/>
      <c r="F173" s="121">
        <f>'Link in'!F45</f>
        <v>99.92</v>
      </c>
      <c r="G173" s="102">
        <f t="shared" si="66"/>
        <v>442342</v>
      </c>
      <c r="H173" s="98"/>
      <c r="I173" s="102">
        <f t="shared" si="67"/>
        <v>4426.9592674139312</v>
      </c>
      <c r="J173" s="103"/>
      <c r="K173" s="121">
        <f t="shared" si="68"/>
        <v>118.8</v>
      </c>
      <c r="L173" s="102">
        <f t="shared" si="69"/>
        <v>525923</v>
      </c>
      <c r="M173" s="98"/>
      <c r="N173" s="102">
        <f>'Link in'!P14</f>
        <v>4384</v>
      </c>
      <c r="O173" s="103"/>
      <c r="P173" s="121">
        <f t="shared" si="70"/>
        <v>99.92</v>
      </c>
      <c r="Q173" s="102">
        <f t="shared" si="71"/>
        <v>438049</v>
      </c>
      <c r="R173" s="102"/>
      <c r="S173" s="98">
        <f t="shared" si="72"/>
        <v>4384</v>
      </c>
      <c r="T173" s="99"/>
      <c r="U173" s="121">
        <f>'Link in'!M45</f>
        <v>118.8</v>
      </c>
      <c r="V173" s="98">
        <f t="shared" si="73"/>
        <v>520819</v>
      </c>
      <c r="W173" s="102"/>
      <c r="X173" s="98">
        <f t="shared" si="74"/>
        <v>82770</v>
      </c>
      <c r="Y173" s="103"/>
      <c r="Z173" s="119">
        <f t="shared" si="65"/>
        <v>0.189</v>
      </c>
    </row>
    <row r="174" spans="1:26" ht="15" x14ac:dyDescent="0.25">
      <c r="A174" s="111">
        <v>8</v>
      </c>
      <c r="B174" s="86" t="s">
        <v>35</v>
      </c>
      <c r="C174" s="98"/>
      <c r="D174" s="102">
        <f>'Link in'!F15</f>
        <v>12</v>
      </c>
      <c r="E174" s="103"/>
      <c r="F174" s="121">
        <f>'Link in'!F46</f>
        <v>187.35</v>
      </c>
      <c r="G174" s="102">
        <f t="shared" si="66"/>
        <v>2248</v>
      </c>
      <c r="H174" s="98"/>
      <c r="I174" s="102">
        <f t="shared" si="67"/>
        <v>12</v>
      </c>
      <c r="J174" s="103"/>
      <c r="K174" s="121">
        <f t="shared" si="68"/>
        <v>222.8</v>
      </c>
      <c r="L174" s="102">
        <f t="shared" si="69"/>
        <v>2674</v>
      </c>
      <c r="M174" s="98"/>
      <c r="N174" s="102">
        <f>'Link in'!P15</f>
        <v>12</v>
      </c>
      <c r="O174" s="103"/>
      <c r="P174" s="121">
        <f t="shared" si="70"/>
        <v>187.35</v>
      </c>
      <c r="Q174" s="102">
        <f t="shared" si="71"/>
        <v>2248</v>
      </c>
      <c r="R174" s="102"/>
      <c r="S174" s="98">
        <f t="shared" si="72"/>
        <v>12</v>
      </c>
      <c r="T174" s="99"/>
      <c r="U174" s="121">
        <f>'Link in'!M46</f>
        <v>222.8</v>
      </c>
      <c r="V174" s="98">
        <f t="shared" si="73"/>
        <v>2674</v>
      </c>
      <c r="W174" s="102"/>
      <c r="X174" s="98">
        <f t="shared" si="74"/>
        <v>426</v>
      </c>
      <c r="Y174" s="103"/>
      <c r="Z174" s="119">
        <f t="shared" si="65"/>
        <v>0.1895</v>
      </c>
    </row>
    <row r="175" spans="1:26" ht="15" x14ac:dyDescent="0.25">
      <c r="A175" s="111">
        <v>9</v>
      </c>
      <c r="B175" s="86" t="s">
        <v>36</v>
      </c>
      <c r="C175" s="98"/>
      <c r="D175" s="102">
        <f>'Link in'!F16</f>
        <v>505.49316253002405</v>
      </c>
      <c r="E175" s="103"/>
      <c r="F175" s="121">
        <f>'Link in'!F47</f>
        <v>312.25</v>
      </c>
      <c r="G175" s="102">
        <f t="shared" si="66"/>
        <v>157840</v>
      </c>
      <c r="H175" s="98"/>
      <c r="I175" s="102">
        <f t="shared" si="67"/>
        <v>505.49316253002405</v>
      </c>
      <c r="J175" s="103"/>
      <c r="K175" s="121">
        <f t="shared" si="68"/>
        <v>371.3</v>
      </c>
      <c r="L175" s="102">
        <f t="shared" si="69"/>
        <v>187690</v>
      </c>
      <c r="M175" s="98"/>
      <c r="N175" s="102">
        <f>'Link in'!P16</f>
        <v>504</v>
      </c>
      <c r="O175" s="103"/>
      <c r="P175" s="121">
        <f t="shared" si="70"/>
        <v>312.25</v>
      </c>
      <c r="Q175" s="102">
        <f t="shared" si="71"/>
        <v>157374</v>
      </c>
      <c r="R175" s="102"/>
      <c r="S175" s="98">
        <f t="shared" si="72"/>
        <v>504</v>
      </c>
      <c r="T175" s="99"/>
      <c r="U175" s="121">
        <f>'Link in'!M47</f>
        <v>371.3</v>
      </c>
      <c r="V175" s="98">
        <f t="shared" si="73"/>
        <v>187135</v>
      </c>
      <c r="W175" s="102"/>
      <c r="X175" s="98">
        <f t="shared" si="74"/>
        <v>29761</v>
      </c>
      <c r="Y175" s="103"/>
      <c r="Z175" s="119">
        <f t="shared" si="65"/>
        <v>0.18909999999999999</v>
      </c>
    </row>
    <row r="176" spans="1:26" ht="15" x14ac:dyDescent="0.25">
      <c r="A176" s="111">
        <v>10</v>
      </c>
      <c r="B176" s="86" t="s">
        <v>37</v>
      </c>
      <c r="C176" s="98"/>
      <c r="D176" s="102">
        <f>'Link in'!F17</f>
        <v>157</v>
      </c>
      <c r="E176" s="103"/>
      <c r="F176" s="121">
        <f>'Link in'!F48</f>
        <v>624.5</v>
      </c>
      <c r="G176" s="102">
        <f t="shared" si="66"/>
        <v>98047</v>
      </c>
      <c r="H176" s="98"/>
      <c r="I176" s="102">
        <f t="shared" si="67"/>
        <v>157</v>
      </c>
      <c r="J176" s="103"/>
      <c r="K176" s="121">
        <f t="shared" si="68"/>
        <v>742.5</v>
      </c>
      <c r="L176" s="102">
        <f t="shared" si="69"/>
        <v>116573</v>
      </c>
      <c r="M176" s="98"/>
      <c r="N176" s="102">
        <f>'Link in'!P17</f>
        <v>156</v>
      </c>
      <c r="O176" s="103"/>
      <c r="P176" s="121">
        <f t="shared" si="70"/>
        <v>624.5</v>
      </c>
      <c r="Q176" s="102">
        <f t="shared" si="71"/>
        <v>97422</v>
      </c>
      <c r="R176" s="102"/>
      <c r="S176" s="98">
        <f t="shared" si="72"/>
        <v>156</v>
      </c>
      <c r="T176" s="99"/>
      <c r="U176" s="121">
        <f>'Link in'!M48</f>
        <v>742.5</v>
      </c>
      <c r="V176" s="98">
        <f t="shared" si="73"/>
        <v>115830</v>
      </c>
      <c r="W176" s="102"/>
      <c r="X176" s="98">
        <f t="shared" si="74"/>
        <v>18408</v>
      </c>
      <c r="Y176" s="103"/>
      <c r="Z176" s="119">
        <f t="shared" si="65"/>
        <v>0.189</v>
      </c>
    </row>
    <row r="177" spans="1:27" ht="15" x14ac:dyDescent="0.25">
      <c r="A177" s="111">
        <v>11</v>
      </c>
      <c r="B177" s="86" t="s">
        <v>38</v>
      </c>
      <c r="C177" s="98"/>
      <c r="D177" s="102">
        <f>'Link in'!F18</f>
        <v>24</v>
      </c>
      <c r="E177" s="103"/>
      <c r="F177" s="121">
        <f>'Link in'!F49</f>
        <v>999.2</v>
      </c>
      <c r="G177" s="102">
        <f t="shared" si="66"/>
        <v>23981</v>
      </c>
      <c r="H177" s="98"/>
      <c r="I177" s="102">
        <f t="shared" si="67"/>
        <v>24</v>
      </c>
      <c r="J177" s="103"/>
      <c r="K177" s="121">
        <f t="shared" si="68"/>
        <v>1188</v>
      </c>
      <c r="L177" s="102">
        <f t="shared" si="69"/>
        <v>28512</v>
      </c>
      <c r="M177" s="98"/>
      <c r="N177" s="102">
        <f>'Link in'!P18</f>
        <v>24</v>
      </c>
      <c r="O177" s="103"/>
      <c r="P177" s="121">
        <f t="shared" si="70"/>
        <v>999.2</v>
      </c>
      <c r="Q177" s="102">
        <f t="shared" si="71"/>
        <v>23981</v>
      </c>
      <c r="R177" s="102"/>
      <c r="S177" s="98">
        <f t="shared" si="72"/>
        <v>24</v>
      </c>
      <c r="T177" s="99"/>
      <c r="U177" s="121">
        <f>'Link in'!M49</f>
        <v>1188</v>
      </c>
      <c r="V177" s="98">
        <f t="shared" si="73"/>
        <v>28512</v>
      </c>
      <c r="W177" s="102"/>
      <c r="X177" s="98">
        <f t="shared" si="74"/>
        <v>4531</v>
      </c>
      <c r="Y177" s="103"/>
      <c r="Z177" s="119">
        <f t="shared" si="65"/>
        <v>0.18890000000000001</v>
      </c>
    </row>
    <row r="178" spans="1:27" ht="15" x14ac:dyDescent="0.25">
      <c r="A178" s="111">
        <v>12</v>
      </c>
      <c r="B178" s="86" t="s">
        <v>114</v>
      </c>
      <c r="C178" s="98"/>
      <c r="D178" s="102"/>
      <c r="E178" s="103"/>
      <c r="F178" s="121"/>
      <c r="G178" s="102"/>
      <c r="H178" s="98"/>
      <c r="I178" s="102"/>
      <c r="J178" s="103"/>
      <c r="K178" s="121"/>
      <c r="L178" s="102"/>
      <c r="M178" s="98"/>
      <c r="N178" s="102"/>
      <c r="O178" s="103"/>
      <c r="P178" s="121"/>
      <c r="Q178" s="121"/>
      <c r="R178" s="102"/>
      <c r="S178" s="98"/>
      <c r="T178" s="99"/>
      <c r="U178" s="121"/>
      <c r="V178" s="98"/>
      <c r="W178" s="102"/>
      <c r="X178" s="98">
        <f t="shared" si="74"/>
        <v>0</v>
      </c>
      <c r="Y178" s="103"/>
      <c r="Z178" s="119">
        <f t="shared" si="65"/>
        <v>0</v>
      </c>
    </row>
    <row r="179" spans="1:27" ht="15" x14ac:dyDescent="0.25">
      <c r="A179" s="111">
        <v>13</v>
      </c>
      <c r="B179" s="86"/>
      <c r="C179" s="98"/>
      <c r="D179" s="102"/>
      <c r="E179" s="103"/>
      <c r="F179" s="121"/>
      <c r="G179" s="102"/>
      <c r="H179" s="98"/>
      <c r="I179" s="102"/>
      <c r="J179" s="103"/>
      <c r="K179" s="121"/>
      <c r="L179" s="102"/>
      <c r="M179" s="98"/>
      <c r="N179" s="102"/>
      <c r="O179" s="103"/>
      <c r="P179" s="121"/>
      <c r="Q179" s="121"/>
      <c r="R179" s="102"/>
      <c r="S179" s="98"/>
      <c r="T179" s="99"/>
      <c r="U179" s="121"/>
      <c r="V179" s="98"/>
      <c r="W179" s="102"/>
      <c r="X179" s="118"/>
      <c r="Y179" s="103"/>
      <c r="Z179" s="119"/>
    </row>
    <row r="180" spans="1:27" ht="15" x14ac:dyDescent="0.25">
      <c r="A180" s="111">
        <v>14</v>
      </c>
      <c r="B180" s="86"/>
      <c r="C180" s="99"/>
      <c r="D180" s="103"/>
      <c r="E180" s="103"/>
      <c r="F180" s="103"/>
      <c r="G180" s="103"/>
      <c r="H180" s="99"/>
      <c r="I180" s="103"/>
      <c r="J180" s="103"/>
      <c r="K180" s="103"/>
      <c r="L180" s="103"/>
      <c r="M180" s="99"/>
      <c r="N180" s="103"/>
      <c r="O180" s="103"/>
      <c r="P180" s="103"/>
      <c r="Q180" s="103"/>
      <c r="R180" s="103"/>
      <c r="S180" s="99"/>
      <c r="T180" s="99"/>
      <c r="U180" s="103"/>
      <c r="V180" s="99"/>
      <c r="W180" s="103"/>
      <c r="X180" s="102"/>
      <c r="Y180" s="103"/>
      <c r="Z180" s="119"/>
    </row>
    <row r="181" spans="1:27" ht="15" x14ac:dyDescent="0.25">
      <c r="A181" s="111">
        <v>15</v>
      </c>
      <c r="B181" s="86"/>
      <c r="C181" s="86"/>
      <c r="D181" s="101"/>
      <c r="E181" s="101"/>
      <c r="F181" s="103"/>
      <c r="G181" s="101"/>
      <c r="H181" s="86"/>
      <c r="I181" s="101"/>
      <c r="J181" s="101"/>
      <c r="K181" s="103"/>
      <c r="L181" s="101"/>
      <c r="M181" s="86"/>
      <c r="N181" s="101"/>
      <c r="O181" s="101"/>
      <c r="P181" s="101"/>
      <c r="Q181" s="101"/>
      <c r="R181" s="101"/>
      <c r="S181" s="86"/>
      <c r="T181" s="86"/>
      <c r="U181" s="101"/>
      <c r="V181" s="86"/>
      <c r="W181" s="101"/>
      <c r="X181" s="101"/>
      <c r="Y181" s="101"/>
      <c r="Z181" s="101"/>
    </row>
    <row r="182" spans="1:27" ht="15" x14ac:dyDescent="0.25">
      <c r="A182" s="111">
        <v>16</v>
      </c>
      <c r="B182" s="117" t="s">
        <v>40</v>
      </c>
      <c r="C182" s="99"/>
      <c r="D182" s="103"/>
      <c r="E182" s="103"/>
      <c r="F182" s="103"/>
      <c r="G182" s="103"/>
      <c r="H182" s="99"/>
      <c r="I182" s="103"/>
      <c r="J182" s="103"/>
      <c r="K182" s="103"/>
      <c r="L182" s="103"/>
      <c r="M182" s="99"/>
      <c r="N182" s="103"/>
      <c r="O182" s="103"/>
      <c r="P182" s="103"/>
      <c r="Q182" s="103"/>
      <c r="R182" s="103"/>
      <c r="S182" s="99"/>
      <c r="T182" s="99"/>
      <c r="U182" s="103"/>
      <c r="V182" s="99"/>
      <c r="W182" s="103"/>
      <c r="X182" s="102"/>
      <c r="Y182" s="103"/>
      <c r="Z182" s="119"/>
    </row>
    <row r="183" spans="1:27" ht="15" x14ac:dyDescent="0.25">
      <c r="A183" s="111">
        <v>17</v>
      </c>
      <c r="B183" s="86" t="s">
        <v>41</v>
      </c>
      <c r="C183" s="104"/>
      <c r="D183" s="103"/>
      <c r="E183" s="102">
        <f>'Link in'!F23</f>
        <v>1255294.24</v>
      </c>
      <c r="F183" s="151">
        <f>'Link in'!F55</f>
        <v>4.2451999999999996</v>
      </c>
      <c r="G183" s="118">
        <f>ROUND((E183*F183),0)</f>
        <v>5328975</v>
      </c>
      <c r="H183" s="104"/>
      <c r="I183" s="103"/>
      <c r="J183" s="102">
        <f>E183</f>
        <v>1255294.24</v>
      </c>
      <c r="K183" s="151">
        <f>U183</f>
        <v>5.1950000000000003</v>
      </c>
      <c r="L183" s="118">
        <f>ROUND((J183*K183),0)</f>
        <v>6521254</v>
      </c>
      <c r="M183" s="104"/>
      <c r="N183" s="103"/>
      <c r="O183" s="102">
        <f>'Link in'!P23</f>
        <v>1196002</v>
      </c>
      <c r="P183" s="151">
        <f>F183</f>
        <v>4.2451999999999996</v>
      </c>
      <c r="Q183" s="118">
        <f>ROUND((O183*P183),0)</f>
        <v>5077268</v>
      </c>
      <c r="R183" s="118"/>
      <c r="S183" s="99"/>
      <c r="T183" s="98">
        <f>O183</f>
        <v>1196002</v>
      </c>
      <c r="U183" s="151">
        <f>+'Link in'!$M55</f>
        <v>5.1950000000000003</v>
      </c>
      <c r="V183" s="104">
        <f>ROUND((T183*U183),0)</f>
        <v>6213230</v>
      </c>
      <c r="W183" s="102"/>
      <c r="X183" s="104">
        <f t="shared" ref="X183:X189" si="75">+V183-Q183</f>
        <v>1135962</v>
      </c>
      <c r="Y183" s="103"/>
      <c r="Z183" s="119">
        <f t="shared" ref="Z183:Z191" si="76">IF(Q183=0,0,ROUND((X183/Q183),4))</f>
        <v>0.22370000000000001</v>
      </c>
    </row>
    <row r="184" spans="1:27" ht="15" x14ac:dyDescent="0.25">
      <c r="A184" s="111">
        <v>18</v>
      </c>
      <c r="B184" s="86" t="s">
        <v>42</v>
      </c>
      <c r="C184" s="98"/>
      <c r="D184" s="101"/>
      <c r="E184" s="102">
        <f>'Link in'!F24</f>
        <v>0</v>
      </c>
      <c r="F184" s="129">
        <f>'Link in'!F56</f>
        <v>0</v>
      </c>
      <c r="G184" s="102">
        <f>ROUND((E184*F184),0)</f>
        <v>0</v>
      </c>
      <c r="H184" s="98"/>
      <c r="I184" s="101"/>
      <c r="J184" s="102">
        <f t="shared" ref="J184:J189" si="77">E184</f>
        <v>0</v>
      </c>
      <c r="K184" s="129">
        <f t="shared" ref="K184:K188" si="78">U184</f>
        <v>0</v>
      </c>
      <c r="L184" s="102">
        <f>ROUND((J184*K184),0)</f>
        <v>0</v>
      </c>
      <c r="M184" s="98"/>
      <c r="N184" s="101"/>
      <c r="O184" s="102">
        <f>'Link in'!P24</f>
        <v>0</v>
      </c>
      <c r="P184" s="129">
        <f t="shared" ref="P184:P188" si="79">F184</f>
        <v>0</v>
      </c>
      <c r="Q184" s="102">
        <f>ROUND((O184*P184),0)</f>
        <v>0</v>
      </c>
      <c r="R184" s="102"/>
      <c r="S184" s="86"/>
      <c r="T184" s="98">
        <f t="shared" ref="T184:T189" si="80">O184</f>
        <v>0</v>
      </c>
      <c r="U184" s="129">
        <f>+'Link in'!$M56</f>
        <v>0</v>
      </c>
      <c r="V184" s="98">
        <f>ROUND((T184*U184),0)</f>
        <v>0</v>
      </c>
      <c r="W184" s="102"/>
      <c r="X184" s="98">
        <f t="shared" si="75"/>
        <v>0</v>
      </c>
      <c r="Y184" s="101"/>
      <c r="Z184" s="119">
        <f t="shared" si="76"/>
        <v>0</v>
      </c>
    </row>
    <row r="185" spans="1:27" ht="15" x14ac:dyDescent="0.25">
      <c r="A185" s="111">
        <v>19</v>
      </c>
      <c r="B185" s="86" t="s">
        <v>43</v>
      </c>
      <c r="C185" s="98"/>
      <c r="D185" s="101"/>
      <c r="E185" s="102">
        <f>'Link in'!F25</f>
        <v>0</v>
      </c>
      <c r="F185" s="129">
        <f>'Link in'!F57</f>
        <v>0</v>
      </c>
      <c r="G185" s="102">
        <f>ROUND((E185*F185),0)</f>
        <v>0</v>
      </c>
      <c r="H185" s="98"/>
      <c r="I185" s="101"/>
      <c r="J185" s="102">
        <f t="shared" si="77"/>
        <v>0</v>
      </c>
      <c r="K185" s="129">
        <f t="shared" si="78"/>
        <v>0</v>
      </c>
      <c r="L185" s="102">
        <f>ROUND((J185*K185),0)</f>
        <v>0</v>
      </c>
      <c r="M185" s="98"/>
      <c r="N185" s="101"/>
      <c r="O185" s="102">
        <f>'Link in'!P25</f>
        <v>0</v>
      </c>
      <c r="P185" s="129">
        <f t="shared" si="79"/>
        <v>0</v>
      </c>
      <c r="Q185" s="102">
        <f>ROUND((O185*P185),0)</f>
        <v>0</v>
      </c>
      <c r="R185" s="102"/>
      <c r="S185" s="86"/>
      <c r="T185" s="98">
        <f t="shared" si="80"/>
        <v>0</v>
      </c>
      <c r="U185" s="129">
        <f>+'Link in'!$M57</f>
        <v>0</v>
      </c>
      <c r="V185" s="98">
        <f>ROUND((T185*U185),0)</f>
        <v>0</v>
      </c>
      <c r="W185" s="102"/>
      <c r="X185" s="98">
        <f t="shared" si="75"/>
        <v>0</v>
      </c>
      <c r="Y185" s="101"/>
      <c r="Z185" s="119">
        <f t="shared" si="76"/>
        <v>0</v>
      </c>
    </row>
    <row r="186" spans="1:27" ht="15" x14ac:dyDescent="0.25">
      <c r="A186" s="111">
        <v>20</v>
      </c>
      <c r="B186" s="86" t="s">
        <v>44</v>
      </c>
      <c r="C186" s="98"/>
      <c r="D186" s="101"/>
      <c r="E186" s="102">
        <f>'Link in'!F26</f>
        <v>0</v>
      </c>
      <c r="F186" s="129">
        <f>'Link in'!F58</f>
        <v>0</v>
      </c>
      <c r="G186" s="102">
        <f>ROUND((E186*F186),0)</f>
        <v>0</v>
      </c>
      <c r="H186" s="98"/>
      <c r="I186" s="101"/>
      <c r="J186" s="102">
        <f t="shared" si="77"/>
        <v>0</v>
      </c>
      <c r="K186" s="129">
        <f t="shared" si="78"/>
        <v>0</v>
      </c>
      <c r="L186" s="102">
        <f>ROUND((J186*K186),0)</f>
        <v>0</v>
      </c>
      <c r="M186" s="98"/>
      <c r="N186" s="101"/>
      <c r="O186" s="102">
        <f>'Link in'!P26</f>
        <v>0</v>
      </c>
      <c r="P186" s="129">
        <f t="shared" si="79"/>
        <v>0</v>
      </c>
      <c r="Q186" s="102">
        <f>ROUND((O186*P186),0)</f>
        <v>0</v>
      </c>
      <c r="R186" s="102"/>
      <c r="S186" s="86"/>
      <c r="T186" s="98">
        <f t="shared" si="80"/>
        <v>0</v>
      </c>
      <c r="U186" s="129">
        <f>+'Link in'!$M58</f>
        <v>0</v>
      </c>
      <c r="V186" s="98">
        <f>ROUND((T186*U186),0)</f>
        <v>0</v>
      </c>
      <c r="W186" s="102"/>
      <c r="X186" s="98">
        <f t="shared" si="75"/>
        <v>0</v>
      </c>
      <c r="Y186" s="101"/>
      <c r="Z186" s="119">
        <f t="shared" si="76"/>
        <v>0</v>
      </c>
    </row>
    <row r="187" spans="1:27" ht="15" x14ac:dyDescent="0.25">
      <c r="A187" s="111">
        <v>21</v>
      </c>
      <c r="B187" s="86" t="s">
        <v>96</v>
      </c>
      <c r="C187" s="86"/>
      <c r="D187" s="101"/>
      <c r="E187" s="102">
        <f>'Link in'!F27</f>
        <v>0</v>
      </c>
      <c r="F187" s="129">
        <f>'Link in'!F59</f>
        <v>0</v>
      </c>
      <c r="G187" s="102">
        <f t="shared" ref="G187:G188" si="81">ROUND((E187*F187),0)</f>
        <v>0</v>
      </c>
      <c r="H187" s="98"/>
      <c r="I187" s="101"/>
      <c r="J187" s="102">
        <f t="shared" si="77"/>
        <v>0</v>
      </c>
      <c r="K187" s="129">
        <f t="shared" si="78"/>
        <v>0</v>
      </c>
      <c r="L187" s="102">
        <f t="shared" ref="L187:L188" si="82">ROUND((J187*K187),0)</f>
        <v>0</v>
      </c>
      <c r="M187" s="86"/>
      <c r="N187" s="101"/>
      <c r="O187" s="102">
        <f>'Link in'!P27</f>
        <v>0</v>
      </c>
      <c r="P187" s="129">
        <f t="shared" si="79"/>
        <v>0</v>
      </c>
      <c r="Q187" s="102">
        <f t="shared" ref="Q187:Q188" si="83">ROUND((O187*P187),0)</f>
        <v>0</v>
      </c>
      <c r="R187" s="101"/>
      <c r="S187" s="86"/>
      <c r="T187" s="98">
        <f t="shared" si="80"/>
        <v>0</v>
      </c>
      <c r="U187" s="129">
        <f>+'Link in'!$M59</f>
        <v>0</v>
      </c>
      <c r="V187" s="98">
        <f t="shared" ref="V187:V188" si="84">ROUND((T187*U187),0)</f>
        <v>0</v>
      </c>
      <c r="W187" s="101"/>
      <c r="X187" s="98">
        <f t="shared" si="75"/>
        <v>0</v>
      </c>
      <c r="Y187" s="101"/>
      <c r="Z187" s="119">
        <f t="shared" si="76"/>
        <v>0</v>
      </c>
    </row>
    <row r="188" spans="1:27" ht="15" x14ac:dyDescent="0.25">
      <c r="A188" s="111">
        <v>22</v>
      </c>
      <c r="B188" s="86" t="s">
        <v>102</v>
      </c>
      <c r="C188" s="86"/>
      <c r="D188" s="101"/>
      <c r="E188" s="102">
        <f>'Link in'!F28</f>
        <v>0</v>
      </c>
      <c r="F188" s="129">
        <f>'Link in'!F60</f>
        <v>0</v>
      </c>
      <c r="G188" s="102">
        <f t="shared" si="81"/>
        <v>0</v>
      </c>
      <c r="H188" s="98"/>
      <c r="I188" s="101"/>
      <c r="J188" s="102">
        <f t="shared" si="77"/>
        <v>0</v>
      </c>
      <c r="K188" s="129">
        <f t="shared" si="78"/>
        <v>0</v>
      </c>
      <c r="L188" s="102">
        <f t="shared" si="82"/>
        <v>0</v>
      </c>
      <c r="M188" s="86"/>
      <c r="N188" s="101"/>
      <c r="O188" s="102">
        <f>'Link in'!P28</f>
        <v>0</v>
      </c>
      <c r="P188" s="129">
        <f t="shared" si="79"/>
        <v>0</v>
      </c>
      <c r="Q188" s="102">
        <f t="shared" si="83"/>
        <v>0</v>
      </c>
      <c r="R188" s="101"/>
      <c r="S188" s="86"/>
      <c r="T188" s="98">
        <f t="shared" si="80"/>
        <v>0</v>
      </c>
      <c r="U188" s="129">
        <f>+'Link in'!$M60</f>
        <v>0</v>
      </c>
      <c r="V188" s="98">
        <f t="shared" si="84"/>
        <v>0</v>
      </c>
      <c r="W188" s="101"/>
      <c r="X188" s="98">
        <f t="shared" si="75"/>
        <v>0</v>
      </c>
      <c r="Y188" s="101"/>
      <c r="Z188" s="119">
        <f t="shared" si="76"/>
        <v>0</v>
      </c>
    </row>
    <row r="189" spans="1:27" ht="15" x14ac:dyDescent="0.25">
      <c r="A189" s="111">
        <v>23</v>
      </c>
      <c r="B189" s="101" t="s">
        <v>109</v>
      </c>
      <c r="C189" s="130"/>
      <c r="D189" s="101"/>
      <c r="E189" s="101">
        <f>'Link in'!F32</f>
        <v>16390.92399999997</v>
      </c>
      <c r="F189" s="129"/>
      <c r="G189" s="130">
        <f>'Link in'!F34</f>
        <v>-37904.787647999125</v>
      </c>
      <c r="H189" s="130"/>
      <c r="I189" s="101"/>
      <c r="J189" s="102">
        <f t="shared" si="77"/>
        <v>16390.92399999997</v>
      </c>
      <c r="K189" s="151"/>
      <c r="L189" s="130">
        <f>G189</f>
        <v>-37904.787647999125</v>
      </c>
      <c r="M189" s="130"/>
      <c r="N189" s="101"/>
      <c r="O189" s="101"/>
      <c r="P189" s="113"/>
      <c r="Q189" s="130">
        <f>+'Link in'!P34</f>
        <v>0</v>
      </c>
      <c r="R189" s="130"/>
      <c r="S189" s="101"/>
      <c r="T189" s="101">
        <f t="shared" si="80"/>
        <v>0</v>
      </c>
      <c r="U189" s="113"/>
      <c r="V189" s="130">
        <f>Q189</f>
        <v>0</v>
      </c>
      <c r="W189" s="130"/>
      <c r="X189" s="130">
        <f t="shared" si="75"/>
        <v>0</v>
      </c>
      <c r="Y189" s="101"/>
      <c r="Z189" s="119">
        <f t="shared" si="76"/>
        <v>0</v>
      </c>
      <c r="AA189" s="24"/>
    </row>
    <row r="190" spans="1:27" ht="15" x14ac:dyDescent="0.25">
      <c r="A190" s="111">
        <v>24</v>
      </c>
      <c r="B190" s="86"/>
      <c r="C190" s="140"/>
      <c r="D190" s="86"/>
      <c r="E190" s="86"/>
      <c r="F190" s="140"/>
      <c r="G190" s="140"/>
      <c r="H190" s="140"/>
      <c r="I190" s="101"/>
      <c r="J190" s="101"/>
      <c r="K190" s="131"/>
      <c r="L190" s="131"/>
      <c r="M190" s="140"/>
      <c r="N190" s="86"/>
      <c r="O190" s="86"/>
      <c r="P190" s="140"/>
      <c r="Q190" s="140"/>
      <c r="R190" s="140"/>
      <c r="S190" s="86"/>
      <c r="T190" s="86"/>
      <c r="U190" s="140"/>
      <c r="V190" s="140"/>
      <c r="W190" s="131"/>
      <c r="X190" s="102"/>
      <c r="Y190" s="101"/>
      <c r="Z190" s="119"/>
    </row>
    <row r="191" spans="1:27" ht="15.75" thickBot="1" x14ac:dyDescent="0.3">
      <c r="A191" s="111">
        <v>25</v>
      </c>
      <c r="B191" s="86" t="s">
        <v>1</v>
      </c>
      <c r="C191" s="144"/>
      <c r="D191" s="154"/>
      <c r="E191" s="155">
        <f>SUM(E183:E190)</f>
        <v>1271685.1639999999</v>
      </c>
      <c r="F191" s="144"/>
      <c r="G191" s="156">
        <f>SUM(G169:G190)</f>
        <v>6122157.2123520011</v>
      </c>
      <c r="H191" s="144"/>
      <c r="I191" s="157"/>
      <c r="J191" s="158">
        <f>SUM(J183:J190)</f>
        <v>1271685.1639999999</v>
      </c>
      <c r="K191" s="133"/>
      <c r="L191" s="159">
        <f>SUM(L169:L190)</f>
        <v>7471449.2123520011</v>
      </c>
      <c r="M191" s="144"/>
      <c r="N191" s="154"/>
      <c r="O191" s="155">
        <f>SUM(O183:O190)</f>
        <v>1196002</v>
      </c>
      <c r="P191" s="144"/>
      <c r="Q191" s="156">
        <f>SUM(Q169:Q190)</f>
        <v>5902417</v>
      </c>
      <c r="R191" s="144"/>
      <c r="S191" s="154"/>
      <c r="T191" s="155">
        <f>SUM(T183:T190)</f>
        <v>1196002</v>
      </c>
      <c r="U191" s="144"/>
      <c r="V191" s="156">
        <f>SUM(V169:V190)</f>
        <v>7194272</v>
      </c>
      <c r="W191" s="133"/>
      <c r="X191" s="159">
        <f>SUM(X169:X190)</f>
        <v>1291855</v>
      </c>
      <c r="Y191" s="101"/>
      <c r="Z191" s="143">
        <f t="shared" si="76"/>
        <v>0.21890000000000001</v>
      </c>
    </row>
    <row r="192" spans="1:27" ht="15.75" thickTop="1" x14ac:dyDescent="0.25">
      <c r="A192" s="111"/>
      <c r="B192" s="86"/>
      <c r="C192" s="98"/>
      <c r="D192" s="86"/>
      <c r="E192" s="86"/>
      <c r="F192" s="138"/>
      <c r="G192" s="98"/>
      <c r="H192" s="98"/>
      <c r="I192" s="98"/>
      <c r="J192" s="98"/>
      <c r="K192" s="98"/>
      <c r="L192" s="98"/>
      <c r="M192" s="98"/>
      <c r="N192" s="98"/>
      <c r="O192" s="86"/>
      <c r="P192" s="138"/>
      <c r="Q192" s="98"/>
      <c r="R192" s="98"/>
      <c r="S192" s="86"/>
      <c r="T192" s="86"/>
      <c r="U192" s="138"/>
      <c r="V192" s="98"/>
      <c r="W192" s="101"/>
      <c r="X192" s="102"/>
      <c r="Y192" s="101"/>
      <c r="Z192" s="119"/>
    </row>
    <row r="193" spans="1:26" ht="15" x14ac:dyDescent="0.25">
      <c r="A193" s="111"/>
      <c r="B193" s="86"/>
      <c r="C193" s="98"/>
      <c r="D193" s="111"/>
      <c r="E193" s="86"/>
      <c r="F193" s="138"/>
      <c r="G193" s="98"/>
      <c r="H193" s="98"/>
      <c r="I193" s="98"/>
      <c r="J193" s="98"/>
      <c r="K193" s="98"/>
      <c r="L193" s="98"/>
      <c r="M193" s="98"/>
      <c r="N193" s="98"/>
      <c r="O193" s="86"/>
      <c r="P193" s="138"/>
      <c r="Q193" s="98"/>
      <c r="R193" s="98"/>
      <c r="S193" s="111"/>
      <c r="T193" s="86"/>
      <c r="U193" s="138"/>
      <c r="V193" s="98"/>
      <c r="W193" s="101"/>
      <c r="X193" s="102"/>
      <c r="Y193" s="101"/>
      <c r="Z193" s="119"/>
    </row>
    <row r="194" spans="1:26" ht="15" x14ac:dyDescent="0.25">
      <c r="A194" s="111"/>
      <c r="B194" s="86"/>
      <c r="C194" s="86"/>
      <c r="D194" s="86"/>
      <c r="E194" s="86"/>
      <c r="F194" s="160"/>
      <c r="G194" s="86"/>
      <c r="H194" s="86"/>
      <c r="I194" s="86"/>
      <c r="J194" s="86"/>
      <c r="K194" s="86"/>
      <c r="L194" s="86"/>
      <c r="M194" s="86"/>
      <c r="N194" s="86"/>
      <c r="O194" s="86"/>
      <c r="P194" s="160"/>
      <c r="Q194" s="86"/>
      <c r="R194" s="86"/>
      <c r="S194" s="86"/>
      <c r="T194" s="86"/>
      <c r="U194" s="160"/>
      <c r="V194" s="86"/>
      <c r="W194" s="101"/>
      <c r="X194" s="102"/>
      <c r="Y194" s="101"/>
      <c r="Z194" s="119"/>
    </row>
    <row r="195" spans="1:26" ht="15" x14ac:dyDescent="0.25">
      <c r="A195" s="111"/>
      <c r="B195" s="86"/>
      <c r="C195" s="86"/>
      <c r="D195" s="86"/>
      <c r="E195" s="86"/>
      <c r="F195" s="160"/>
      <c r="G195" s="86"/>
      <c r="H195" s="86"/>
      <c r="I195" s="86"/>
      <c r="J195" s="86"/>
      <c r="K195" s="86"/>
      <c r="L195" s="86"/>
      <c r="M195" s="86"/>
      <c r="N195" s="86"/>
      <c r="O195" s="86"/>
      <c r="P195" s="160"/>
      <c r="Q195" s="86"/>
      <c r="R195" s="86"/>
      <c r="S195" s="86"/>
      <c r="T195" s="86"/>
      <c r="U195" s="160"/>
      <c r="V195" s="86"/>
      <c r="W195" s="101"/>
      <c r="X195" s="102"/>
      <c r="Y195" s="101"/>
      <c r="Z195" s="119"/>
    </row>
    <row r="196" spans="1:26" ht="15" x14ac:dyDescent="0.25">
      <c r="A196" s="326" t="str">
        <f>A157</f>
        <v>Kentucky American Water Company</v>
      </c>
      <c r="B196" s="326"/>
      <c r="C196" s="326"/>
      <c r="D196" s="326"/>
      <c r="E196" s="326"/>
      <c r="F196" s="326"/>
      <c r="G196" s="326"/>
      <c r="H196" s="326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326"/>
      <c r="T196" s="326"/>
      <c r="U196" s="326"/>
      <c r="V196" s="326"/>
      <c r="W196" s="326"/>
      <c r="X196" s="326"/>
      <c r="Y196" s="326"/>
      <c r="Z196" s="326"/>
    </row>
    <row r="197" spans="1:26" ht="15" x14ac:dyDescent="0.25">
      <c r="A197" s="326" t="s">
        <v>77</v>
      </c>
      <c r="B197" s="326"/>
      <c r="C197" s="326"/>
      <c r="D197" s="326"/>
      <c r="E197" s="326"/>
      <c r="F197" s="326"/>
      <c r="G197" s="326"/>
      <c r="H197" s="326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326"/>
      <c r="T197" s="326"/>
      <c r="U197" s="326"/>
      <c r="V197" s="326"/>
      <c r="W197" s="326"/>
      <c r="X197" s="326"/>
      <c r="Y197" s="326"/>
      <c r="Z197" s="326"/>
    </row>
    <row r="198" spans="1:26" ht="15" x14ac:dyDescent="0.25">
      <c r="A198" s="326" t="str">
        <f>A159</f>
        <v>Case No. 2015-00418</v>
      </c>
      <c r="B198" s="326"/>
      <c r="C198" s="326"/>
      <c r="D198" s="326"/>
      <c r="E198" s="326"/>
      <c r="F198" s="326"/>
      <c r="G198" s="326"/>
      <c r="H198" s="326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326"/>
      <c r="T198" s="326"/>
      <c r="U198" s="326"/>
      <c r="V198" s="326"/>
      <c r="W198" s="326"/>
      <c r="X198" s="326"/>
      <c r="Y198" s="326"/>
      <c r="Z198" s="326"/>
    </row>
    <row r="199" spans="1:26" ht="15" x14ac:dyDescent="0.25">
      <c r="A199" s="326" t="str">
        <f>A160</f>
        <v>Base Year for the 12 Months Ended April 30, 2016 and Forecast Year for the 12 Months Ended August 31, 2017</v>
      </c>
      <c r="B199" s="326"/>
      <c r="C199" s="326"/>
      <c r="D199" s="326"/>
      <c r="E199" s="326"/>
      <c r="F199" s="326"/>
      <c r="G199" s="326"/>
      <c r="H199" s="326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326"/>
      <c r="U199" s="326"/>
      <c r="V199" s="326"/>
      <c r="W199" s="326"/>
      <c r="X199" s="326"/>
      <c r="Y199" s="326"/>
      <c r="Z199" s="326"/>
    </row>
    <row r="200" spans="1:26" ht="15" x14ac:dyDescent="0.25">
      <c r="A200" s="116" t="str">
        <f>A161</f>
        <v>Witness Responsible:   Linda Bridwell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101"/>
      <c r="X200" s="101"/>
      <c r="Y200" s="101"/>
      <c r="Z200" s="106" t="str">
        <f>Z161</f>
        <v>Exhibit 37, Schedule M-3</v>
      </c>
    </row>
    <row r="201" spans="1:26" ht="15" x14ac:dyDescent="0.25">
      <c r="A201" s="146" t="str">
        <f>A162</f>
        <v/>
      </c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08"/>
      <c r="X201" s="108"/>
      <c r="Y201" s="108"/>
      <c r="Z201" s="148" t="e">
        <f ca="1">Z162</f>
        <v>#VALUE!</v>
      </c>
    </row>
    <row r="202" spans="1:26" ht="15" x14ac:dyDescent="0.25">
      <c r="A202" s="86"/>
      <c r="B202" s="86"/>
      <c r="C202" s="111"/>
      <c r="D202" s="319" t="s">
        <v>177</v>
      </c>
      <c r="E202" s="319" t="s">
        <v>97</v>
      </c>
      <c r="F202" s="319"/>
      <c r="G202" s="319"/>
      <c r="H202" s="111"/>
      <c r="I202" s="325" t="s">
        <v>176</v>
      </c>
      <c r="J202" s="325" t="s">
        <v>97</v>
      </c>
      <c r="K202" s="325"/>
      <c r="L202" s="325"/>
      <c r="M202" s="111"/>
      <c r="N202" s="319" t="s">
        <v>121</v>
      </c>
      <c r="O202" s="319" t="s">
        <v>98</v>
      </c>
      <c r="P202" s="319"/>
      <c r="Q202" s="319"/>
      <c r="R202" s="111"/>
      <c r="S202" s="319" t="s">
        <v>122</v>
      </c>
      <c r="T202" s="319" t="s">
        <v>99</v>
      </c>
      <c r="U202" s="319"/>
      <c r="V202" s="319"/>
      <c r="W202" s="112"/>
      <c r="X202" s="112"/>
      <c r="Y202" s="101"/>
      <c r="Z202" s="101"/>
    </row>
    <row r="203" spans="1:26" ht="15" x14ac:dyDescent="0.25">
      <c r="A203" s="86"/>
      <c r="B203" s="86"/>
      <c r="C203" s="111"/>
      <c r="D203" s="111" t="s">
        <v>27</v>
      </c>
      <c r="E203" s="111"/>
      <c r="F203" s="111"/>
      <c r="G203" s="111"/>
      <c r="H203" s="111"/>
      <c r="I203" s="113" t="s">
        <v>27</v>
      </c>
      <c r="J203" s="113"/>
      <c r="K203" s="113"/>
      <c r="L203" s="113"/>
      <c r="M203" s="111"/>
      <c r="N203" s="111" t="s">
        <v>27</v>
      </c>
      <c r="O203" s="111"/>
      <c r="P203" s="111"/>
      <c r="Q203" s="111"/>
      <c r="R203" s="111"/>
      <c r="S203" s="111" t="s">
        <v>27</v>
      </c>
      <c r="T203" s="111"/>
      <c r="U203" s="111"/>
      <c r="V203" s="111"/>
      <c r="W203" s="113"/>
      <c r="X203" s="113"/>
      <c r="Y203" s="101"/>
      <c r="Z203" s="101"/>
    </row>
    <row r="204" spans="1:26" ht="15" x14ac:dyDescent="0.25">
      <c r="A204" s="86"/>
      <c r="B204" s="111" t="s">
        <v>24</v>
      </c>
      <c r="C204" s="111"/>
      <c r="D204" s="111" t="s">
        <v>28</v>
      </c>
      <c r="E204" s="111" t="s">
        <v>39</v>
      </c>
      <c r="F204" s="111" t="s">
        <v>45</v>
      </c>
      <c r="G204" s="111" t="s">
        <v>1</v>
      </c>
      <c r="H204" s="111"/>
      <c r="I204" s="113" t="s">
        <v>28</v>
      </c>
      <c r="J204" s="113" t="s">
        <v>39</v>
      </c>
      <c r="K204" s="113" t="s">
        <v>178</v>
      </c>
      <c r="L204" s="113" t="s">
        <v>1</v>
      </c>
      <c r="M204" s="111"/>
      <c r="N204" s="111" t="s">
        <v>28</v>
      </c>
      <c r="O204" s="111" t="s">
        <v>39</v>
      </c>
      <c r="P204" s="111" t="s">
        <v>45</v>
      </c>
      <c r="Q204" s="111" t="s">
        <v>1</v>
      </c>
      <c r="R204" s="111"/>
      <c r="S204" s="111" t="s">
        <v>28</v>
      </c>
      <c r="T204" s="111" t="s">
        <v>39</v>
      </c>
      <c r="U204" s="111" t="s">
        <v>73</v>
      </c>
      <c r="V204" s="111" t="s">
        <v>1</v>
      </c>
      <c r="W204" s="113"/>
      <c r="X204" s="113" t="s">
        <v>51</v>
      </c>
      <c r="Y204" s="101"/>
      <c r="Z204" s="113" t="s">
        <v>53</v>
      </c>
    </row>
    <row r="205" spans="1:26" ht="15" x14ac:dyDescent="0.25">
      <c r="A205" s="114" t="s">
        <v>0</v>
      </c>
      <c r="B205" s="114" t="s">
        <v>2</v>
      </c>
      <c r="C205" s="111"/>
      <c r="D205" s="114" t="s">
        <v>29</v>
      </c>
      <c r="E205" s="114" t="str">
        <f>E166</f>
        <v>('000 Gal)</v>
      </c>
      <c r="F205" s="114" t="s">
        <v>46</v>
      </c>
      <c r="G205" s="114" t="s">
        <v>47</v>
      </c>
      <c r="H205" s="111"/>
      <c r="I205" s="115" t="s">
        <v>29</v>
      </c>
      <c r="J205" s="115" t="str">
        <f>J166</f>
        <v>('000 Gal)</v>
      </c>
      <c r="K205" s="115" t="s">
        <v>46</v>
      </c>
      <c r="L205" s="115" t="s">
        <v>47</v>
      </c>
      <c r="M205" s="111"/>
      <c r="N205" s="114" t="s">
        <v>29</v>
      </c>
      <c r="O205" s="114" t="str">
        <f>E205</f>
        <v>('000 Gal)</v>
      </c>
      <c r="P205" s="114" t="s">
        <v>46</v>
      </c>
      <c r="Q205" s="114" t="s">
        <v>47</v>
      </c>
      <c r="R205" s="111"/>
      <c r="S205" s="114" t="s">
        <v>29</v>
      </c>
      <c r="T205" s="114" t="str">
        <f>O205</f>
        <v>('000 Gal)</v>
      </c>
      <c r="U205" s="114" t="s">
        <v>46</v>
      </c>
      <c r="V205" s="114" t="s">
        <v>47</v>
      </c>
      <c r="W205" s="113"/>
      <c r="X205" s="115" t="s">
        <v>52</v>
      </c>
      <c r="Y205" s="101"/>
      <c r="Z205" s="115" t="s">
        <v>52</v>
      </c>
    </row>
    <row r="206" spans="1:26" ht="15" x14ac:dyDescent="0.25">
      <c r="A206" s="111">
        <v>1</v>
      </c>
      <c r="B206" s="116" t="s">
        <v>180</v>
      </c>
      <c r="C206" s="111"/>
      <c r="D206" s="86"/>
      <c r="E206" s="111"/>
      <c r="F206" s="111"/>
      <c r="G206" s="111"/>
      <c r="H206" s="111"/>
      <c r="I206" s="113"/>
      <c r="J206" s="113"/>
      <c r="K206" s="113"/>
      <c r="L206" s="113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3"/>
      <c r="X206" s="113"/>
      <c r="Y206" s="101"/>
      <c r="Z206" s="113"/>
    </row>
    <row r="207" spans="1:26" ht="15" x14ac:dyDescent="0.25">
      <c r="A207" s="111">
        <v>2</v>
      </c>
      <c r="B207" s="117" t="s">
        <v>26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101"/>
      <c r="X207" s="101"/>
      <c r="Y207" s="101"/>
      <c r="Z207" s="101"/>
    </row>
    <row r="208" spans="1:26" ht="15" x14ac:dyDescent="0.25">
      <c r="A208" s="111">
        <v>3</v>
      </c>
      <c r="B208" s="86" t="s">
        <v>30</v>
      </c>
      <c r="C208" s="104"/>
      <c r="D208" s="102">
        <f>'Link in'!G10</f>
        <v>0</v>
      </c>
      <c r="E208" s="103"/>
      <c r="F208" s="149">
        <f>'Link in'!G41</f>
        <v>12.49</v>
      </c>
      <c r="G208" s="118">
        <f>ROUND((D208*F208),0)</f>
        <v>0</v>
      </c>
      <c r="H208" s="104"/>
      <c r="I208" s="102">
        <f>D208</f>
        <v>0</v>
      </c>
      <c r="J208" s="103"/>
      <c r="K208" s="149">
        <f>U208</f>
        <v>14.85</v>
      </c>
      <c r="L208" s="118">
        <f>ROUND((I208*K208),0)</f>
        <v>0</v>
      </c>
      <c r="M208" s="104"/>
      <c r="N208" s="102">
        <f>'Link in'!Q10</f>
        <v>0</v>
      </c>
      <c r="O208" s="103"/>
      <c r="P208" s="149">
        <f>F208</f>
        <v>12.49</v>
      </c>
      <c r="Q208" s="118">
        <f>ROUND((N208*P208),0)</f>
        <v>0</v>
      </c>
      <c r="R208" s="104"/>
      <c r="S208" s="98">
        <f>N208</f>
        <v>0</v>
      </c>
      <c r="T208" s="99"/>
      <c r="U208" s="149">
        <f>'Link in'!N41</f>
        <v>14.85</v>
      </c>
      <c r="V208" s="104">
        <f>ROUND((S208*U208),0)</f>
        <v>0</v>
      </c>
      <c r="W208" s="118"/>
      <c r="X208" s="104">
        <f>+V208-Q208</f>
        <v>0</v>
      </c>
      <c r="Y208" s="103"/>
      <c r="Z208" s="119">
        <f t="shared" ref="Z208:Z217" si="85">IF(Q208=0,0,ROUND((X208/Q208),4))</f>
        <v>0</v>
      </c>
    </row>
    <row r="209" spans="1:26" ht="15" x14ac:dyDescent="0.25">
      <c r="A209" s="111">
        <v>4</v>
      </c>
      <c r="B209" s="86" t="s">
        <v>31</v>
      </c>
      <c r="C209" s="98"/>
      <c r="D209" s="102">
        <f>'Link in'!G11</f>
        <v>0</v>
      </c>
      <c r="E209" s="103"/>
      <c r="F209" s="121">
        <f>'Link in'!G42</f>
        <v>18.739999999999998</v>
      </c>
      <c r="G209" s="102">
        <f t="shared" ref="G209:G216" si="86">ROUND((D209*F209),0)</f>
        <v>0</v>
      </c>
      <c r="H209" s="98"/>
      <c r="I209" s="102">
        <f t="shared" ref="I209:I216" si="87">D209</f>
        <v>0</v>
      </c>
      <c r="J209" s="103"/>
      <c r="K209" s="121">
        <f t="shared" ref="K209:K216" si="88">U209</f>
        <v>22.3</v>
      </c>
      <c r="L209" s="102">
        <f t="shared" ref="L209:L216" si="89">ROUND((I209*K209),0)</f>
        <v>0</v>
      </c>
      <c r="M209" s="98"/>
      <c r="N209" s="102">
        <f>'Link in'!Q11</f>
        <v>0</v>
      </c>
      <c r="O209" s="103"/>
      <c r="P209" s="121">
        <f t="shared" ref="P209:P216" si="90">F209</f>
        <v>18.739999999999998</v>
      </c>
      <c r="Q209" s="102">
        <f t="shared" ref="Q209:Q216" si="91">ROUND((N209*P209),0)</f>
        <v>0</v>
      </c>
      <c r="R209" s="98"/>
      <c r="S209" s="98">
        <f t="shared" ref="S209:S216" si="92">N209</f>
        <v>0</v>
      </c>
      <c r="T209" s="99"/>
      <c r="U209" s="121">
        <f>'Link in'!N42</f>
        <v>22.3</v>
      </c>
      <c r="V209" s="98">
        <f t="shared" ref="V209:V216" si="93">ROUND((S209*U209),0)</f>
        <v>0</v>
      </c>
      <c r="W209" s="102"/>
      <c r="X209" s="98">
        <f t="shared" ref="X209:X217" si="94">+V209-Q209</f>
        <v>0</v>
      </c>
      <c r="Y209" s="103"/>
      <c r="Z209" s="119">
        <f t="shared" si="85"/>
        <v>0</v>
      </c>
    </row>
    <row r="210" spans="1:26" ht="15" x14ac:dyDescent="0.25">
      <c r="A210" s="111">
        <v>5</v>
      </c>
      <c r="B210" s="86" t="s">
        <v>32</v>
      </c>
      <c r="C210" s="98"/>
      <c r="D210" s="102">
        <f>'Link in'!G12</f>
        <v>0</v>
      </c>
      <c r="E210" s="103"/>
      <c r="F210" s="121">
        <f>'Link in'!G43</f>
        <v>31.23</v>
      </c>
      <c r="G210" s="102">
        <f t="shared" si="86"/>
        <v>0</v>
      </c>
      <c r="H210" s="98"/>
      <c r="I210" s="102">
        <f t="shared" si="87"/>
        <v>0</v>
      </c>
      <c r="J210" s="103"/>
      <c r="K210" s="121">
        <f t="shared" si="88"/>
        <v>37.1</v>
      </c>
      <c r="L210" s="102">
        <f t="shared" si="89"/>
        <v>0</v>
      </c>
      <c r="M210" s="98"/>
      <c r="N210" s="102">
        <f>'Link in'!Q12</f>
        <v>0</v>
      </c>
      <c r="O210" s="103"/>
      <c r="P210" s="121">
        <f t="shared" si="90"/>
        <v>31.23</v>
      </c>
      <c r="Q210" s="102">
        <f t="shared" si="91"/>
        <v>0</v>
      </c>
      <c r="R210" s="98"/>
      <c r="S210" s="98">
        <f t="shared" si="92"/>
        <v>0</v>
      </c>
      <c r="T210" s="99"/>
      <c r="U210" s="121">
        <f>'Link in'!N43</f>
        <v>37.1</v>
      </c>
      <c r="V210" s="98">
        <f t="shared" si="93"/>
        <v>0</v>
      </c>
      <c r="W210" s="102"/>
      <c r="X210" s="98">
        <f t="shared" si="94"/>
        <v>0</v>
      </c>
      <c r="Y210" s="103"/>
      <c r="Z210" s="119">
        <f t="shared" si="85"/>
        <v>0</v>
      </c>
    </row>
    <row r="211" spans="1:26" ht="15" x14ac:dyDescent="0.25">
      <c r="A211" s="111">
        <v>6</v>
      </c>
      <c r="B211" s="86" t="s">
        <v>33</v>
      </c>
      <c r="C211" s="98"/>
      <c r="D211" s="102">
        <f>'Link in'!G13</f>
        <v>48</v>
      </c>
      <c r="E211" s="103"/>
      <c r="F211" s="121">
        <f>'Link in'!G44</f>
        <v>62.45</v>
      </c>
      <c r="G211" s="102">
        <f t="shared" si="86"/>
        <v>2998</v>
      </c>
      <c r="H211" s="98"/>
      <c r="I211" s="102">
        <f t="shared" si="87"/>
        <v>48</v>
      </c>
      <c r="J211" s="103"/>
      <c r="K211" s="121">
        <f t="shared" si="88"/>
        <v>74.3</v>
      </c>
      <c r="L211" s="102">
        <f t="shared" si="89"/>
        <v>3566</v>
      </c>
      <c r="M211" s="98"/>
      <c r="N211" s="102">
        <f>'Link in'!Q13</f>
        <v>48</v>
      </c>
      <c r="O211" s="103"/>
      <c r="P211" s="121">
        <f t="shared" si="90"/>
        <v>62.45</v>
      </c>
      <c r="Q211" s="102">
        <f t="shared" si="91"/>
        <v>2998</v>
      </c>
      <c r="R211" s="98"/>
      <c r="S211" s="98">
        <f t="shared" si="92"/>
        <v>48</v>
      </c>
      <c r="T211" s="99"/>
      <c r="U211" s="121">
        <f>'Link in'!N44</f>
        <v>74.3</v>
      </c>
      <c r="V211" s="98">
        <f t="shared" si="93"/>
        <v>3566</v>
      </c>
      <c r="W211" s="102"/>
      <c r="X211" s="98">
        <f t="shared" si="94"/>
        <v>568</v>
      </c>
      <c r="Y211" s="103"/>
      <c r="Z211" s="119">
        <f t="shared" si="85"/>
        <v>0.1895</v>
      </c>
    </row>
    <row r="212" spans="1:26" ht="15" x14ac:dyDescent="0.25">
      <c r="A212" s="111">
        <v>7</v>
      </c>
      <c r="B212" s="86" t="s">
        <v>34</v>
      </c>
      <c r="C212" s="98"/>
      <c r="D212" s="102">
        <f>'Link in'!G14</f>
        <v>92.789031224979979</v>
      </c>
      <c r="E212" s="103"/>
      <c r="F212" s="121">
        <f>'Link in'!G45</f>
        <v>99.92</v>
      </c>
      <c r="G212" s="102">
        <f t="shared" si="86"/>
        <v>9271</v>
      </c>
      <c r="H212" s="98"/>
      <c r="I212" s="102">
        <f t="shared" si="87"/>
        <v>92.789031224979979</v>
      </c>
      <c r="J212" s="103"/>
      <c r="K212" s="121">
        <f t="shared" si="88"/>
        <v>118.8</v>
      </c>
      <c r="L212" s="102">
        <f t="shared" si="89"/>
        <v>11023</v>
      </c>
      <c r="M212" s="98"/>
      <c r="N212" s="102">
        <f>'Link in'!Q14</f>
        <v>96</v>
      </c>
      <c r="O212" s="103"/>
      <c r="P212" s="121">
        <f t="shared" si="90"/>
        <v>99.92</v>
      </c>
      <c r="Q212" s="102">
        <f t="shared" si="91"/>
        <v>9592</v>
      </c>
      <c r="R212" s="98"/>
      <c r="S212" s="98">
        <f t="shared" si="92"/>
        <v>96</v>
      </c>
      <c r="T212" s="99"/>
      <c r="U212" s="121">
        <f>'Link in'!N45</f>
        <v>118.8</v>
      </c>
      <c r="V212" s="98">
        <f t="shared" si="93"/>
        <v>11405</v>
      </c>
      <c r="W212" s="102"/>
      <c r="X212" s="98">
        <f t="shared" si="94"/>
        <v>1813</v>
      </c>
      <c r="Y212" s="103"/>
      <c r="Z212" s="119">
        <f t="shared" si="85"/>
        <v>0.189</v>
      </c>
    </row>
    <row r="213" spans="1:26" ht="15" x14ac:dyDescent="0.25">
      <c r="A213" s="111">
        <v>8</v>
      </c>
      <c r="B213" s="86" t="s">
        <v>35</v>
      </c>
      <c r="C213" s="98"/>
      <c r="D213" s="102">
        <f>'Link in'!G15</f>
        <v>0</v>
      </c>
      <c r="E213" s="103"/>
      <c r="F213" s="121">
        <f>'Link in'!G46</f>
        <v>187.35</v>
      </c>
      <c r="G213" s="102">
        <f t="shared" si="86"/>
        <v>0</v>
      </c>
      <c r="H213" s="98"/>
      <c r="I213" s="102">
        <f t="shared" si="87"/>
        <v>0</v>
      </c>
      <c r="J213" s="103"/>
      <c r="K213" s="121">
        <f t="shared" si="88"/>
        <v>222.8</v>
      </c>
      <c r="L213" s="102">
        <f t="shared" si="89"/>
        <v>0</v>
      </c>
      <c r="M213" s="98"/>
      <c r="N213" s="102">
        <f>'Link in'!Q15</f>
        <v>0</v>
      </c>
      <c r="O213" s="103"/>
      <c r="P213" s="121">
        <f t="shared" si="90"/>
        <v>187.35</v>
      </c>
      <c r="Q213" s="102">
        <f t="shared" si="91"/>
        <v>0</v>
      </c>
      <c r="R213" s="98"/>
      <c r="S213" s="98">
        <f t="shared" si="92"/>
        <v>0</v>
      </c>
      <c r="T213" s="99"/>
      <c r="U213" s="121">
        <f>'Link in'!N46</f>
        <v>222.8</v>
      </c>
      <c r="V213" s="98">
        <f t="shared" si="93"/>
        <v>0</v>
      </c>
      <c r="W213" s="102"/>
      <c r="X213" s="98">
        <f t="shared" si="94"/>
        <v>0</v>
      </c>
      <c r="Y213" s="103"/>
      <c r="Z213" s="119">
        <f t="shared" si="85"/>
        <v>0</v>
      </c>
    </row>
    <row r="214" spans="1:26" ht="15" x14ac:dyDescent="0.25">
      <c r="A214" s="111">
        <v>9</v>
      </c>
      <c r="B214" s="86" t="s">
        <v>36</v>
      </c>
      <c r="C214" s="98"/>
      <c r="D214" s="102">
        <f>'Link in'!G16</f>
        <v>83.273979183346682</v>
      </c>
      <c r="E214" s="103"/>
      <c r="F214" s="121">
        <f>'Link in'!G47</f>
        <v>312.25</v>
      </c>
      <c r="G214" s="102">
        <f t="shared" si="86"/>
        <v>26002</v>
      </c>
      <c r="H214" s="98"/>
      <c r="I214" s="102">
        <f t="shared" si="87"/>
        <v>83.273979183346682</v>
      </c>
      <c r="J214" s="103"/>
      <c r="K214" s="121">
        <f t="shared" si="88"/>
        <v>371.3</v>
      </c>
      <c r="L214" s="102">
        <f t="shared" si="89"/>
        <v>30920</v>
      </c>
      <c r="M214" s="98"/>
      <c r="N214" s="102">
        <f>'Link in'!Q16</f>
        <v>84</v>
      </c>
      <c r="O214" s="103"/>
      <c r="P214" s="121">
        <f t="shared" si="90"/>
        <v>312.25</v>
      </c>
      <c r="Q214" s="102">
        <f t="shared" si="91"/>
        <v>26229</v>
      </c>
      <c r="R214" s="98"/>
      <c r="S214" s="98">
        <f t="shared" si="92"/>
        <v>84</v>
      </c>
      <c r="T214" s="99"/>
      <c r="U214" s="121">
        <f>'Link in'!N47</f>
        <v>371.3</v>
      </c>
      <c r="V214" s="98">
        <f t="shared" si="93"/>
        <v>31189</v>
      </c>
      <c r="W214" s="102"/>
      <c r="X214" s="98">
        <f t="shared" si="94"/>
        <v>4960</v>
      </c>
      <c r="Y214" s="103"/>
      <c r="Z214" s="119">
        <f t="shared" si="85"/>
        <v>0.18909999999999999</v>
      </c>
    </row>
    <row r="215" spans="1:26" ht="15" x14ac:dyDescent="0.25">
      <c r="A215" s="111">
        <v>10</v>
      </c>
      <c r="B215" s="86" t="s">
        <v>37</v>
      </c>
      <c r="C215" s="98"/>
      <c r="D215" s="102">
        <f>'Link in'!G17</f>
        <v>59.16986389111289</v>
      </c>
      <c r="E215" s="103"/>
      <c r="F215" s="121">
        <f>'Link in'!G48</f>
        <v>624.5</v>
      </c>
      <c r="G215" s="102">
        <f t="shared" si="86"/>
        <v>36952</v>
      </c>
      <c r="H215" s="98"/>
      <c r="I215" s="102">
        <f t="shared" si="87"/>
        <v>59.16986389111289</v>
      </c>
      <c r="J215" s="103"/>
      <c r="K215" s="121">
        <f t="shared" si="88"/>
        <v>742.5</v>
      </c>
      <c r="L215" s="102">
        <f t="shared" si="89"/>
        <v>43934</v>
      </c>
      <c r="M215" s="98"/>
      <c r="N215" s="102">
        <f>'Link in'!Q17</f>
        <v>60</v>
      </c>
      <c r="O215" s="103"/>
      <c r="P215" s="121">
        <f t="shared" si="90"/>
        <v>624.5</v>
      </c>
      <c r="Q215" s="102">
        <f t="shared" si="91"/>
        <v>37470</v>
      </c>
      <c r="R215" s="98"/>
      <c r="S215" s="98">
        <f t="shared" si="92"/>
        <v>60</v>
      </c>
      <c r="T215" s="99"/>
      <c r="U215" s="121">
        <f>'Link in'!N48</f>
        <v>742.5</v>
      </c>
      <c r="V215" s="98">
        <f t="shared" si="93"/>
        <v>44550</v>
      </c>
      <c r="W215" s="102"/>
      <c r="X215" s="98">
        <f t="shared" si="94"/>
        <v>7080</v>
      </c>
      <c r="Y215" s="103"/>
      <c r="Z215" s="119">
        <f t="shared" si="85"/>
        <v>0.189</v>
      </c>
    </row>
    <row r="216" spans="1:26" ht="15" x14ac:dyDescent="0.25">
      <c r="A216" s="111">
        <v>11</v>
      </c>
      <c r="B216" s="86" t="s">
        <v>38</v>
      </c>
      <c r="C216" s="98"/>
      <c r="D216" s="102">
        <f>'Link in'!G18</f>
        <v>0</v>
      </c>
      <c r="E216" s="103"/>
      <c r="F216" s="121">
        <f>'Link in'!G49</f>
        <v>999.2</v>
      </c>
      <c r="G216" s="102">
        <f t="shared" si="86"/>
        <v>0</v>
      </c>
      <c r="H216" s="98"/>
      <c r="I216" s="102">
        <f t="shared" si="87"/>
        <v>0</v>
      </c>
      <c r="J216" s="103"/>
      <c r="K216" s="121">
        <f t="shared" si="88"/>
        <v>1188</v>
      </c>
      <c r="L216" s="102">
        <f t="shared" si="89"/>
        <v>0</v>
      </c>
      <c r="M216" s="98"/>
      <c r="N216" s="102">
        <f>'Link in'!Q18</f>
        <v>0</v>
      </c>
      <c r="O216" s="103"/>
      <c r="P216" s="121">
        <f t="shared" si="90"/>
        <v>999.2</v>
      </c>
      <c r="Q216" s="102">
        <f t="shared" si="91"/>
        <v>0</v>
      </c>
      <c r="R216" s="98"/>
      <c r="S216" s="98">
        <f t="shared" si="92"/>
        <v>0</v>
      </c>
      <c r="T216" s="99"/>
      <c r="U216" s="121">
        <f>'Link in'!N49</f>
        <v>1188</v>
      </c>
      <c r="V216" s="98">
        <f t="shared" si="93"/>
        <v>0</v>
      </c>
      <c r="W216" s="102"/>
      <c r="X216" s="98">
        <f t="shared" si="94"/>
        <v>0</v>
      </c>
      <c r="Y216" s="103"/>
      <c r="Z216" s="119">
        <f t="shared" si="85"/>
        <v>0</v>
      </c>
    </row>
    <row r="217" spans="1:26" ht="15" x14ac:dyDescent="0.25">
      <c r="A217" s="111">
        <v>12</v>
      </c>
      <c r="B217" s="86" t="s">
        <v>164</v>
      </c>
      <c r="C217" s="98"/>
      <c r="D217" s="102"/>
      <c r="E217" s="103"/>
      <c r="F217" s="121"/>
      <c r="G217" s="102">
        <f>'Link in'!B144</f>
        <v>0</v>
      </c>
      <c r="H217" s="98"/>
      <c r="I217" s="102"/>
      <c r="J217" s="103"/>
      <c r="K217" s="121"/>
      <c r="L217" s="102">
        <f>G217</f>
        <v>0</v>
      </c>
      <c r="M217" s="98"/>
      <c r="N217" s="102"/>
      <c r="O217" s="103"/>
      <c r="P217" s="121"/>
      <c r="Q217" s="121">
        <v>0</v>
      </c>
      <c r="R217" s="98"/>
      <c r="S217" s="98"/>
      <c r="T217" s="99"/>
      <c r="U217" s="121"/>
      <c r="V217" s="98">
        <v>0</v>
      </c>
      <c r="W217" s="102"/>
      <c r="X217" s="98">
        <f t="shared" si="94"/>
        <v>0</v>
      </c>
      <c r="Y217" s="103"/>
      <c r="Z217" s="119">
        <f t="shared" si="85"/>
        <v>0</v>
      </c>
    </row>
    <row r="218" spans="1:26" ht="15" x14ac:dyDescent="0.25">
      <c r="A218" s="111">
        <v>13</v>
      </c>
      <c r="B218" s="86"/>
      <c r="C218" s="98"/>
      <c r="D218" s="102"/>
      <c r="E218" s="103"/>
      <c r="F218" s="121"/>
      <c r="G218" s="102"/>
      <c r="H218" s="98"/>
      <c r="I218" s="102"/>
      <c r="J218" s="103"/>
      <c r="K218" s="121"/>
      <c r="L218" s="102"/>
      <c r="M218" s="98"/>
      <c r="N218" s="102"/>
      <c r="O218" s="103"/>
      <c r="P218" s="121"/>
      <c r="Q218" s="121"/>
      <c r="R218" s="98"/>
      <c r="S218" s="98"/>
      <c r="T218" s="99"/>
      <c r="U218" s="121"/>
      <c r="V218" s="98"/>
      <c r="W218" s="102"/>
      <c r="X218" s="118"/>
      <c r="Y218" s="103"/>
      <c r="Z218" s="119"/>
    </row>
    <row r="219" spans="1:26" ht="15" x14ac:dyDescent="0.25">
      <c r="A219" s="111">
        <v>14</v>
      </c>
      <c r="B219" s="86"/>
      <c r="C219" s="99"/>
      <c r="D219" s="103"/>
      <c r="E219" s="103"/>
      <c r="F219" s="103"/>
      <c r="G219" s="103"/>
      <c r="H219" s="99"/>
      <c r="I219" s="103"/>
      <c r="J219" s="103"/>
      <c r="K219" s="103"/>
      <c r="L219" s="103"/>
      <c r="M219" s="99"/>
      <c r="N219" s="103"/>
      <c r="O219" s="103"/>
      <c r="P219" s="103"/>
      <c r="Q219" s="103"/>
      <c r="R219" s="99"/>
      <c r="S219" s="99"/>
      <c r="T219" s="99"/>
      <c r="U219" s="103"/>
      <c r="V219" s="99"/>
      <c r="W219" s="103"/>
      <c r="X219" s="102"/>
      <c r="Y219" s="103"/>
      <c r="Z219" s="119"/>
    </row>
    <row r="220" spans="1:26" ht="15" x14ac:dyDescent="0.25">
      <c r="A220" s="111">
        <v>15</v>
      </c>
      <c r="B220" s="86"/>
      <c r="C220" s="86"/>
      <c r="D220" s="101"/>
      <c r="E220" s="101"/>
      <c r="F220" s="103"/>
      <c r="G220" s="101"/>
      <c r="H220" s="86"/>
      <c r="I220" s="101"/>
      <c r="J220" s="101"/>
      <c r="K220" s="103"/>
      <c r="L220" s="101"/>
      <c r="M220" s="86"/>
      <c r="N220" s="101"/>
      <c r="O220" s="101"/>
      <c r="P220" s="101"/>
      <c r="Q220" s="101"/>
      <c r="R220" s="86"/>
      <c r="S220" s="86"/>
      <c r="T220" s="86"/>
      <c r="U220" s="101"/>
      <c r="V220" s="86"/>
      <c r="W220" s="101"/>
      <c r="X220" s="101"/>
      <c r="Y220" s="101"/>
      <c r="Z220" s="101"/>
    </row>
    <row r="221" spans="1:26" ht="15" x14ac:dyDescent="0.25">
      <c r="A221" s="111">
        <v>16</v>
      </c>
      <c r="B221" s="117" t="s">
        <v>40</v>
      </c>
      <c r="C221" s="99"/>
      <c r="D221" s="103"/>
      <c r="E221" s="103"/>
      <c r="F221" s="103"/>
      <c r="G221" s="103"/>
      <c r="H221" s="99"/>
      <c r="I221" s="103"/>
      <c r="J221" s="103"/>
      <c r="K221" s="103"/>
      <c r="L221" s="103"/>
      <c r="M221" s="99"/>
      <c r="N221" s="103"/>
      <c r="O221" s="103"/>
      <c r="P221" s="103"/>
      <c r="Q221" s="103"/>
      <c r="R221" s="99"/>
      <c r="S221" s="99"/>
      <c r="T221" s="99"/>
      <c r="U221" s="103"/>
      <c r="V221" s="99"/>
      <c r="W221" s="103"/>
      <c r="X221" s="102"/>
      <c r="Y221" s="103"/>
      <c r="Z221" s="119"/>
    </row>
    <row r="222" spans="1:26" ht="15" x14ac:dyDescent="0.25">
      <c r="A222" s="111">
        <v>17</v>
      </c>
      <c r="B222" s="86" t="s">
        <v>41</v>
      </c>
      <c r="C222" s="104"/>
      <c r="D222" s="103"/>
      <c r="E222" s="102">
        <f>'Link in'!G23</f>
        <v>433178.33600000001</v>
      </c>
      <c r="F222" s="151">
        <f>'Link in'!G55</f>
        <v>4.2092999999999998</v>
      </c>
      <c r="G222" s="118">
        <f>ROUND((E222*F222),0)</f>
        <v>1823378</v>
      </c>
      <c r="H222" s="104"/>
      <c r="I222" s="103"/>
      <c r="J222" s="102">
        <f>E222</f>
        <v>433178.33600000001</v>
      </c>
      <c r="K222" s="151">
        <f>U222</f>
        <v>4.6349999999999998</v>
      </c>
      <c r="L222" s="118">
        <f>ROUND((J222*K222),0)</f>
        <v>2007782</v>
      </c>
      <c r="M222" s="104"/>
      <c r="N222" s="103"/>
      <c r="O222" s="102">
        <f>'Link in'!Q23</f>
        <v>403500</v>
      </c>
      <c r="P222" s="151">
        <f>F222</f>
        <v>4.2092999999999998</v>
      </c>
      <c r="Q222" s="118">
        <f>ROUND((O222*P222),0)</f>
        <v>1698453</v>
      </c>
      <c r="R222" s="104"/>
      <c r="S222" s="99"/>
      <c r="T222" s="98">
        <f>O222</f>
        <v>403500</v>
      </c>
      <c r="U222" s="151">
        <f>+'Link in'!$N55</f>
        <v>4.6349999999999998</v>
      </c>
      <c r="V222" s="104">
        <f>ROUND((T222*U222),0)</f>
        <v>1870223</v>
      </c>
      <c r="W222" s="102"/>
      <c r="X222" s="104">
        <f t="shared" ref="X222:X228" si="95">+V222-Q222</f>
        <v>171770</v>
      </c>
      <c r="Y222" s="103"/>
      <c r="Z222" s="119">
        <f t="shared" ref="Z222:Z230" si="96">IF(Q222=0,0,ROUND((X222/Q222),4))</f>
        <v>0.1011</v>
      </c>
    </row>
    <row r="223" spans="1:26" ht="15" x14ac:dyDescent="0.25">
      <c r="A223" s="111">
        <v>18</v>
      </c>
      <c r="B223" s="86" t="s">
        <v>42</v>
      </c>
      <c r="C223" s="98"/>
      <c r="D223" s="101"/>
      <c r="E223" s="102">
        <f>'Link in'!G24</f>
        <v>0</v>
      </c>
      <c r="F223" s="129">
        <f>'Link in'!G56</f>
        <v>0</v>
      </c>
      <c r="G223" s="102">
        <f>ROUND((E223*F223),0)</f>
        <v>0</v>
      </c>
      <c r="H223" s="98"/>
      <c r="I223" s="101"/>
      <c r="J223" s="102">
        <f t="shared" ref="J223:J228" si="97">E223</f>
        <v>0</v>
      </c>
      <c r="K223" s="129">
        <f t="shared" ref="K223:K227" si="98">U223</f>
        <v>0</v>
      </c>
      <c r="L223" s="102">
        <f>ROUND((J223*K223),0)</f>
        <v>0</v>
      </c>
      <c r="M223" s="98"/>
      <c r="N223" s="101"/>
      <c r="O223" s="102">
        <f>'Link in'!Q24</f>
        <v>0</v>
      </c>
      <c r="P223" s="129">
        <f t="shared" ref="P223:P227" si="99">F223</f>
        <v>0</v>
      </c>
      <c r="Q223" s="102">
        <f>ROUND((O223*P223),0)</f>
        <v>0</v>
      </c>
      <c r="R223" s="98"/>
      <c r="S223" s="86"/>
      <c r="T223" s="98">
        <f t="shared" ref="T223:T227" si="100">O223</f>
        <v>0</v>
      </c>
      <c r="U223" s="129">
        <f>+'Link in'!$N56</f>
        <v>0</v>
      </c>
      <c r="V223" s="98">
        <f>ROUND((T223*U223),0)</f>
        <v>0</v>
      </c>
      <c r="W223" s="102"/>
      <c r="X223" s="98">
        <f t="shared" si="95"/>
        <v>0</v>
      </c>
      <c r="Y223" s="101"/>
      <c r="Z223" s="119">
        <f t="shared" si="96"/>
        <v>0</v>
      </c>
    </row>
    <row r="224" spans="1:26" ht="15" x14ac:dyDescent="0.25">
      <c r="A224" s="111">
        <v>19</v>
      </c>
      <c r="B224" s="86" t="s">
        <v>43</v>
      </c>
      <c r="C224" s="98"/>
      <c r="D224" s="101"/>
      <c r="E224" s="102">
        <v>0</v>
      </c>
      <c r="F224" s="129">
        <f>'Link in'!G57</f>
        <v>0</v>
      </c>
      <c r="G224" s="102">
        <f>ROUND((E224*F224),0)</f>
        <v>0</v>
      </c>
      <c r="H224" s="98"/>
      <c r="I224" s="101"/>
      <c r="J224" s="102">
        <f t="shared" si="97"/>
        <v>0</v>
      </c>
      <c r="K224" s="129">
        <f t="shared" si="98"/>
        <v>0</v>
      </c>
      <c r="L224" s="102">
        <f>ROUND((J224*K224),0)</f>
        <v>0</v>
      </c>
      <c r="M224" s="98"/>
      <c r="N224" s="101"/>
      <c r="O224" s="102">
        <v>0</v>
      </c>
      <c r="P224" s="129">
        <f t="shared" si="99"/>
        <v>0</v>
      </c>
      <c r="Q224" s="102">
        <f>ROUND((O224*P224),0)</f>
        <v>0</v>
      </c>
      <c r="R224" s="98"/>
      <c r="S224" s="86"/>
      <c r="T224" s="98">
        <f t="shared" si="100"/>
        <v>0</v>
      </c>
      <c r="U224" s="129">
        <f>+'Link in'!$N57</f>
        <v>0</v>
      </c>
      <c r="V224" s="98">
        <f>ROUND((T224*U224),0)</f>
        <v>0</v>
      </c>
      <c r="W224" s="102"/>
      <c r="X224" s="98">
        <f t="shared" si="95"/>
        <v>0</v>
      </c>
      <c r="Y224" s="101"/>
      <c r="Z224" s="119">
        <f t="shared" si="96"/>
        <v>0</v>
      </c>
    </row>
    <row r="225" spans="1:27" ht="15" x14ac:dyDescent="0.25">
      <c r="A225" s="111">
        <v>20</v>
      </c>
      <c r="B225" s="86" t="s">
        <v>44</v>
      </c>
      <c r="C225" s="98"/>
      <c r="D225" s="101"/>
      <c r="E225" s="102">
        <v>0</v>
      </c>
      <c r="F225" s="129">
        <f>'Link in'!G58</f>
        <v>0</v>
      </c>
      <c r="G225" s="102">
        <f>ROUND((E225*F225),0)</f>
        <v>0</v>
      </c>
      <c r="H225" s="98"/>
      <c r="I225" s="101"/>
      <c r="J225" s="102">
        <f t="shared" si="97"/>
        <v>0</v>
      </c>
      <c r="K225" s="129">
        <f t="shared" si="98"/>
        <v>0</v>
      </c>
      <c r="L225" s="102">
        <f>ROUND((J225*K225),0)</f>
        <v>0</v>
      </c>
      <c r="M225" s="98"/>
      <c r="N225" s="101"/>
      <c r="O225" s="102">
        <v>0</v>
      </c>
      <c r="P225" s="129">
        <f t="shared" si="99"/>
        <v>0</v>
      </c>
      <c r="Q225" s="102">
        <f>ROUND((O225*P225),0)</f>
        <v>0</v>
      </c>
      <c r="R225" s="98"/>
      <c r="S225" s="86"/>
      <c r="T225" s="98">
        <f t="shared" si="100"/>
        <v>0</v>
      </c>
      <c r="U225" s="129">
        <f>+'Link in'!$N58</f>
        <v>0</v>
      </c>
      <c r="V225" s="98">
        <f>ROUND((T225*U225),0)</f>
        <v>0</v>
      </c>
      <c r="W225" s="102"/>
      <c r="X225" s="98">
        <f t="shared" si="95"/>
        <v>0</v>
      </c>
      <c r="Y225" s="101"/>
      <c r="Z225" s="119">
        <f t="shared" si="96"/>
        <v>0</v>
      </c>
    </row>
    <row r="226" spans="1:27" ht="15" x14ac:dyDescent="0.25">
      <c r="A226" s="111">
        <v>21</v>
      </c>
      <c r="B226" s="86" t="s">
        <v>96</v>
      </c>
      <c r="C226" s="86"/>
      <c r="D226" s="101"/>
      <c r="E226" s="102">
        <v>0</v>
      </c>
      <c r="F226" s="129">
        <f>'Link in'!G59</f>
        <v>0</v>
      </c>
      <c r="G226" s="102">
        <f t="shared" ref="G226:G227" si="101">ROUND((E226*F226),0)</f>
        <v>0</v>
      </c>
      <c r="H226" s="98"/>
      <c r="I226" s="101"/>
      <c r="J226" s="102">
        <f t="shared" si="97"/>
        <v>0</v>
      </c>
      <c r="K226" s="129">
        <f t="shared" si="98"/>
        <v>0</v>
      </c>
      <c r="L226" s="102">
        <f t="shared" ref="L226:L227" si="102">ROUND((J226*K226),0)</f>
        <v>0</v>
      </c>
      <c r="M226" s="86"/>
      <c r="N226" s="101"/>
      <c r="O226" s="102">
        <v>0</v>
      </c>
      <c r="P226" s="129">
        <f t="shared" si="99"/>
        <v>0</v>
      </c>
      <c r="Q226" s="102">
        <f t="shared" ref="Q226:Q227" si="103">ROUND((O226*P226),0)</f>
        <v>0</v>
      </c>
      <c r="R226" s="86"/>
      <c r="S226" s="86"/>
      <c r="T226" s="98">
        <f t="shared" si="100"/>
        <v>0</v>
      </c>
      <c r="U226" s="129">
        <f>+'Link in'!$N59</f>
        <v>0</v>
      </c>
      <c r="V226" s="98">
        <f t="shared" ref="V226:V227" si="104">ROUND((T226*U226),0)</f>
        <v>0</v>
      </c>
      <c r="W226" s="101"/>
      <c r="X226" s="98">
        <f t="shared" si="95"/>
        <v>0</v>
      </c>
      <c r="Y226" s="101"/>
      <c r="Z226" s="119">
        <f t="shared" si="96"/>
        <v>0</v>
      </c>
    </row>
    <row r="227" spans="1:27" ht="15" x14ac:dyDescent="0.25">
      <c r="A227" s="111">
        <v>22</v>
      </c>
      <c r="B227" s="86" t="s">
        <v>102</v>
      </c>
      <c r="C227" s="86"/>
      <c r="D227" s="101"/>
      <c r="E227" s="102">
        <v>0</v>
      </c>
      <c r="F227" s="129">
        <f>'Link in'!G60</f>
        <v>0</v>
      </c>
      <c r="G227" s="102">
        <f t="shared" si="101"/>
        <v>0</v>
      </c>
      <c r="H227" s="98"/>
      <c r="I227" s="101"/>
      <c r="J227" s="102">
        <f t="shared" si="97"/>
        <v>0</v>
      </c>
      <c r="K227" s="129">
        <f t="shared" si="98"/>
        <v>0</v>
      </c>
      <c r="L227" s="102">
        <f t="shared" si="102"/>
        <v>0</v>
      </c>
      <c r="M227" s="86"/>
      <c r="N227" s="101"/>
      <c r="O227" s="102">
        <v>0</v>
      </c>
      <c r="P227" s="129">
        <f t="shared" si="99"/>
        <v>0</v>
      </c>
      <c r="Q227" s="102">
        <f t="shared" si="103"/>
        <v>0</v>
      </c>
      <c r="R227" s="86"/>
      <c r="S227" s="86"/>
      <c r="T227" s="98">
        <f t="shared" si="100"/>
        <v>0</v>
      </c>
      <c r="U227" s="129">
        <f>+'Link in'!$N60</f>
        <v>0</v>
      </c>
      <c r="V227" s="98">
        <f t="shared" si="104"/>
        <v>0</v>
      </c>
      <c r="W227" s="101"/>
      <c r="X227" s="98">
        <f t="shared" si="95"/>
        <v>0</v>
      </c>
      <c r="Y227" s="101"/>
      <c r="Z227" s="119">
        <f t="shared" si="96"/>
        <v>0</v>
      </c>
    </row>
    <row r="228" spans="1:27" ht="15" x14ac:dyDescent="0.25">
      <c r="A228" s="111">
        <v>23</v>
      </c>
      <c r="B228" s="101" t="s">
        <v>109</v>
      </c>
      <c r="C228" s="130"/>
      <c r="D228" s="101"/>
      <c r="E228" s="101">
        <f>'Link in'!G32</f>
        <v>-647.33199999999488</v>
      </c>
      <c r="F228" s="129"/>
      <c r="G228" s="130">
        <f>'Link in'!G34</f>
        <v>26567.710275200148</v>
      </c>
      <c r="H228" s="130"/>
      <c r="I228" s="101"/>
      <c r="J228" s="102">
        <f t="shared" si="97"/>
        <v>-647.33199999999488</v>
      </c>
      <c r="K228" s="151"/>
      <c r="L228" s="130">
        <f>G228</f>
        <v>26567.710275200148</v>
      </c>
      <c r="M228" s="130"/>
      <c r="N228" s="101"/>
      <c r="O228" s="101"/>
      <c r="P228" s="113"/>
      <c r="Q228" s="130">
        <f>+'Link in'!Q34</f>
        <v>0</v>
      </c>
      <c r="R228" s="130"/>
      <c r="S228" s="101"/>
      <c r="T228" s="101">
        <f>O228</f>
        <v>0</v>
      </c>
      <c r="U228" s="113"/>
      <c r="V228" s="130">
        <f>Q228</f>
        <v>0</v>
      </c>
      <c r="W228" s="130"/>
      <c r="X228" s="130">
        <f t="shared" si="95"/>
        <v>0</v>
      </c>
      <c r="Y228" s="101"/>
      <c r="Z228" s="119">
        <f t="shared" si="96"/>
        <v>0</v>
      </c>
      <c r="AA228" s="24"/>
    </row>
    <row r="229" spans="1:27" ht="15" x14ac:dyDescent="0.25">
      <c r="A229" s="111">
        <v>24</v>
      </c>
      <c r="B229" s="86"/>
      <c r="C229" s="140"/>
      <c r="D229" s="86"/>
      <c r="E229" s="86"/>
      <c r="F229" s="140"/>
      <c r="G229" s="140"/>
      <c r="H229" s="140"/>
      <c r="I229" s="101"/>
      <c r="J229" s="101"/>
      <c r="K229" s="131"/>
      <c r="L229" s="131"/>
      <c r="M229" s="140"/>
      <c r="N229" s="101"/>
      <c r="O229" s="101"/>
      <c r="P229" s="131"/>
      <c r="Q229" s="131"/>
      <c r="R229" s="140"/>
      <c r="S229" s="86"/>
      <c r="T229" s="86"/>
      <c r="U229" s="140"/>
      <c r="V229" s="140"/>
      <c r="W229" s="131"/>
      <c r="X229" s="102"/>
      <c r="Y229" s="101"/>
      <c r="Z229" s="119"/>
    </row>
    <row r="230" spans="1:27" ht="15.75" thickBot="1" x14ac:dyDescent="0.3">
      <c r="A230" s="111">
        <v>25</v>
      </c>
      <c r="B230" s="86" t="s">
        <v>1</v>
      </c>
      <c r="C230" s="144"/>
      <c r="D230" s="154"/>
      <c r="E230" s="155">
        <f>SUM(E222:E229)</f>
        <v>432531.00400000002</v>
      </c>
      <c r="F230" s="144"/>
      <c r="G230" s="156">
        <f>SUM(G208:G229)</f>
        <v>1925168.7102752002</v>
      </c>
      <c r="H230" s="144"/>
      <c r="I230" s="157"/>
      <c r="J230" s="158">
        <f>SUM(J222:J229)</f>
        <v>432531.00400000002</v>
      </c>
      <c r="K230" s="133"/>
      <c r="L230" s="159">
        <f>SUM(L208:L229)</f>
        <v>2123792.7102752002</v>
      </c>
      <c r="M230" s="144"/>
      <c r="N230" s="154"/>
      <c r="O230" s="155">
        <f>SUM(O222:O229)</f>
        <v>403500</v>
      </c>
      <c r="P230" s="144"/>
      <c r="Q230" s="156">
        <f>SUM(Q208:Q229)</f>
        <v>1774742</v>
      </c>
      <c r="R230" s="144"/>
      <c r="S230" s="154"/>
      <c r="T230" s="155">
        <f>SUM(T222:T229)</f>
        <v>403500</v>
      </c>
      <c r="U230" s="144"/>
      <c r="V230" s="156">
        <f>SUM(V208:V229)</f>
        <v>1960933</v>
      </c>
      <c r="W230" s="133"/>
      <c r="X230" s="159">
        <f>SUM(X208:X229)</f>
        <v>186191</v>
      </c>
      <c r="Y230" s="101"/>
      <c r="Z230" s="143">
        <f t="shared" si="96"/>
        <v>0.10489999999999999</v>
      </c>
    </row>
    <row r="231" spans="1:27" ht="15.75" thickTop="1" x14ac:dyDescent="0.25">
      <c r="A231" s="111"/>
      <c r="B231" s="86"/>
      <c r="C231" s="98"/>
      <c r="D231" s="86"/>
      <c r="E231" s="86"/>
      <c r="F231" s="138"/>
      <c r="G231" s="98"/>
      <c r="H231" s="98"/>
      <c r="I231" s="98"/>
      <c r="J231" s="98"/>
      <c r="K231" s="98"/>
      <c r="L231" s="98"/>
      <c r="M231" s="98"/>
      <c r="N231" s="98"/>
      <c r="O231" s="86"/>
      <c r="P231" s="138"/>
      <c r="Q231" s="98"/>
      <c r="R231" s="98"/>
      <c r="S231" s="86"/>
      <c r="T231" s="86"/>
      <c r="U231" s="138"/>
      <c r="V231" s="98"/>
      <c r="W231" s="101"/>
      <c r="X231" s="102"/>
      <c r="Y231" s="101"/>
      <c r="Z231" s="119"/>
    </row>
    <row r="232" spans="1:27" ht="15" x14ac:dyDescent="0.25">
      <c r="A232" s="111"/>
      <c r="B232" s="86"/>
      <c r="C232" s="98"/>
      <c r="D232" s="111"/>
      <c r="E232" s="86"/>
      <c r="F232" s="138"/>
      <c r="G232" s="98"/>
      <c r="H232" s="98"/>
      <c r="I232" s="98"/>
      <c r="J232" s="98"/>
      <c r="K232" s="98"/>
      <c r="L232" s="98"/>
      <c r="M232" s="98"/>
      <c r="N232" s="98"/>
      <c r="O232" s="86"/>
      <c r="P232" s="138"/>
      <c r="Q232" s="98"/>
      <c r="R232" s="98"/>
      <c r="S232" s="111"/>
      <c r="T232" s="86"/>
      <c r="U232" s="138"/>
      <c r="V232" s="98"/>
      <c r="W232" s="101"/>
      <c r="X232" s="102"/>
      <c r="Y232" s="101"/>
      <c r="Z232" s="119"/>
    </row>
    <row r="233" spans="1:27" ht="15" x14ac:dyDescent="0.25">
      <c r="A233" s="111"/>
      <c r="B233" s="86"/>
      <c r="C233" s="86"/>
      <c r="D233" s="86"/>
      <c r="E233" s="86"/>
      <c r="F233" s="160"/>
      <c r="G233" s="86"/>
      <c r="H233" s="86"/>
      <c r="I233" s="86"/>
      <c r="J233" s="86"/>
      <c r="K233" s="86"/>
      <c r="L233" s="86"/>
      <c r="M233" s="86"/>
      <c r="N233" s="86"/>
      <c r="O233" s="86"/>
      <c r="P233" s="160"/>
      <c r="Q233" s="86"/>
      <c r="R233" s="86"/>
      <c r="S233" s="86"/>
      <c r="T233" s="86"/>
      <c r="U233" s="160"/>
      <c r="V233" s="86"/>
      <c r="W233" s="101"/>
      <c r="X233" s="102"/>
      <c r="Y233" s="101"/>
      <c r="Z233" s="119"/>
    </row>
    <row r="234" spans="1:27" ht="15" x14ac:dyDescent="0.25">
      <c r="A234" s="111"/>
      <c r="B234" s="86"/>
      <c r="C234" s="86"/>
      <c r="D234" s="86"/>
      <c r="E234" s="86"/>
      <c r="F234" s="160"/>
      <c r="G234" s="86"/>
      <c r="H234" s="86"/>
      <c r="I234" s="86"/>
      <c r="J234" s="86"/>
      <c r="K234" s="86"/>
      <c r="L234" s="86"/>
      <c r="M234" s="86"/>
      <c r="N234" s="86"/>
      <c r="O234" s="86"/>
      <c r="P234" s="160"/>
      <c r="Q234" s="86"/>
      <c r="R234" s="86"/>
      <c r="S234" s="86"/>
      <c r="T234" s="86"/>
      <c r="U234" s="160"/>
      <c r="V234" s="86"/>
      <c r="W234" s="101"/>
      <c r="X234" s="102"/>
      <c r="Y234" s="101"/>
      <c r="Z234" s="119"/>
    </row>
    <row r="235" spans="1:27" ht="15" x14ac:dyDescent="0.25">
      <c r="A235" s="326" t="str">
        <f>A196</f>
        <v>Kentucky American Water Company</v>
      </c>
      <c r="B235" s="326"/>
      <c r="C235" s="326"/>
      <c r="D235" s="326"/>
      <c r="E235" s="326"/>
      <c r="F235" s="326"/>
      <c r="G235" s="326"/>
      <c r="H235" s="326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326"/>
      <c r="T235" s="326"/>
      <c r="U235" s="326"/>
      <c r="V235" s="326"/>
      <c r="W235" s="326"/>
      <c r="X235" s="326"/>
      <c r="Y235" s="326"/>
      <c r="Z235" s="326"/>
      <c r="AA235" s="19"/>
    </row>
    <row r="236" spans="1:27" ht="15" x14ac:dyDescent="0.25">
      <c r="A236" s="326" t="s">
        <v>77</v>
      </c>
      <c r="B236" s="326"/>
      <c r="C236" s="326"/>
      <c r="D236" s="326"/>
      <c r="E236" s="326"/>
      <c r="F236" s="326"/>
      <c r="G236" s="326"/>
      <c r="H236" s="326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26"/>
      <c r="W236" s="326"/>
      <c r="X236" s="326"/>
      <c r="Y236" s="326"/>
      <c r="Z236" s="326"/>
      <c r="AA236" s="19"/>
    </row>
    <row r="237" spans="1:27" ht="15" x14ac:dyDescent="0.25">
      <c r="A237" s="326" t="str">
        <f>A198</f>
        <v>Case No. 2015-00418</v>
      </c>
      <c r="B237" s="326"/>
      <c r="C237" s="326"/>
      <c r="D237" s="326"/>
      <c r="E237" s="326"/>
      <c r="F237" s="326"/>
      <c r="G237" s="326"/>
      <c r="H237" s="326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26"/>
      <c r="X237" s="326"/>
      <c r="Y237" s="326"/>
      <c r="Z237" s="326"/>
      <c r="AA237" s="19"/>
    </row>
    <row r="238" spans="1:27" ht="15" x14ac:dyDescent="0.25">
      <c r="A238" s="326" t="str">
        <f>A199</f>
        <v>Base Year for the 12 Months Ended April 30, 2016 and Forecast Year for the 12 Months Ended August 31, 2017</v>
      </c>
      <c r="B238" s="326"/>
      <c r="C238" s="326"/>
      <c r="D238" s="326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26"/>
      <c r="W238" s="326"/>
      <c r="X238" s="326"/>
      <c r="Y238" s="326"/>
      <c r="Z238" s="326"/>
      <c r="AA238" s="19"/>
    </row>
    <row r="239" spans="1:27" ht="15" x14ac:dyDescent="0.25">
      <c r="A239" s="116" t="str">
        <f>A200</f>
        <v>Witness Responsible:   Linda Bridwell</v>
      </c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101"/>
      <c r="X239" s="101"/>
      <c r="Y239" s="101"/>
      <c r="Z239" s="106" t="str">
        <f>Z200</f>
        <v>Exhibit 37, Schedule M-3</v>
      </c>
      <c r="AA239" s="19"/>
    </row>
    <row r="240" spans="1:27" ht="15" x14ac:dyDescent="0.25">
      <c r="A240" s="146" t="str">
        <f>A201</f>
        <v/>
      </c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08"/>
      <c r="X240" s="108"/>
      <c r="Y240" s="108"/>
      <c r="Z240" s="148" t="e">
        <f ca="1">Z201</f>
        <v>#VALUE!</v>
      </c>
      <c r="AA240" s="19"/>
    </row>
    <row r="241" spans="1:27" ht="15" x14ac:dyDescent="0.25">
      <c r="A241" s="86"/>
      <c r="B241" s="86"/>
      <c r="C241" s="111"/>
      <c r="D241" s="86"/>
      <c r="E241" s="319" t="s">
        <v>177</v>
      </c>
      <c r="F241" s="319"/>
      <c r="G241" s="319"/>
      <c r="H241" s="111"/>
      <c r="I241" s="113"/>
      <c r="J241" s="325" t="s">
        <v>176</v>
      </c>
      <c r="K241" s="325"/>
      <c r="L241" s="325"/>
      <c r="M241" s="111"/>
      <c r="N241" s="86"/>
      <c r="O241" s="319" t="s">
        <v>121</v>
      </c>
      <c r="P241" s="319"/>
      <c r="Q241" s="319"/>
      <c r="R241" s="111"/>
      <c r="S241" s="86"/>
      <c r="T241" s="319" t="s">
        <v>122</v>
      </c>
      <c r="U241" s="319"/>
      <c r="V241" s="319"/>
      <c r="W241" s="101"/>
      <c r="X241" s="101"/>
      <c r="Y241" s="101"/>
      <c r="Z241" s="101"/>
      <c r="AA241" s="19"/>
    </row>
    <row r="242" spans="1:27" ht="15" x14ac:dyDescent="0.25">
      <c r="A242" s="86"/>
      <c r="B242" s="86"/>
      <c r="C242" s="111"/>
      <c r="D242" s="86"/>
      <c r="E242" s="111" t="s">
        <v>64</v>
      </c>
      <c r="F242" s="111"/>
      <c r="G242" s="111"/>
      <c r="H242" s="111"/>
      <c r="I242" s="113"/>
      <c r="J242" s="113" t="s">
        <v>64</v>
      </c>
      <c r="K242" s="113"/>
      <c r="L242" s="113"/>
      <c r="M242" s="111"/>
      <c r="N242" s="111"/>
      <c r="O242" s="111" t="s">
        <v>64</v>
      </c>
      <c r="P242" s="111"/>
      <c r="Q242" s="111"/>
      <c r="R242" s="111"/>
      <c r="S242" s="86"/>
      <c r="T242" s="111" t="s">
        <v>64</v>
      </c>
      <c r="U242" s="111"/>
      <c r="V242" s="111"/>
      <c r="W242" s="113"/>
      <c r="X242" s="113"/>
      <c r="Y242" s="101"/>
      <c r="Z242" s="101"/>
      <c r="AA242" s="19"/>
    </row>
    <row r="243" spans="1:27" ht="15" x14ac:dyDescent="0.25">
      <c r="A243" s="86"/>
      <c r="B243" s="111" t="s">
        <v>58</v>
      </c>
      <c r="C243" s="111"/>
      <c r="D243" s="86"/>
      <c r="E243" s="111" t="s">
        <v>65</v>
      </c>
      <c r="F243" s="111" t="s">
        <v>45</v>
      </c>
      <c r="G243" s="111" t="s">
        <v>1</v>
      </c>
      <c r="H243" s="111"/>
      <c r="I243" s="113"/>
      <c r="J243" s="113" t="s">
        <v>65</v>
      </c>
      <c r="K243" s="111" t="s">
        <v>73</v>
      </c>
      <c r="L243" s="113" t="s">
        <v>1</v>
      </c>
      <c r="M243" s="111"/>
      <c r="N243" s="111"/>
      <c r="O243" s="111" t="s">
        <v>65</v>
      </c>
      <c r="P243" s="111" t="s">
        <v>45</v>
      </c>
      <c r="Q243" s="111" t="s">
        <v>1</v>
      </c>
      <c r="R243" s="111"/>
      <c r="S243" s="86"/>
      <c r="T243" s="111" t="s">
        <v>65</v>
      </c>
      <c r="U243" s="111" t="s">
        <v>73</v>
      </c>
      <c r="V243" s="111" t="s">
        <v>1</v>
      </c>
      <c r="W243" s="113"/>
      <c r="X243" s="113" t="s">
        <v>51</v>
      </c>
      <c r="Y243" s="101"/>
      <c r="Z243" s="113" t="s">
        <v>53</v>
      </c>
      <c r="AA243" s="19"/>
    </row>
    <row r="244" spans="1:27" ht="15" x14ac:dyDescent="0.25">
      <c r="A244" s="147" t="s">
        <v>0</v>
      </c>
      <c r="B244" s="114" t="s">
        <v>59</v>
      </c>
      <c r="C244" s="111"/>
      <c r="D244" s="86"/>
      <c r="E244" s="114" t="s">
        <v>66</v>
      </c>
      <c r="F244" s="114" t="s">
        <v>46</v>
      </c>
      <c r="G244" s="114" t="s">
        <v>47</v>
      </c>
      <c r="H244" s="111"/>
      <c r="I244" s="113"/>
      <c r="J244" s="115" t="s">
        <v>66</v>
      </c>
      <c r="K244" s="115" t="s">
        <v>46</v>
      </c>
      <c r="L244" s="115" t="s">
        <v>47</v>
      </c>
      <c r="M244" s="111"/>
      <c r="N244" s="111"/>
      <c r="O244" s="114" t="s">
        <v>66</v>
      </c>
      <c r="P244" s="114" t="s">
        <v>46</v>
      </c>
      <c r="Q244" s="114" t="s">
        <v>47</v>
      </c>
      <c r="R244" s="111"/>
      <c r="S244" s="86"/>
      <c r="T244" s="114" t="s">
        <v>66</v>
      </c>
      <c r="U244" s="114" t="s">
        <v>46</v>
      </c>
      <c r="V244" s="114" t="s">
        <v>47</v>
      </c>
      <c r="W244" s="113"/>
      <c r="X244" s="115" t="s">
        <v>52</v>
      </c>
      <c r="Y244" s="101"/>
      <c r="Z244" s="115" t="s">
        <v>52</v>
      </c>
      <c r="AA244" s="19"/>
    </row>
    <row r="245" spans="1:27" ht="15" x14ac:dyDescent="0.25">
      <c r="A245" s="111">
        <v>1</v>
      </c>
      <c r="B245" s="116" t="s">
        <v>57</v>
      </c>
      <c r="C245" s="111"/>
      <c r="D245" s="86"/>
      <c r="E245" s="111"/>
      <c r="F245" s="111"/>
      <c r="G245" s="111"/>
      <c r="H245" s="111"/>
      <c r="I245" s="113"/>
      <c r="J245" s="113"/>
      <c r="K245" s="113"/>
      <c r="L245" s="113"/>
      <c r="M245" s="111"/>
      <c r="N245" s="111"/>
      <c r="O245" s="111"/>
      <c r="P245" s="111"/>
      <c r="Q245" s="111"/>
      <c r="R245" s="111"/>
      <c r="S245" s="86"/>
      <c r="T245" s="111"/>
      <c r="U245" s="111"/>
      <c r="V245" s="111"/>
      <c r="W245" s="113"/>
      <c r="X245" s="113"/>
      <c r="Y245" s="101"/>
      <c r="Z245" s="119"/>
      <c r="AA245" s="19"/>
    </row>
    <row r="246" spans="1:27" ht="15" x14ac:dyDescent="0.25">
      <c r="A246" s="111">
        <v>2</v>
      </c>
      <c r="B246" s="86" t="s">
        <v>140</v>
      </c>
      <c r="C246" s="104"/>
      <c r="D246" s="99"/>
      <c r="E246" s="102">
        <f>'Link in'!I10</f>
        <v>13879.401908831796</v>
      </c>
      <c r="F246" s="149">
        <f>'Link in'!D65</f>
        <v>79.77</v>
      </c>
      <c r="G246" s="118">
        <f>ROUND((E246*F246),0)</f>
        <v>1107160</v>
      </c>
      <c r="H246" s="104"/>
      <c r="I246" s="118"/>
      <c r="J246" s="102">
        <f>E246</f>
        <v>13879.401908831796</v>
      </c>
      <c r="K246" s="149">
        <f>U246</f>
        <v>79.77</v>
      </c>
      <c r="L246" s="118">
        <f>ROUND((J246*K246),0)</f>
        <v>1107160</v>
      </c>
      <c r="M246" s="104"/>
      <c r="N246" s="104"/>
      <c r="O246" s="102">
        <f>'Link in'!S10</f>
        <v>13620</v>
      </c>
      <c r="P246" s="149">
        <f>F246</f>
        <v>79.77</v>
      </c>
      <c r="Q246" s="118">
        <f>ROUND((O246*P246),0)</f>
        <v>1086467</v>
      </c>
      <c r="R246" s="104"/>
      <c r="S246" s="86"/>
      <c r="T246" s="98">
        <f>O246</f>
        <v>13620</v>
      </c>
      <c r="U246" s="149">
        <f>'Link in'!L65</f>
        <v>79.77</v>
      </c>
      <c r="V246" s="104">
        <f>ROUND((U246*T246),0)</f>
        <v>1086467</v>
      </c>
      <c r="W246" s="101"/>
      <c r="X246" s="104">
        <f>+V246-Q246</f>
        <v>0</v>
      </c>
      <c r="Y246" s="103"/>
      <c r="Z246" s="119">
        <f>IF(Q246=0,0,ROUND((X246/Q246),4))</f>
        <v>0</v>
      </c>
      <c r="AA246" s="19"/>
    </row>
    <row r="247" spans="1:27" ht="15" x14ac:dyDescent="0.25">
      <c r="A247" s="111">
        <v>3</v>
      </c>
      <c r="B247" s="86" t="s">
        <v>13</v>
      </c>
      <c r="C247" s="98"/>
      <c r="D247" s="99"/>
      <c r="E247" s="102">
        <f>'Link in'!I11</f>
        <v>765.0190582959641</v>
      </c>
      <c r="F247" s="121">
        <f>'Link in'!D66</f>
        <v>8.92</v>
      </c>
      <c r="G247" s="102">
        <f t="shared" ref="G247:G254" si="105">ROUND((E247*F247),0)</f>
        <v>6824</v>
      </c>
      <c r="H247" s="98"/>
      <c r="I247" s="102"/>
      <c r="J247" s="102">
        <f t="shared" ref="J247:J254" si="106">E247</f>
        <v>765.0190582959641</v>
      </c>
      <c r="K247" s="149">
        <f t="shared" ref="K247:K254" si="107">U247</f>
        <v>9.3699999999999992</v>
      </c>
      <c r="L247" s="102">
        <f t="shared" ref="L247:L254" si="108">ROUND((J247*K247),0)</f>
        <v>7168</v>
      </c>
      <c r="M247" s="98"/>
      <c r="N247" s="98"/>
      <c r="O247" s="102">
        <f>'Link in'!S11</f>
        <v>828</v>
      </c>
      <c r="P247" s="121">
        <f t="shared" ref="P247:P254" si="109">F247</f>
        <v>8.92</v>
      </c>
      <c r="Q247" s="102">
        <f t="shared" ref="Q247:Q254" si="110">ROUND((O247*P247),0)</f>
        <v>7386</v>
      </c>
      <c r="R247" s="98"/>
      <c r="S247" s="86"/>
      <c r="T247" s="98">
        <f t="shared" ref="T247:T254" si="111">O247</f>
        <v>828</v>
      </c>
      <c r="U247" s="121">
        <f>'Link in'!L66</f>
        <v>9.3699999999999992</v>
      </c>
      <c r="V247" s="98">
        <f t="shared" ref="V247:V254" si="112">ROUND((U247*T247),0)</f>
        <v>7758</v>
      </c>
      <c r="W247" s="118"/>
      <c r="X247" s="98">
        <f t="shared" ref="X247:X254" si="113">+V247-Q247</f>
        <v>372</v>
      </c>
      <c r="Y247" s="103"/>
      <c r="Z247" s="119">
        <f t="shared" ref="Z247:Z254" si="114">IF(Q247=0,0,ROUND((X247/Q247),4))</f>
        <v>5.04E-2</v>
      </c>
      <c r="AA247" s="19"/>
    </row>
    <row r="248" spans="1:27" ht="15" x14ac:dyDescent="0.25">
      <c r="A248" s="111">
        <v>4</v>
      </c>
      <c r="B248" s="86" t="s">
        <v>16</v>
      </c>
      <c r="C248" s="98"/>
      <c r="D248" s="99"/>
      <c r="E248" s="102">
        <f>'Link in'!I12</f>
        <v>5036.8401114206135</v>
      </c>
      <c r="F248" s="121">
        <f>'Link in'!D67</f>
        <v>35.9</v>
      </c>
      <c r="G248" s="102">
        <f t="shared" si="105"/>
        <v>180823</v>
      </c>
      <c r="H248" s="98"/>
      <c r="I248" s="102"/>
      <c r="J248" s="102">
        <f t="shared" si="106"/>
        <v>5036.8401114206135</v>
      </c>
      <c r="K248" s="149">
        <f t="shared" si="107"/>
        <v>37.700000000000003</v>
      </c>
      <c r="L248" s="102">
        <f t="shared" si="108"/>
        <v>189889</v>
      </c>
      <c r="M248" s="98"/>
      <c r="N248" s="98"/>
      <c r="O248" s="102">
        <f>'Link in'!S12</f>
        <v>5040</v>
      </c>
      <c r="P248" s="121">
        <f t="shared" si="109"/>
        <v>35.9</v>
      </c>
      <c r="Q248" s="102">
        <f t="shared" si="110"/>
        <v>180936</v>
      </c>
      <c r="R248" s="98"/>
      <c r="S248" s="86"/>
      <c r="T248" s="98">
        <f t="shared" si="111"/>
        <v>5040</v>
      </c>
      <c r="U248" s="121">
        <f>'Link in'!L67</f>
        <v>37.700000000000003</v>
      </c>
      <c r="V248" s="98">
        <f t="shared" si="112"/>
        <v>190008</v>
      </c>
      <c r="W248" s="102"/>
      <c r="X248" s="98">
        <f t="shared" si="113"/>
        <v>9072</v>
      </c>
      <c r="Y248" s="103"/>
      <c r="Z248" s="119">
        <f t="shared" si="114"/>
        <v>5.0099999999999999E-2</v>
      </c>
      <c r="AA248" s="19"/>
    </row>
    <row r="249" spans="1:27" ht="15" x14ac:dyDescent="0.25">
      <c r="A249" s="111">
        <v>5</v>
      </c>
      <c r="B249" s="86" t="s">
        <v>60</v>
      </c>
      <c r="C249" s="98"/>
      <c r="D249" s="99"/>
      <c r="E249" s="102">
        <f>'Link in'!I13</f>
        <v>10988.640376517214</v>
      </c>
      <c r="F249" s="121">
        <f>'Link in'!D68</f>
        <v>80.739999999999995</v>
      </c>
      <c r="G249" s="102">
        <f t="shared" si="105"/>
        <v>887223</v>
      </c>
      <c r="H249" s="98"/>
      <c r="I249" s="102"/>
      <c r="J249" s="102">
        <f t="shared" si="106"/>
        <v>10988.640376517214</v>
      </c>
      <c r="K249" s="149">
        <f t="shared" si="107"/>
        <v>84.78</v>
      </c>
      <c r="L249" s="102">
        <f t="shared" si="108"/>
        <v>931617</v>
      </c>
      <c r="M249" s="98"/>
      <c r="N249" s="98"/>
      <c r="O249" s="102">
        <f>'Link in'!S13</f>
        <v>10944</v>
      </c>
      <c r="P249" s="121">
        <f t="shared" si="109"/>
        <v>80.739999999999995</v>
      </c>
      <c r="Q249" s="102">
        <f t="shared" si="110"/>
        <v>883619</v>
      </c>
      <c r="R249" s="98"/>
      <c r="S249" s="86"/>
      <c r="T249" s="98">
        <f t="shared" si="111"/>
        <v>10944</v>
      </c>
      <c r="U249" s="121">
        <f>'Link in'!L68</f>
        <v>84.78</v>
      </c>
      <c r="V249" s="98">
        <f t="shared" si="112"/>
        <v>927832</v>
      </c>
      <c r="W249" s="118"/>
      <c r="X249" s="98">
        <f t="shared" si="113"/>
        <v>44213</v>
      </c>
      <c r="Y249" s="103"/>
      <c r="Z249" s="119">
        <f t="shared" si="114"/>
        <v>0.05</v>
      </c>
      <c r="AA249" s="19"/>
    </row>
    <row r="250" spans="1:27" ht="15" x14ac:dyDescent="0.25">
      <c r="A250" s="111">
        <v>6</v>
      </c>
      <c r="B250" s="86" t="s">
        <v>61</v>
      </c>
      <c r="C250" s="98"/>
      <c r="D250" s="99"/>
      <c r="E250" s="102">
        <f>'Link in'!I14</f>
        <v>3418.0108680507178</v>
      </c>
      <c r="F250" s="121">
        <f>'Link in'!D69</f>
        <v>143.54</v>
      </c>
      <c r="G250" s="102">
        <f t="shared" si="105"/>
        <v>490621</v>
      </c>
      <c r="H250" s="98"/>
      <c r="I250" s="102"/>
      <c r="J250" s="102">
        <f t="shared" si="106"/>
        <v>3418.0108680507178</v>
      </c>
      <c r="K250" s="149">
        <f t="shared" si="107"/>
        <v>150.72</v>
      </c>
      <c r="L250" s="102">
        <f t="shared" si="108"/>
        <v>515163</v>
      </c>
      <c r="M250" s="98"/>
      <c r="N250" s="98"/>
      <c r="O250" s="102">
        <f>'Link in'!S14</f>
        <v>3420</v>
      </c>
      <c r="P250" s="121">
        <f t="shared" si="109"/>
        <v>143.54</v>
      </c>
      <c r="Q250" s="102">
        <f t="shared" si="110"/>
        <v>490907</v>
      </c>
      <c r="R250" s="98"/>
      <c r="S250" s="86"/>
      <c r="T250" s="98">
        <f t="shared" si="111"/>
        <v>3420</v>
      </c>
      <c r="U250" s="121">
        <f>'Link in'!L69</f>
        <v>150.72</v>
      </c>
      <c r="V250" s="98">
        <f t="shared" si="112"/>
        <v>515462</v>
      </c>
      <c r="W250" s="102"/>
      <c r="X250" s="98">
        <f t="shared" si="113"/>
        <v>24555</v>
      </c>
      <c r="Y250" s="103"/>
      <c r="Z250" s="119">
        <f t="shared" si="114"/>
        <v>0.05</v>
      </c>
      <c r="AA250" s="19"/>
    </row>
    <row r="251" spans="1:27" ht="15" x14ac:dyDescent="0.25">
      <c r="A251" s="111">
        <v>7</v>
      </c>
      <c r="B251" s="86" t="s">
        <v>62</v>
      </c>
      <c r="C251" s="98"/>
      <c r="D251" s="99"/>
      <c r="E251" s="102">
        <f>'Link in'!I15</f>
        <v>108</v>
      </c>
      <c r="F251" s="121">
        <f>'Link in'!D70</f>
        <v>224.34</v>
      </c>
      <c r="G251" s="102">
        <f t="shared" si="105"/>
        <v>24229</v>
      </c>
      <c r="H251" s="98"/>
      <c r="I251" s="102"/>
      <c r="J251" s="102">
        <f t="shared" si="106"/>
        <v>108</v>
      </c>
      <c r="K251" s="149">
        <f t="shared" si="107"/>
        <v>235.56</v>
      </c>
      <c r="L251" s="102">
        <f t="shared" si="108"/>
        <v>25440</v>
      </c>
      <c r="M251" s="98"/>
      <c r="N251" s="98"/>
      <c r="O251" s="102">
        <f>'Link in'!S15</f>
        <v>108</v>
      </c>
      <c r="P251" s="121">
        <f t="shared" si="109"/>
        <v>224.34</v>
      </c>
      <c r="Q251" s="102">
        <f t="shared" si="110"/>
        <v>24229</v>
      </c>
      <c r="R251" s="98"/>
      <c r="S251" s="86"/>
      <c r="T251" s="98">
        <f t="shared" si="111"/>
        <v>108</v>
      </c>
      <c r="U251" s="121">
        <f>'Link in'!L70</f>
        <v>235.56</v>
      </c>
      <c r="V251" s="98">
        <f t="shared" si="112"/>
        <v>25440</v>
      </c>
      <c r="W251" s="118"/>
      <c r="X251" s="98">
        <f t="shared" si="113"/>
        <v>1211</v>
      </c>
      <c r="Y251" s="103"/>
      <c r="Z251" s="119">
        <f t="shared" si="114"/>
        <v>0.05</v>
      </c>
      <c r="AA251" s="19"/>
    </row>
    <row r="252" spans="1:27" ht="15" x14ac:dyDescent="0.25">
      <c r="A252" s="111">
        <v>8</v>
      </c>
      <c r="B252" s="86" t="s">
        <v>63</v>
      </c>
      <c r="C252" s="98"/>
      <c r="D252" s="99"/>
      <c r="E252" s="102">
        <f>'Link in'!I16</f>
        <v>60</v>
      </c>
      <c r="F252" s="121">
        <f>'Link in'!D71</f>
        <v>323.5</v>
      </c>
      <c r="G252" s="102">
        <f t="shared" si="105"/>
        <v>19410</v>
      </c>
      <c r="H252" s="98"/>
      <c r="I252" s="102"/>
      <c r="J252" s="102">
        <f t="shared" si="106"/>
        <v>60</v>
      </c>
      <c r="K252" s="149">
        <f t="shared" si="107"/>
        <v>339.68</v>
      </c>
      <c r="L252" s="102">
        <f t="shared" si="108"/>
        <v>20381</v>
      </c>
      <c r="M252" s="98"/>
      <c r="N252" s="98"/>
      <c r="O252" s="102">
        <f>'Link in'!S16</f>
        <v>60</v>
      </c>
      <c r="P252" s="121">
        <f t="shared" si="109"/>
        <v>323.5</v>
      </c>
      <c r="Q252" s="102">
        <f t="shared" si="110"/>
        <v>19410</v>
      </c>
      <c r="R252" s="98"/>
      <c r="S252" s="86"/>
      <c r="T252" s="98">
        <f t="shared" si="111"/>
        <v>60</v>
      </c>
      <c r="U252" s="121">
        <f>'Link in'!L71</f>
        <v>339.68</v>
      </c>
      <c r="V252" s="98">
        <f t="shared" si="112"/>
        <v>20381</v>
      </c>
      <c r="W252" s="102"/>
      <c r="X252" s="98">
        <f t="shared" si="113"/>
        <v>971</v>
      </c>
      <c r="Y252" s="103"/>
      <c r="Z252" s="119">
        <f t="shared" si="114"/>
        <v>0.05</v>
      </c>
      <c r="AA252" s="19"/>
    </row>
    <row r="253" spans="1:27" ht="15" x14ac:dyDescent="0.25">
      <c r="A253" s="111">
        <v>9</v>
      </c>
      <c r="B253" s="86" t="s">
        <v>136</v>
      </c>
      <c r="C253" s="98"/>
      <c r="D253" s="99"/>
      <c r="E253" s="102">
        <f>'Link in'!I17</f>
        <v>0</v>
      </c>
      <c r="F253" s="121">
        <f>'Link in'!D72</f>
        <v>439.89</v>
      </c>
      <c r="G253" s="102">
        <f t="shared" si="105"/>
        <v>0</v>
      </c>
      <c r="H253" s="98"/>
      <c r="I253" s="102"/>
      <c r="J253" s="102">
        <f t="shared" si="106"/>
        <v>0</v>
      </c>
      <c r="K253" s="149">
        <f t="shared" si="107"/>
        <v>461.88</v>
      </c>
      <c r="L253" s="102">
        <f t="shared" si="108"/>
        <v>0</v>
      </c>
      <c r="M253" s="98"/>
      <c r="N253" s="98"/>
      <c r="O253" s="102">
        <f>'Link in'!S17</f>
        <v>0</v>
      </c>
      <c r="P253" s="121">
        <f t="shared" si="109"/>
        <v>439.89</v>
      </c>
      <c r="Q253" s="102">
        <f t="shared" si="110"/>
        <v>0</v>
      </c>
      <c r="R253" s="98"/>
      <c r="S253" s="86"/>
      <c r="T253" s="98">
        <f t="shared" si="111"/>
        <v>0</v>
      </c>
      <c r="U253" s="121">
        <f>'Link in'!L72</f>
        <v>461.88</v>
      </c>
      <c r="V253" s="98">
        <f t="shared" si="112"/>
        <v>0</v>
      </c>
      <c r="W253" s="118"/>
      <c r="X253" s="98">
        <f t="shared" si="113"/>
        <v>0</v>
      </c>
      <c r="Y253" s="103"/>
      <c r="Z253" s="119">
        <f t="shared" si="114"/>
        <v>0</v>
      </c>
      <c r="AA253" s="19"/>
    </row>
    <row r="254" spans="1:27" ht="15" x14ac:dyDescent="0.25">
      <c r="A254" s="111">
        <v>10</v>
      </c>
      <c r="B254" s="86" t="s">
        <v>137</v>
      </c>
      <c r="C254" s="98"/>
      <c r="D254" s="99"/>
      <c r="E254" s="102">
        <f>'Link in'!I18</f>
        <v>12</v>
      </c>
      <c r="F254" s="121">
        <f>'Link in'!D73</f>
        <v>574.41999999999996</v>
      </c>
      <c r="G254" s="102">
        <f t="shared" si="105"/>
        <v>6893</v>
      </c>
      <c r="H254" s="98"/>
      <c r="I254" s="102"/>
      <c r="J254" s="102">
        <f t="shared" si="106"/>
        <v>12</v>
      </c>
      <c r="K254" s="149">
        <f t="shared" si="107"/>
        <v>603.14</v>
      </c>
      <c r="L254" s="102">
        <f t="shared" si="108"/>
        <v>7238</v>
      </c>
      <c r="M254" s="98"/>
      <c r="N254" s="98"/>
      <c r="O254" s="102">
        <f>'Link in'!S18</f>
        <v>12</v>
      </c>
      <c r="P254" s="121">
        <f t="shared" si="109"/>
        <v>574.41999999999996</v>
      </c>
      <c r="Q254" s="102">
        <f t="shared" si="110"/>
        <v>6893</v>
      </c>
      <c r="R254" s="98"/>
      <c r="S254" s="86"/>
      <c r="T254" s="98">
        <f t="shared" si="111"/>
        <v>12</v>
      </c>
      <c r="U254" s="121">
        <f>'Link in'!L73</f>
        <v>603.14</v>
      </c>
      <c r="V254" s="98">
        <f t="shared" si="112"/>
        <v>7238</v>
      </c>
      <c r="W254" s="102"/>
      <c r="X254" s="98">
        <f t="shared" si="113"/>
        <v>345</v>
      </c>
      <c r="Y254" s="103"/>
      <c r="Z254" s="119">
        <f t="shared" si="114"/>
        <v>5.0099999999999999E-2</v>
      </c>
      <c r="AA254" s="19"/>
    </row>
    <row r="255" spans="1:27" ht="15" x14ac:dyDescent="0.25">
      <c r="A255" s="111">
        <v>11</v>
      </c>
      <c r="B255" s="111"/>
      <c r="C255" s="98"/>
      <c r="D255" s="86"/>
      <c r="E255" s="102"/>
      <c r="F255" s="121"/>
      <c r="G255" s="102"/>
      <c r="H255" s="98"/>
      <c r="I255" s="102"/>
      <c r="J255" s="102"/>
      <c r="K255" s="121"/>
      <c r="L255" s="102"/>
      <c r="M255" s="98"/>
      <c r="N255" s="98"/>
      <c r="O255" s="102"/>
      <c r="P255" s="121"/>
      <c r="Q255" s="102"/>
      <c r="R255" s="98"/>
      <c r="S255" s="86"/>
      <c r="T255" s="98"/>
      <c r="U255" s="121"/>
      <c r="V255" s="98"/>
      <c r="W255" s="118"/>
      <c r="X255" s="118"/>
      <c r="Y255" s="103"/>
      <c r="Z255" s="119"/>
      <c r="AA255" s="19"/>
    </row>
    <row r="256" spans="1:27" ht="15" x14ac:dyDescent="0.25">
      <c r="A256" s="111">
        <v>12</v>
      </c>
      <c r="B256" s="111"/>
      <c r="C256" s="86"/>
      <c r="D256" s="86"/>
      <c r="E256" s="101"/>
      <c r="F256" s="101"/>
      <c r="G256" s="101"/>
      <c r="H256" s="86"/>
      <c r="I256" s="101"/>
      <c r="J256" s="101"/>
      <c r="K256" s="101"/>
      <c r="L256" s="101"/>
      <c r="M256" s="86"/>
      <c r="N256" s="86"/>
      <c r="O256" s="101"/>
      <c r="P256" s="101"/>
      <c r="Q256" s="101"/>
      <c r="R256" s="86"/>
      <c r="S256" s="86"/>
      <c r="T256" s="86"/>
      <c r="U256" s="101"/>
      <c r="V256" s="98"/>
      <c r="W256" s="102"/>
      <c r="X256" s="118"/>
      <c r="Y256" s="103"/>
      <c r="Z256" s="119"/>
      <c r="AA256" s="19"/>
    </row>
    <row r="257" spans="1:27" ht="15" x14ac:dyDescent="0.25">
      <c r="A257" s="111">
        <v>13</v>
      </c>
      <c r="B257" s="101" t="s">
        <v>109</v>
      </c>
      <c r="C257" s="102"/>
      <c r="D257" s="103"/>
      <c r="E257" s="101"/>
      <c r="F257" s="129"/>
      <c r="G257" s="130"/>
      <c r="H257" s="130"/>
      <c r="I257" s="130"/>
      <c r="J257" s="101"/>
      <c r="K257" s="129"/>
      <c r="L257" s="130">
        <f>G257</f>
        <v>0</v>
      </c>
      <c r="M257" s="130"/>
      <c r="N257" s="101"/>
      <c r="O257" s="101"/>
      <c r="P257" s="113"/>
      <c r="Q257" s="130"/>
      <c r="R257" s="130"/>
      <c r="S257" s="101"/>
      <c r="T257" s="101"/>
      <c r="U257" s="113"/>
      <c r="V257" s="130">
        <f>Q257</f>
        <v>0</v>
      </c>
      <c r="W257" s="118"/>
      <c r="X257" s="102"/>
      <c r="Y257" s="103"/>
      <c r="Z257" s="119"/>
      <c r="AA257" s="19"/>
    </row>
    <row r="258" spans="1:27" ht="15.75" thickBot="1" x14ac:dyDescent="0.3">
      <c r="A258" s="111">
        <v>14</v>
      </c>
      <c r="B258" s="86" t="s">
        <v>1</v>
      </c>
      <c r="C258" s="161"/>
      <c r="D258" s="111"/>
      <c r="E258" s="125">
        <f>SUM(E246:E257)</f>
        <v>34267.912323116303</v>
      </c>
      <c r="F258" s="113"/>
      <c r="G258" s="162">
        <f>SUM(G246:G257)</f>
        <v>2723183</v>
      </c>
      <c r="H258" s="161"/>
      <c r="I258" s="163"/>
      <c r="J258" s="125">
        <f>SUM(J246:J257)</f>
        <v>34267.912323116303</v>
      </c>
      <c r="K258" s="113"/>
      <c r="L258" s="162">
        <f>SUM(L246:L257)</f>
        <v>2804056</v>
      </c>
      <c r="M258" s="161"/>
      <c r="N258" s="161"/>
      <c r="O258" s="125">
        <f>SUM(O246:O257)</f>
        <v>34032</v>
      </c>
      <c r="P258" s="113"/>
      <c r="Q258" s="162">
        <f>SUM(Q246:Q257)</f>
        <v>2699847</v>
      </c>
      <c r="R258" s="161"/>
      <c r="S258" s="86"/>
      <c r="T258" s="123">
        <f>SUM(T246:T257)</f>
        <v>34032</v>
      </c>
      <c r="U258" s="130"/>
      <c r="V258" s="164">
        <f>SUM(V246:V257)</f>
        <v>2780586</v>
      </c>
      <c r="W258" s="130"/>
      <c r="X258" s="164">
        <f>SUM(X246:X257)</f>
        <v>80739</v>
      </c>
      <c r="Y258" s="101"/>
      <c r="Z258" s="143">
        <f>IF(Q258=0,0,ROUND((X258/Q258),4))</f>
        <v>2.9899999999999999E-2</v>
      </c>
      <c r="AA258" s="19"/>
    </row>
    <row r="259" spans="1:27" ht="15.75" thickTop="1" x14ac:dyDescent="0.25">
      <c r="A259" s="111">
        <v>15</v>
      </c>
      <c r="B259" s="86"/>
      <c r="C259" s="98"/>
      <c r="D259" s="86"/>
      <c r="E259" s="102"/>
      <c r="F259" s="129"/>
      <c r="G259" s="102"/>
      <c r="H259" s="98"/>
      <c r="I259" s="102"/>
      <c r="J259" s="102"/>
      <c r="K259" s="129"/>
      <c r="L259" s="102"/>
      <c r="M259" s="98"/>
      <c r="N259" s="98"/>
      <c r="O259" s="102"/>
      <c r="P259" s="129"/>
      <c r="Q259" s="102"/>
      <c r="R259" s="98"/>
      <c r="S259" s="86"/>
      <c r="T259" s="98"/>
      <c r="U259" s="121"/>
      <c r="V259" s="153"/>
      <c r="W259" s="102"/>
      <c r="X259" s="102"/>
      <c r="Y259" s="101"/>
      <c r="Z259" s="119"/>
      <c r="AA259" s="19"/>
    </row>
    <row r="260" spans="1:27" ht="15" x14ac:dyDescent="0.25">
      <c r="A260" s="111">
        <v>16</v>
      </c>
      <c r="B260" s="86"/>
      <c r="C260" s="86"/>
      <c r="D260" s="86"/>
      <c r="E260" s="101"/>
      <c r="F260" s="101"/>
      <c r="G260" s="101"/>
      <c r="H260" s="86"/>
      <c r="I260" s="101"/>
      <c r="J260" s="101"/>
      <c r="K260" s="101"/>
      <c r="L260" s="101"/>
      <c r="M260" s="86"/>
      <c r="N260" s="86"/>
      <c r="O260" s="101"/>
      <c r="P260" s="101"/>
      <c r="Q260" s="101"/>
      <c r="R260" s="86"/>
      <c r="S260" s="86"/>
      <c r="T260" s="86"/>
      <c r="U260" s="101"/>
      <c r="V260" s="86"/>
      <c r="W260" s="101"/>
      <c r="X260" s="101"/>
      <c r="Y260" s="101"/>
      <c r="Z260" s="101"/>
      <c r="AA260" s="19"/>
    </row>
    <row r="261" spans="1:27" ht="15" x14ac:dyDescent="0.25">
      <c r="A261" s="111">
        <v>17</v>
      </c>
      <c r="B261" s="116" t="s">
        <v>86</v>
      </c>
      <c r="C261" s="98"/>
      <c r="D261" s="139"/>
      <c r="E261" s="101"/>
      <c r="F261" s="135"/>
      <c r="G261" s="102"/>
      <c r="H261" s="98"/>
      <c r="I261" s="102"/>
      <c r="J261" s="101"/>
      <c r="K261" s="135"/>
      <c r="L261" s="102"/>
      <c r="M261" s="98"/>
      <c r="N261" s="98"/>
      <c r="O261" s="101"/>
      <c r="P261" s="135"/>
      <c r="Q261" s="102"/>
      <c r="R261" s="98"/>
      <c r="S261" s="86"/>
      <c r="T261" s="139"/>
      <c r="U261" s="101"/>
      <c r="V261" s="138"/>
      <c r="W261" s="134"/>
      <c r="X261" s="102"/>
      <c r="Y261" s="101"/>
      <c r="Z261" s="119"/>
      <c r="AA261" s="19"/>
    </row>
    <row r="262" spans="1:27" ht="15" x14ac:dyDescent="0.25">
      <c r="A262" s="111">
        <v>18</v>
      </c>
      <c r="B262" s="101" t="s">
        <v>87</v>
      </c>
      <c r="C262" s="98"/>
      <c r="D262" s="86"/>
      <c r="E262" s="101">
        <f>'Link in'!I19</f>
        <v>89711</v>
      </c>
      <c r="F262" s="149">
        <f>'Link in'!D76</f>
        <v>41.6</v>
      </c>
      <c r="G262" s="118">
        <f>ROUND((E262*F262),0)</f>
        <v>3731978</v>
      </c>
      <c r="H262" s="104"/>
      <c r="I262" s="102"/>
      <c r="J262" s="101">
        <f>E262</f>
        <v>89711</v>
      </c>
      <c r="K262" s="149">
        <f>U262</f>
        <v>48</v>
      </c>
      <c r="L262" s="118">
        <f>ROUND((J262*K262),0)</f>
        <v>4306128</v>
      </c>
      <c r="M262" s="98"/>
      <c r="N262" s="98"/>
      <c r="O262" s="101">
        <f>'Link in'!S19</f>
        <v>89916</v>
      </c>
      <c r="P262" s="149">
        <f>F262</f>
        <v>41.6</v>
      </c>
      <c r="Q262" s="118">
        <f>ROUND((O262*P262),0)</f>
        <v>3740506</v>
      </c>
      <c r="R262" s="98"/>
      <c r="S262" s="86"/>
      <c r="T262" s="101">
        <f>'Link in'!S19</f>
        <v>89916</v>
      </c>
      <c r="U262" s="149">
        <f>'Link in'!L76</f>
        <v>48</v>
      </c>
      <c r="V262" s="104">
        <f>ROUND((T262*U262),0)</f>
        <v>4315968</v>
      </c>
      <c r="W262" s="101"/>
      <c r="X262" s="104">
        <f>+V262-Q262</f>
        <v>575462</v>
      </c>
      <c r="Y262" s="101"/>
      <c r="Z262" s="119">
        <f>IF(Q262=0,0,ROUND((X262/Q262),4))</f>
        <v>0.15379999999999999</v>
      </c>
      <c r="AA262" s="19"/>
    </row>
    <row r="263" spans="1:27" ht="15" x14ac:dyDescent="0.25">
      <c r="A263" s="111">
        <v>19</v>
      </c>
      <c r="B263" s="165"/>
      <c r="C263" s="163"/>
      <c r="D263" s="113"/>
      <c r="E263" s="101"/>
      <c r="F263" s="121"/>
      <c r="G263" s="102"/>
      <c r="H263" s="98"/>
      <c r="I263" s="122"/>
      <c r="J263" s="101"/>
      <c r="K263" s="121"/>
      <c r="L263" s="102"/>
      <c r="M263" s="100"/>
      <c r="N263" s="100"/>
      <c r="O263" s="101"/>
      <c r="P263" s="121"/>
      <c r="Q263" s="102"/>
      <c r="R263" s="100"/>
      <c r="S263" s="100"/>
      <c r="T263" s="86"/>
      <c r="U263" s="121"/>
      <c r="V263" s="98"/>
      <c r="W263" s="101"/>
      <c r="X263" s="98"/>
      <c r="Y263" s="101"/>
      <c r="Z263" s="119"/>
      <c r="AA263" s="19"/>
    </row>
    <row r="264" spans="1:27" ht="15.75" thickBot="1" x14ac:dyDescent="0.3">
      <c r="A264" s="111">
        <v>20</v>
      </c>
      <c r="B264" s="86"/>
      <c r="C264" s="86"/>
      <c r="D264" s="86"/>
      <c r="E264" s="158">
        <f>SUM(E262:E263)</f>
        <v>89711</v>
      </c>
      <c r="F264" s="149"/>
      <c r="G264" s="164">
        <f>SUM(G262:G263)</f>
        <v>3731978</v>
      </c>
      <c r="H264" s="161"/>
      <c r="I264" s="163"/>
      <c r="J264" s="158">
        <f>SUM(J262:J263)</f>
        <v>89711</v>
      </c>
      <c r="K264" s="149"/>
      <c r="L264" s="162">
        <f>SUM(L262:L263)</f>
        <v>4306128</v>
      </c>
      <c r="M264" s="163"/>
      <c r="N264" s="163"/>
      <c r="O264" s="158">
        <f>SUM(O262:O263)</f>
        <v>89916</v>
      </c>
      <c r="P264" s="149"/>
      <c r="Q264" s="162">
        <f>SUM(Q262:Q263)</f>
        <v>3740506</v>
      </c>
      <c r="R264" s="163"/>
      <c r="S264" s="101"/>
      <c r="T264" s="158">
        <f>SUM(T262:T263)</f>
        <v>89916</v>
      </c>
      <c r="U264" s="149"/>
      <c r="V264" s="164">
        <f>SUM(V262:V263)</f>
        <v>4315968</v>
      </c>
      <c r="W264" s="118"/>
      <c r="X264" s="164">
        <f>+V264-Q264</f>
        <v>575462</v>
      </c>
      <c r="Y264" s="103"/>
      <c r="Z264" s="143">
        <f>IF(Q264=0,0,ROUND((X264/Q264),4))</f>
        <v>0.15379999999999999</v>
      </c>
      <c r="AA264" s="19"/>
    </row>
    <row r="265" spans="1:27" ht="15.75" thickTop="1" x14ac:dyDescent="0.25">
      <c r="A265" s="111">
        <v>21</v>
      </c>
      <c r="B265" s="86"/>
      <c r="C265" s="86"/>
      <c r="D265" s="86"/>
      <c r="E265" s="86"/>
      <c r="F265" s="86"/>
      <c r="G265" s="86"/>
      <c r="H265" s="86"/>
      <c r="I265" s="101"/>
      <c r="J265" s="101"/>
      <c r="K265" s="101"/>
      <c r="L265" s="101"/>
      <c r="M265" s="86"/>
      <c r="N265" s="86"/>
      <c r="O265" s="101"/>
      <c r="P265" s="101"/>
      <c r="Q265" s="101"/>
      <c r="R265" s="86"/>
      <c r="S265" s="86"/>
      <c r="T265" s="86"/>
      <c r="U265" s="86"/>
      <c r="V265" s="86"/>
      <c r="W265" s="101"/>
      <c r="X265" s="101"/>
      <c r="Y265" s="101"/>
      <c r="Z265" s="101"/>
      <c r="AA265" s="19"/>
    </row>
    <row r="266" spans="1:27" ht="15" x14ac:dyDescent="0.25">
      <c r="A266" s="111">
        <v>22</v>
      </c>
      <c r="B266" s="86" t="s">
        <v>109</v>
      </c>
      <c r="C266" s="86"/>
      <c r="D266" s="86"/>
      <c r="E266" s="86">
        <f>+'Link in'!I23+'Link in'!I32</f>
        <v>3250.2089999999998</v>
      </c>
      <c r="F266" s="86"/>
      <c r="G266" s="86">
        <f>'Link in'!I34</f>
        <v>3220.1077204875364</v>
      </c>
      <c r="H266" s="86"/>
      <c r="I266" s="101"/>
      <c r="J266" s="101"/>
      <c r="K266" s="101"/>
      <c r="L266" s="101">
        <f>+G266</f>
        <v>3220.1077204875364</v>
      </c>
      <c r="M266" s="86"/>
      <c r="N266" s="86"/>
      <c r="O266" s="101"/>
      <c r="P266" s="101"/>
      <c r="Q266" s="101">
        <f>+'Link in'!S34</f>
        <v>0</v>
      </c>
      <c r="R266" s="86"/>
      <c r="S266" s="86"/>
      <c r="T266" s="86"/>
      <c r="U266" s="86"/>
      <c r="V266" s="86">
        <f>+Q266</f>
        <v>0</v>
      </c>
      <c r="W266" s="101"/>
      <c r="X266" s="101"/>
      <c r="Y266" s="101"/>
      <c r="Z266" s="101"/>
      <c r="AA266" s="19"/>
    </row>
    <row r="267" spans="1:27" ht="15" x14ac:dyDescent="0.25">
      <c r="A267" s="111">
        <v>23</v>
      </c>
      <c r="B267" s="86"/>
      <c r="C267" s="86"/>
      <c r="D267" s="86"/>
      <c r="E267" s="86"/>
      <c r="F267" s="86"/>
      <c r="G267" s="86"/>
      <c r="H267" s="86"/>
      <c r="I267" s="101"/>
      <c r="J267" s="101"/>
      <c r="K267" s="101"/>
      <c r="L267" s="101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101"/>
      <c r="X267" s="101"/>
      <c r="Y267" s="101"/>
      <c r="Z267" s="101"/>
      <c r="AA267" s="19"/>
    </row>
    <row r="268" spans="1:27" ht="15.75" thickBot="1" x14ac:dyDescent="0.3">
      <c r="A268" s="111">
        <v>24</v>
      </c>
      <c r="B268" s="86" t="s">
        <v>170</v>
      </c>
      <c r="C268" s="86"/>
      <c r="D268" s="86"/>
      <c r="E268" s="86"/>
      <c r="F268" s="86"/>
      <c r="G268" s="156">
        <f>G264+G258+G266</f>
        <v>6458381.1077204878</v>
      </c>
      <c r="H268" s="144"/>
      <c r="I268" s="101"/>
      <c r="J268" s="101"/>
      <c r="K268" s="101"/>
      <c r="L268" s="159">
        <f>L264+L258+L266</f>
        <v>7113404.1077204878</v>
      </c>
      <c r="M268" s="86"/>
      <c r="N268" s="86"/>
      <c r="O268" s="86"/>
      <c r="P268" s="86"/>
      <c r="Q268" s="156">
        <f>Q264+Q258+Q266</f>
        <v>6440353</v>
      </c>
      <c r="R268" s="86"/>
      <c r="S268" s="86"/>
      <c r="T268" s="86"/>
      <c r="U268" s="86"/>
      <c r="V268" s="156">
        <f>V264+V258+V266</f>
        <v>7096554</v>
      </c>
      <c r="W268" s="101"/>
      <c r="X268" s="156">
        <f>X264+X258</f>
        <v>656201</v>
      </c>
      <c r="Y268" s="101"/>
      <c r="Z268" s="143">
        <f>IF(Q268=0,0,ROUND((X268/Q268),4))</f>
        <v>0.1019</v>
      </c>
      <c r="AA268" s="19"/>
    </row>
    <row r="269" spans="1:27" ht="15.75" thickTop="1" x14ac:dyDescent="0.25">
      <c r="A269" s="111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101"/>
      <c r="X269" s="101"/>
      <c r="Y269" s="101"/>
      <c r="Z269" s="101"/>
      <c r="AA269" s="19"/>
    </row>
    <row r="270" spans="1:27" ht="15" x14ac:dyDescent="0.25">
      <c r="A270" s="111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101"/>
      <c r="X270" s="101"/>
      <c r="Y270" s="101"/>
      <c r="Z270" s="101"/>
      <c r="AA270" s="19"/>
    </row>
    <row r="271" spans="1:27" ht="15" x14ac:dyDescent="0.25">
      <c r="A271" s="111"/>
      <c r="B271" s="86"/>
      <c r="C271" s="86"/>
      <c r="D271" s="86"/>
      <c r="E271" s="86"/>
      <c r="F271" s="86"/>
      <c r="G271" s="16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101"/>
      <c r="X271" s="101"/>
      <c r="Y271" s="101"/>
      <c r="Z271" s="101"/>
      <c r="AA271" s="19"/>
    </row>
    <row r="272" spans="1:27" ht="15" x14ac:dyDescent="0.25">
      <c r="A272" s="111"/>
      <c r="B272" s="86"/>
      <c r="C272" s="140"/>
      <c r="D272" s="140"/>
      <c r="E272" s="86"/>
      <c r="F272" s="140"/>
      <c r="G272" s="140"/>
      <c r="H272" s="140"/>
      <c r="I272" s="140"/>
      <c r="J272" s="140"/>
      <c r="K272" s="140"/>
      <c r="L272" s="140"/>
      <c r="M272" s="140"/>
      <c r="N272" s="140"/>
      <c r="O272" s="86"/>
      <c r="P272" s="140"/>
      <c r="Q272" s="140"/>
      <c r="R272" s="140"/>
      <c r="S272" s="140"/>
      <c r="T272" s="117"/>
      <c r="U272" s="117"/>
      <c r="V272" s="117"/>
      <c r="W272" s="142"/>
      <c r="X272" s="142"/>
      <c r="Y272" s="113"/>
      <c r="Z272" s="101"/>
      <c r="AA272" s="19"/>
    </row>
    <row r="273" spans="1:27" ht="15" x14ac:dyDescent="0.25">
      <c r="A273" s="111"/>
      <c r="B273" s="86"/>
      <c r="C273" s="144"/>
      <c r="D273" s="139"/>
      <c r="E273" s="86"/>
      <c r="F273" s="145"/>
      <c r="G273" s="144"/>
      <c r="H273" s="144"/>
      <c r="I273" s="144"/>
      <c r="J273" s="144"/>
      <c r="K273" s="144"/>
      <c r="L273" s="144"/>
      <c r="M273" s="144"/>
      <c r="N273" s="144"/>
      <c r="O273" s="86"/>
      <c r="P273" s="145"/>
      <c r="Q273" s="144"/>
      <c r="R273" s="144"/>
      <c r="S273" s="144"/>
      <c r="T273" s="139"/>
      <c r="U273" s="145"/>
      <c r="V273" s="139"/>
      <c r="W273" s="134"/>
      <c r="X273" s="102"/>
      <c r="Y273" s="134"/>
      <c r="Z273" s="119"/>
      <c r="AA273" s="19"/>
    </row>
    <row r="274" spans="1:27" ht="15" x14ac:dyDescent="0.25">
      <c r="A274" s="111"/>
      <c r="B274" s="86"/>
      <c r="C274" s="144"/>
      <c r="D274" s="139"/>
      <c r="E274" s="86"/>
      <c r="F274" s="145"/>
      <c r="G274" s="144"/>
      <c r="H274" s="144"/>
      <c r="I274" s="144"/>
      <c r="J274" s="144"/>
      <c r="K274" s="144"/>
      <c r="L274" s="144"/>
      <c r="M274" s="144"/>
      <c r="N274" s="144"/>
      <c r="O274" s="86"/>
      <c r="P274" s="145"/>
      <c r="Q274" s="144"/>
      <c r="R274" s="144"/>
      <c r="S274" s="144"/>
      <c r="T274" s="139"/>
      <c r="U274" s="145"/>
      <c r="V274" s="139"/>
      <c r="W274" s="101"/>
      <c r="X274" s="101"/>
      <c r="Y274" s="101"/>
      <c r="Z274" s="101"/>
      <c r="AA274" s="19"/>
    </row>
    <row r="275" spans="1:27" ht="15" x14ac:dyDescent="0.25">
      <c r="A275" s="324" t="str">
        <f>A235</f>
        <v>Kentucky American Water Company</v>
      </c>
      <c r="B275" s="324"/>
      <c r="C275" s="324"/>
      <c r="D275" s="324"/>
      <c r="E275" s="324"/>
      <c r="F275" s="324"/>
      <c r="G275" s="324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  <c r="T275" s="324"/>
      <c r="U275" s="324"/>
      <c r="V275" s="324"/>
      <c r="W275" s="324"/>
      <c r="X275" s="324"/>
      <c r="Y275" s="324"/>
      <c r="Z275" s="324"/>
      <c r="AA275" s="25"/>
    </row>
    <row r="276" spans="1:27" ht="15" x14ac:dyDescent="0.25">
      <c r="A276" s="324" t="s">
        <v>77</v>
      </c>
      <c r="B276" s="324"/>
      <c r="C276" s="324"/>
      <c r="D276" s="324"/>
      <c r="E276" s="324"/>
      <c r="F276" s="324"/>
      <c r="G276" s="324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  <c r="T276" s="324"/>
      <c r="U276" s="324"/>
      <c r="V276" s="324"/>
      <c r="W276" s="324"/>
      <c r="X276" s="324"/>
      <c r="Y276" s="324"/>
      <c r="Z276" s="324"/>
      <c r="AA276" s="88"/>
    </row>
    <row r="277" spans="1:27" ht="15" x14ac:dyDescent="0.25">
      <c r="A277" s="324" t="str">
        <f>A237</f>
        <v>Case No. 2015-00418</v>
      </c>
      <c r="B277" s="324"/>
      <c r="C277" s="324"/>
      <c r="D277" s="324"/>
      <c r="E277" s="324"/>
      <c r="F277" s="324"/>
      <c r="G277" s="324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  <c r="T277" s="324"/>
      <c r="U277" s="324"/>
      <c r="V277" s="324"/>
      <c r="W277" s="324"/>
      <c r="X277" s="324"/>
      <c r="Y277" s="324"/>
      <c r="Z277" s="324"/>
      <c r="AA277" s="88"/>
    </row>
    <row r="278" spans="1:27" ht="15" x14ac:dyDescent="0.25">
      <c r="A278" s="324" t="str">
        <f>A238</f>
        <v>Base Year for the 12 Months Ended April 30, 2016 and Forecast Year for the 12 Months Ended August 31, 2017</v>
      </c>
      <c r="B278" s="324"/>
      <c r="C278" s="324"/>
      <c r="D278" s="324"/>
      <c r="E278" s="324"/>
      <c r="F278" s="324"/>
      <c r="G278" s="324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  <c r="T278" s="324"/>
      <c r="U278" s="324"/>
      <c r="V278" s="324"/>
      <c r="W278" s="324"/>
      <c r="X278" s="324"/>
      <c r="Y278" s="324"/>
      <c r="Z278" s="324"/>
      <c r="AA278" s="88"/>
    </row>
    <row r="279" spans="1:27" ht="15" x14ac:dyDescent="0.25">
      <c r="A279" s="116" t="str">
        <f>A239</f>
        <v>Witness Responsible:   Linda Bridwell</v>
      </c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101"/>
      <c r="X279" s="101"/>
      <c r="Y279" s="101"/>
      <c r="Z279" s="106" t="str">
        <f>Z239</f>
        <v>Exhibit 37, Schedule M-3</v>
      </c>
      <c r="AA279" s="88"/>
    </row>
    <row r="280" spans="1:27" ht="15" x14ac:dyDescent="0.25">
      <c r="A280" s="146" t="str">
        <f>A240</f>
        <v/>
      </c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08"/>
      <c r="X280" s="108"/>
      <c r="Y280" s="108"/>
      <c r="Z280" s="148" t="e">
        <f ca="1">Z240</f>
        <v>#VALUE!</v>
      </c>
      <c r="AA280" s="88"/>
    </row>
    <row r="281" spans="1:27" ht="15" x14ac:dyDescent="0.25">
      <c r="A281" s="86"/>
      <c r="B281" s="86"/>
      <c r="C281" s="111"/>
      <c r="D281" s="319" t="s">
        <v>120</v>
      </c>
      <c r="E281" s="319" t="s">
        <v>97</v>
      </c>
      <c r="F281" s="319"/>
      <c r="G281" s="319"/>
      <c r="H281" s="111"/>
      <c r="I281" s="325" t="s">
        <v>120</v>
      </c>
      <c r="J281" s="325" t="s">
        <v>97</v>
      </c>
      <c r="K281" s="325"/>
      <c r="L281" s="325"/>
      <c r="M281" s="111"/>
      <c r="N281" s="319" t="s">
        <v>121</v>
      </c>
      <c r="O281" s="319" t="s">
        <v>98</v>
      </c>
      <c r="P281" s="319"/>
      <c r="Q281" s="319"/>
      <c r="R281" s="111"/>
      <c r="S281" s="319" t="s">
        <v>122</v>
      </c>
      <c r="T281" s="319" t="s">
        <v>99</v>
      </c>
      <c r="U281" s="319"/>
      <c r="V281" s="319"/>
      <c r="W281" s="112"/>
      <c r="X281" s="112"/>
      <c r="Y281" s="101"/>
      <c r="Z281" s="101"/>
      <c r="AA281" s="88"/>
    </row>
    <row r="282" spans="1:27" ht="15" x14ac:dyDescent="0.25">
      <c r="A282" s="86"/>
      <c r="B282" s="86"/>
      <c r="C282" s="111"/>
      <c r="D282" s="111" t="s">
        <v>27</v>
      </c>
      <c r="E282" s="111"/>
      <c r="F282" s="111"/>
      <c r="G282" s="111"/>
      <c r="H282" s="111"/>
      <c r="I282" s="113" t="s">
        <v>27</v>
      </c>
      <c r="J282" s="113"/>
      <c r="K282" s="113"/>
      <c r="L282" s="113"/>
      <c r="M282" s="111"/>
      <c r="N282" s="111" t="s">
        <v>27</v>
      </c>
      <c r="O282" s="111"/>
      <c r="P282" s="111"/>
      <c r="Q282" s="111"/>
      <c r="R282" s="111"/>
      <c r="S282" s="111" t="s">
        <v>27</v>
      </c>
      <c r="T282" s="111"/>
      <c r="U282" s="111"/>
      <c r="V282" s="111"/>
      <c r="W282" s="113"/>
      <c r="X282" s="113"/>
      <c r="Y282" s="101"/>
      <c r="Z282" s="101"/>
      <c r="AA282" s="88"/>
    </row>
    <row r="283" spans="1:27" ht="15" x14ac:dyDescent="0.25">
      <c r="A283" s="86"/>
      <c r="B283" s="111" t="s">
        <v>24</v>
      </c>
      <c r="C283" s="111"/>
      <c r="D283" s="111" t="s">
        <v>28</v>
      </c>
      <c r="E283" s="111" t="s">
        <v>39</v>
      </c>
      <c r="F283" s="111" t="s">
        <v>45</v>
      </c>
      <c r="G283" s="111" t="s">
        <v>1</v>
      </c>
      <c r="H283" s="111"/>
      <c r="I283" s="113" t="s">
        <v>28</v>
      </c>
      <c r="J283" s="113" t="s">
        <v>39</v>
      </c>
      <c r="K283" s="113" t="s">
        <v>45</v>
      </c>
      <c r="L283" s="113" t="s">
        <v>1</v>
      </c>
      <c r="M283" s="111"/>
      <c r="N283" s="111" t="s">
        <v>28</v>
      </c>
      <c r="O283" s="111" t="s">
        <v>39</v>
      </c>
      <c r="P283" s="111" t="s">
        <v>45</v>
      </c>
      <c r="Q283" s="111" t="s">
        <v>1</v>
      </c>
      <c r="R283" s="111"/>
      <c r="S283" s="111" t="s">
        <v>28</v>
      </c>
      <c r="T283" s="111" t="s">
        <v>39</v>
      </c>
      <c r="U283" s="111" t="s">
        <v>73</v>
      </c>
      <c r="V283" s="111" t="s">
        <v>1</v>
      </c>
      <c r="W283" s="113"/>
      <c r="X283" s="113" t="s">
        <v>51</v>
      </c>
      <c r="Y283" s="101"/>
      <c r="Z283" s="113" t="s">
        <v>53</v>
      </c>
      <c r="AA283" s="88"/>
    </row>
    <row r="284" spans="1:27" ht="15" x14ac:dyDescent="0.25">
      <c r="A284" s="114" t="s">
        <v>0</v>
      </c>
      <c r="B284" s="114" t="s">
        <v>2</v>
      </c>
      <c r="C284" s="111"/>
      <c r="D284" s="114" t="s">
        <v>29</v>
      </c>
      <c r="E284" s="114">
        <f>E245</f>
        <v>0</v>
      </c>
      <c r="F284" s="114" t="s">
        <v>46</v>
      </c>
      <c r="G284" s="114" t="s">
        <v>47</v>
      </c>
      <c r="H284" s="111"/>
      <c r="I284" s="115" t="s">
        <v>29</v>
      </c>
      <c r="J284" s="115">
        <f>J245</f>
        <v>0</v>
      </c>
      <c r="K284" s="115" t="s">
        <v>46</v>
      </c>
      <c r="L284" s="115" t="s">
        <v>47</v>
      </c>
      <c r="M284" s="111"/>
      <c r="N284" s="114" t="s">
        <v>29</v>
      </c>
      <c r="O284" s="114">
        <f>E284</f>
        <v>0</v>
      </c>
      <c r="P284" s="114" t="s">
        <v>46</v>
      </c>
      <c r="Q284" s="114" t="s">
        <v>47</v>
      </c>
      <c r="R284" s="111"/>
      <c r="S284" s="114" t="s">
        <v>29</v>
      </c>
      <c r="T284" s="114">
        <f>O284</f>
        <v>0</v>
      </c>
      <c r="U284" s="114" t="s">
        <v>46</v>
      </c>
      <c r="V284" s="114" t="s">
        <v>47</v>
      </c>
      <c r="W284" s="113"/>
      <c r="X284" s="115" t="s">
        <v>52</v>
      </c>
      <c r="Y284" s="101"/>
      <c r="Z284" s="115" t="s">
        <v>52</v>
      </c>
      <c r="AA284" s="88"/>
    </row>
    <row r="285" spans="1:27" ht="15" x14ac:dyDescent="0.25">
      <c r="A285" s="111">
        <v>1</v>
      </c>
      <c r="B285" s="116" t="s">
        <v>156</v>
      </c>
      <c r="C285" s="111"/>
      <c r="D285" s="86"/>
      <c r="E285" s="111"/>
      <c r="F285" s="111"/>
      <c r="G285" s="111"/>
      <c r="H285" s="111"/>
      <c r="I285" s="113"/>
      <c r="J285" s="113"/>
      <c r="K285" s="113"/>
      <c r="L285" s="113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3"/>
      <c r="X285" s="113"/>
      <c r="Y285" s="101"/>
      <c r="Z285" s="113"/>
      <c r="AA285" s="88"/>
    </row>
    <row r="286" spans="1:27" ht="15" x14ac:dyDescent="0.25">
      <c r="A286" s="111">
        <v>2</v>
      </c>
      <c r="B286" s="117" t="s">
        <v>26</v>
      </c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101"/>
      <c r="X286" s="101"/>
      <c r="Y286" s="101"/>
      <c r="Z286" s="101"/>
      <c r="AA286" s="88"/>
    </row>
    <row r="287" spans="1:27" ht="15" x14ac:dyDescent="0.25">
      <c r="A287" s="111">
        <v>3</v>
      </c>
      <c r="B287" s="86" t="s">
        <v>30</v>
      </c>
      <c r="C287" s="104"/>
      <c r="D287" s="102">
        <f>'Link in'!H10</f>
        <v>0</v>
      </c>
      <c r="E287" s="103"/>
      <c r="F287" s="149">
        <v>12.49</v>
      </c>
      <c r="G287" s="104">
        <f>ROUND((D287*F287),0)</f>
        <v>0</v>
      </c>
      <c r="H287" s="104"/>
      <c r="I287" s="102">
        <f>D287</f>
        <v>0</v>
      </c>
      <c r="J287" s="103"/>
      <c r="K287" s="149">
        <f>U287</f>
        <v>12.49</v>
      </c>
      <c r="L287" s="118">
        <f>ROUND((I287*K287),0)</f>
        <v>0</v>
      </c>
      <c r="M287" s="104"/>
      <c r="N287" s="102">
        <f>'Link in'!R10</f>
        <v>0</v>
      </c>
      <c r="O287" s="103"/>
      <c r="P287" s="149">
        <f>F287</f>
        <v>12.49</v>
      </c>
      <c r="Q287" s="118">
        <f>ROUND((N287*P287),0)</f>
        <v>0</v>
      </c>
      <c r="R287" s="104"/>
      <c r="S287" s="98">
        <f>N287</f>
        <v>0</v>
      </c>
      <c r="T287" s="99"/>
      <c r="U287" s="150">
        <f>P287</f>
        <v>12.49</v>
      </c>
      <c r="V287" s="104">
        <f>ROUND((S287*U287),0)</f>
        <v>0</v>
      </c>
      <c r="W287" s="118"/>
      <c r="X287" s="104">
        <f>+V287-Q287</f>
        <v>0</v>
      </c>
      <c r="Y287" s="103"/>
      <c r="Z287" s="119">
        <f t="shared" ref="Z287:Z296" si="115">IF(Q287=0,0,ROUND((X287/Q287),4))</f>
        <v>0</v>
      </c>
      <c r="AA287" s="88"/>
    </row>
    <row r="288" spans="1:27" ht="15" x14ac:dyDescent="0.25">
      <c r="A288" s="111">
        <v>4</v>
      </c>
      <c r="B288" s="86" t="s">
        <v>31</v>
      </c>
      <c r="C288" s="98"/>
      <c r="D288" s="102">
        <f>'Link in'!H11</f>
        <v>0</v>
      </c>
      <c r="E288" s="103"/>
      <c r="F288" s="121">
        <v>18.739999999999998</v>
      </c>
      <c r="G288" s="98">
        <f t="shared" ref="G288:G295" si="116">ROUND((D288*F288),0)</f>
        <v>0</v>
      </c>
      <c r="H288" s="98"/>
      <c r="I288" s="102">
        <f t="shared" ref="I288:I295" si="117">D288</f>
        <v>0</v>
      </c>
      <c r="J288" s="103"/>
      <c r="K288" s="121">
        <f t="shared" ref="K288:K295" si="118">U288</f>
        <v>18.739999999999998</v>
      </c>
      <c r="L288" s="102">
        <f t="shared" ref="L288:L295" si="119">ROUND((I288*K288),0)</f>
        <v>0</v>
      </c>
      <c r="M288" s="98"/>
      <c r="N288" s="102">
        <f>'Link in'!R11</f>
        <v>0</v>
      </c>
      <c r="O288" s="103"/>
      <c r="P288" s="121">
        <f t="shared" ref="P288:P295" si="120">F288</f>
        <v>18.739999999999998</v>
      </c>
      <c r="Q288" s="102">
        <f t="shared" ref="Q288:Q295" si="121">ROUND((N288*P288),0)</f>
        <v>0</v>
      </c>
      <c r="R288" s="98"/>
      <c r="S288" s="98">
        <f t="shared" ref="S288:S295" si="122">N288</f>
        <v>0</v>
      </c>
      <c r="T288" s="99"/>
      <c r="U288" s="120">
        <f>P288</f>
        <v>18.739999999999998</v>
      </c>
      <c r="V288" s="98">
        <f t="shared" ref="V288:V295" si="123">ROUND((S288*U288),0)</f>
        <v>0</v>
      </c>
      <c r="W288" s="102"/>
      <c r="X288" s="98">
        <f t="shared" ref="X288:X296" si="124">+V288-Q288</f>
        <v>0</v>
      </c>
      <c r="Y288" s="103"/>
      <c r="Z288" s="119">
        <f t="shared" si="115"/>
        <v>0</v>
      </c>
      <c r="AA288" s="88"/>
    </row>
    <row r="289" spans="1:27" ht="15" x14ac:dyDescent="0.25">
      <c r="A289" s="111">
        <v>5</v>
      </c>
      <c r="B289" s="86" t="s">
        <v>32</v>
      </c>
      <c r="C289" s="98"/>
      <c r="D289" s="102">
        <f>'Link in'!H12</f>
        <v>0</v>
      </c>
      <c r="E289" s="103"/>
      <c r="F289" s="121">
        <v>31.23</v>
      </c>
      <c r="G289" s="98">
        <f t="shared" si="116"/>
        <v>0</v>
      </c>
      <c r="H289" s="98"/>
      <c r="I289" s="102">
        <f t="shared" si="117"/>
        <v>0</v>
      </c>
      <c r="J289" s="103"/>
      <c r="K289" s="121">
        <f t="shared" si="118"/>
        <v>31.23</v>
      </c>
      <c r="L289" s="102">
        <f t="shared" si="119"/>
        <v>0</v>
      </c>
      <c r="M289" s="98"/>
      <c r="N289" s="102">
        <f>'Link in'!R12</f>
        <v>0</v>
      </c>
      <c r="O289" s="103"/>
      <c r="P289" s="121">
        <f t="shared" si="120"/>
        <v>31.23</v>
      </c>
      <c r="Q289" s="102">
        <f t="shared" si="121"/>
        <v>0</v>
      </c>
      <c r="R289" s="98"/>
      <c r="S289" s="98">
        <f t="shared" si="122"/>
        <v>0</v>
      </c>
      <c r="T289" s="99"/>
      <c r="U289" s="120">
        <f t="shared" ref="U289:U295" si="125">P289</f>
        <v>31.23</v>
      </c>
      <c r="V289" s="98">
        <f t="shared" si="123"/>
        <v>0</v>
      </c>
      <c r="W289" s="102"/>
      <c r="X289" s="98">
        <f t="shared" si="124"/>
        <v>0</v>
      </c>
      <c r="Y289" s="103"/>
      <c r="Z289" s="119">
        <f t="shared" si="115"/>
        <v>0</v>
      </c>
      <c r="AA289" s="88"/>
    </row>
    <row r="290" spans="1:27" ht="15" x14ac:dyDescent="0.25">
      <c r="A290" s="111">
        <v>6</v>
      </c>
      <c r="B290" s="86" t="s">
        <v>33</v>
      </c>
      <c r="C290" s="98"/>
      <c r="D290" s="102">
        <f>'Link in'!H13</f>
        <v>0</v>
      </c>
      <c r="E290" s="103"/>
      <c r="F290" s="121">
        <v>62.45</v>
      </c>
      <c r="G290" s="98">
        <f t="shared" si="116"/>
        <v>0</v>
      </c>
      <c r="H290" s="98"/>
      <c r="I290" s="102">
        <f t="shared" si="117"/>
        <v>0</v>
      </c>
      <c r="J290" s="103"/>
      <c r="K290" s="121">
        <f t="shared" si="118"/>
        <v>62.45</v>
      </c>
      <c r="L290" s="102">
        <f t="shared" si="119"/>
        <v>0</v>
      </c>
      <c r="M290" s="98"/>
      <c r="N290" s="102">
        <f>'Link in'!R13</f>
        <v>0</v>
      </c>
      <c r="O290" s="103"/>
      <c r="P290" s="121">
        <f t="shared" si="120"/>
        <v>62.45</v>
      </c>
      <c r="Q290" s="102">
        <f t="shared" si="121"/>
        <v>0</v>
      </c>
      <c r="R290" s="98"/>
      <c r="S290" s="98">
        <f t="shared" si="122"/>
        <v>0</v>
      </c>
      <c r="T290" s="99"/>
      <c r="U290" s="120">
        <f t="shared" si="125"/>
        <v>62.45</v>
      </c>
      <c r="V290" s="98">
        <f t="shared" si="123"/>
        <v>0</v>
      </c>
      <c r="W290" s="102"/>
      <c r="X290" s="98">
        <f t="shared" si="124"/>
        <v>0</v>
      </c>
      <c r="Y290" s="103"/>
      <c r="Z290" s="119">
        <f t="shared" si="115"/>
        <v>0</v>
      </c>
      <c r="AA290" s="88"/>
    </row>
    <row r="291" spans="1:27" ht="15" x14ac:dyDescent="0.25">
      <c r="A291" s="111">
        <v>7</v>
      </c>
      <c r="B291" s="86" t="s">
        <v>34</v>
      </c>
      <c r="C291" s="98"/>
      <c r="D291" s="102">
        <f>'Link in'!H14</f>
        <v>0</v>
      </c>
      <c r="E291" s="103"/>
      <c r="F291" s="121">
        <v>99.92</v>
      </c>
      <c r="G291" s="98">
        <f t="shared" si="116"/>
        <v>0</v>
      </c>
      <c r="H291" s="98"/>
      <c r="I291" s="102">
        <f t="shared" si="117"/>
        <v>0</v>
      </c>
      <c r="J291" s="103"/>
      <c r="K291" s="121">
        <f t="shared" si="118"/>
        <v>99.92</v>
      </c>
      <c r="L291" s="102">
        <f t="shared" si="119"/>
        <v>0</v>
      </c>
      <c r="M291" s="98"/>
      <c r="N291" s="102">
        <f>'Link in'!R14</f>
        <v>0</v>
      </c>
      <c r="O291" s="103"/>
      <c r="P291" s="121">
        <f t="shared" si="120"/>
        <v>99.92</v>
      </c>
      <c r="Q291" s="102">
        <f t="shared" si="121"/>
        <v>0</v>
      </c>
      <c r="R291" s="98"/>
      <c r="S291" s="98">
        <f t="shared" si="122"/>
        <v>0</v>
      </c>
      <c r="T291" s="99"/>
      <c r="U291" s="120">
        <f t="shared" si="125"/>
        <v>99.92</v>
      </c>
      <c r="V291" s="98">
        <f t="shared" si="123"/>
        <v>0</v>
      </c>
      <c r="W291" s="102"/>
      <c r="X291" s="98">
        <f t="shared" si="124"/>
        <v>0</v>
      </c>
      <c r="Y291" s="103"/>
      <c r="Z291" s="119">
        <f t="shared" si="115"/>
        <v>0</v>
      </c>
      <c r="AA291" s="88"/>
    </row>
    <row r="292" spans="1:27" ht="15" x14ac:dyDescent="0.25">
      <c r="A292" s="111">
        <v>8</v>
      </c>
      <c r="B292" s="86" t="s">
        <v>35</v>
      </c>
      <c r="C292" s="98"/>
      <c r="D292" s="102">
        <f>'Link in'!H15</f>
        <v>317.42487323191881</v>
      </c>
      <c r="E292" s="103"/>
      <c r="F292" s="121">
        <v>187.35</v>
      </c>
      <c r="G292" s="98">
        <f t="shared" si="116"/>
        <v>59470</v>
      </c>
      <c r="H292" s="98"/>
      <c r="I292" s="102">
        <f t="shared" si="117"/>
        <v>317.42487323191881</v>
      </c>
      <c r="J292" s="103"/>
      <c r="K292" s="121">
        <f t="shared" si="118"/>
        <v>187.35</v>
      </c>
      <c r="L292" s="102">
        <f t="shared" si="119"/>
        <v>59470</v>
      </c>
      <c r="M292" s="98"/>
      <c r="N292" s="102">
        <f>'Link in'!R15</f>
        <v>346.88230584467561</v>
      </c>
      <c r="O292" s="103"/>
      <c r="P292" s="121">
        <f t="shared" si="120"/>
        <v>187.35</v>
      </c>
      <c r="Q292" s="102">
        <f t="shared" si="121"/>
        <v>64988</v>
      </c>
      <c r="R292" s="98"/>
      <c r="S292" s="98">
        <f t="shared" si="122"/>
        <v>346.88230584467561</v>
      </c>
      <c r="T292" s="99"/>
      <c r="U292" s="120">
        <f>P292</f>
        <v>187.35</v>
      </c>
      <c r="V292" s="98">
        <f t="shared" si="123"/>
        <v>64988</v>
      </c>
      <c r="W292" s="102"/>
      <c r="X292" s="98">
        <f t="shared" si="124"/>
        <v>0</v>
      </c>
      <c r="Y292" s="103"/>
      <c r="Z292" s="119">
        <f t="shared" si="115"/>
        <v>0</v>
      </c>
      <c r="AA292" s="88"/>
    </row>
    <row r="293" spans="1:27" ht="15" x14ac:dyDescent="0.25">
      <c r="A293" s="111">
        <v>9</v>
      </c>
      <c r="B293" s="86" t="s">
        <v>36</v>
      </c>
      <c r="C293" s="98"/>
      <c r="D293" s="102">
        <f>'Link in'!H16</f>
        <v>0</v>
      </c>
      <c r="E293" s="103"/>
      <c r="F293" s="121">
        <v>312.25</v>
      </c>
      <c r="G293" s="98">
        <f t="shared" si="116"/>
        <v>0</v>
      </c>
      <c r="H293" s="98"/>
      <c r="I293" s="102">
        <f t="shared" si="117"/>
        <v>0</v>
      </c>
      <c r="J293" s="103"/>
      <c r="K293" s="121">
        <f>U293</f>
        <v>312.25</v>
      </c>
      <c r="L293" s="102">
        <f t="shared" si="119"/>
        <v>0</v>
      </c>
      <c r="M293" s="98"/>
      <c r="N293" s="102">
        <f>'Link in'!R16</f>
        <v>0</v>
      </c>
      <c r="O293" s="103"/>
      <c r="P293" s="121">
        <f t="shared" si="120"/>
        <v>312.25</v>
      </c>
      <c r="Q293" s="102">
        <f t="shared" si="121"/>
        <v>0</v>
      </c>
      <c r="R293" s="98"/>
      <c r="S293" s="98">
        <f t="shared" si="122"/>
        <v>0</v>
      </c>
      <c r="T293" s="99"/>
      <c r="U293" s="120">
        <f t="shared" si="125"/>
        <v>312.25</v>
      </c>
      <c r="V293" s="98">
        <f t="shared" si="123"/>
        <v>0</v>
      </c>
      <c r="W293" s="102"/>
      <c r="X293" s="98">
        <f t="shared" si="124"/>
        <v>0</v>
      </c>
      <c r="Y293" s="103"/>
      <c r="Z293" s="119">
        <f t="shared" si="115"/>
        <v>0</v>
      </c>
      <c r="AA293" s="88"/>
    </row>
    <row r="294" spans="1:27" ht="15" x14ac:dyDescent="0.25">
      <c r="A294" s="111">
        <v>10</v>
      </c>
      <c r="B294" s="86" t="s">
        <v>37</v>
      </c>
      <c r="C294" s="98"/>
      <c r="D294" s="102">
        <f>'Link in'!H17</f>
        <v>0</v>
      </c>
      <c r="E294" s="103"/>
      <c r="F294" s="121">
        <v>624.5</v>
      </c>
      <c r="G294" s="98">
        <f t="shared" si="116"/>
        <v>0</v>
      </c>
      <c r="H294" s="98"/>
      <c r="I294" s="102">
        <f t="shared" si="117"/>
        <v>0</v>
      </c>
      <c r="J294" s="103"/>
      <c r="K294" s="121">
        <f t="shared" si="118"/>
        <v>624.5</v>
      </c>
      <c r="L294" s="102">
        <f t="shared" si="119"/>
        <v>0</v>
      </c>
      <c r="M294" s="98"/>
      <c r="N294" s="102">
        <f>'Link in'!R17</f>
        <v>0</v>
      </c>
      <c r="O294" s="103"/>
      <c r="P294" s="121">
        <f t="shared" si="120"/>
        <v>624.5</v>
      </c>
      <c r="Q294" s="102">
        <f t="shared" si="121"/>
        <v>0</v>
      </c>
      <c r="R294" s="98"/>
      <c r="S294" s="98">
        <f t="shared" si="122"/>
        <v>0</v>
      </c>
      <c r="T294" s="99"/>
      <c r="U294" s="120">
        <f t="shared" si="125"/>
        <v>624.5</v>
      </c>
      <c r="V294" s="98">
        <f t="shared" si="123"/>
        <v>0</v>
      </c>
      <c r="W294" s="102"/>
      <c r="X294" s="98">
        <f t="shared" si="124"/>
        <v>0</v>
      </c>
      <c r="Y294" s="103"/>
      <c r="Z294" s="119">
        <f t="shared" si="115"/>
        <v>0</v>
      </c>
      <c r="AA294" s="88"/>
    </row>
    <row r="295" spans="1:27" ht="15" x14ac:dyDescent="0.25">
      <c r="A295" s="111">
        <v>11</v>
      </c>
      <c r="B295" s="86" t="s">
        <v>38</v>
      </c>
      <c r="C295" s="98"/>
      <c r="D295" s="102">
        <f>'Link in'!H18</f>
        <v>0</v>
      </c>
      <c r="E295" s="103"/>
      <c r="F295" s="121">
        <v>999.2</v>
      </c>
      <c r="G295" s="98">
        <f t="shared" si="116"/>
        <v>0</v>
      </c>
      <c r="H295" s="98"/>
      <c r="I295" s="102">
        <f t="shared" si="117"/>
        <v>0</v>
      </c>
      <c r="J295" s="103"/>
      <c r="K295" s="121">
        <f t="shared" si="118"/>
        <v>999.2</v>
      </c>
      <c r="L295" s="102">
        <f t="shared" si="119"/>
        <v>0</v>
      </c>
      <c r="M295" s="98"/>
      <c r="N295" s="102">
        <f>'Link in'!R18</f>
        <v>0</v>
      </c>
      <c r="O295" s="103"/>
      <c r="P295" s="121">
        <f t="shared" si="120"/>
        <v>999.2</v>
      </c>
      <c r="Q295" s="102">
        <f t="shared" si="121"/>
        <v>0</v>
      </c>
      <c r="R295" s="98"/>
      <c r="S295" s="98">
        <f t="shared" si="122"/>
        <v>0</v>
      </c>
      <c r="T295" s="99"/>
      <c r="U295" s="120">
        <f t="shared" si="125"/>
        <v>999.2</v>
      </c>
      <c r="V295" s="98">
        <f t="shared" si="123"/>
        <v>0</v>
      </c>
      <c r="W295" s="102"/>
      <c r="X295" s="98">
        <f t="shared" si="124"/>
        <v>0</v>
      </c>
      <c r="Y295" s="103"/>
      <c r="Z295" s="119">
        <f t="shared" si="115"/>
        <v>0</v>
      </c>
      <c r="AA295" s="88"/>
    </row>
    <row r="296" spans="1:27" ht="15" x14ac:dyDescent="0.25">
      <c r="A296" s="111">
        <v>12</v>
      </c>
      <c r="B296" s="86" t="s">
        <v>114</v>
      </c>
      <c r="C296" s="98"/>
      <c r="D296" s="102"/>
      <c r="E296" s="103"/>
      <c r="F296" s="121"/>
      <c r="G296" s="98"/>
      <c r="H296" s="98"/>
      <c r="I296" s="102"/>
      <c r="J296" s="103"/>
      <c r="K296" s="121"/>
      <c r="L296" s="102"/>
      <c r="M296" s="98"/>
      <c r="N296" s="102"/>
      <c r="O296" s="103"/>
      <c r="P296" s="121"/>
      <c r="Q296" s="121"/>
      <c r="R296" s="98"/>
      <c r="S296" s="98"/>
      <c r="T296" s="99"/>
      <c r="U296" s="120"/>
      <c r="V296" s="98"/>
      <c r="W296" s="102"/>
      <c r="X296" s="98">
        <f t="shared" si="124"/>
        <v>0</v>
      </c>
      <c r="Y296" s="103"/>
      <c r="Z296" s="119">
        <f t="shared" si="115"/>
        <v>0</v>
      </c>
      <c r="AA296" s="88"/>
    </row>
    <row r="297" spans="1:27" ht="15" x14ac:dyDescent="0.25">
      <c r="A297" s="111">
        <v>13</v>
      </c>
      <c r="B297" s="86"/>
      <c r="C297" s="98"/>
      <c r="D297" s="102"/>
      <c r="E297" s="103"/>
      <c r="F297" s="121"/>
      <c r="G297" s="98"/>
      <c r="H297" s="98"/>
      <c r="I297" s="102"/>
      <c r="J297" s="103"/>
      <c r="K297" s="121"/>
      <c r="L297" s="102"/>
      <c r="M297" s="98"/>
      <c r="N297" s="102"/>
      <c r="O297" s="103"/>
      <c r="P297" s="121"/>
      <c r="Q297" s="121"/>
      <c r="R297" s="98"/>
      <c r="S297" s="98"/>
      <c r="T297" s="99"/>
      <c r="U297" s="120"/>
      <c r="V297" s="98"/>
      <c r="W297" s="102"/>
      <c r="X297" s="118"/>
      <c r="Y297" s="103"/>
      <c r="Z297" s="119"/>
      <c r="AA297" s="88"/>
    </row>
    <row r="298" spans="1:27" ht="15" x14ac:dyDescent="0.25">
      <c r="A298" s="111">
        <v>14</v>
      </c>
      <c r="B298" s="86"/>
      <c r="C298" s="99"/>
      <c r="D298" s="103"/>
      <c r="E298" s="103"/>
      <c r="F298" s="103"/>
      <c r="G298" s="99"/>
      <c r="H298" s="99"/>
      <c r="I298" s="103"/>
      <c r="J298" s="103"/>
      <c r="K298" s="103"/>
      <c r="L298" s="103"/>
      <c r="M298" s="99"/>
      <c r="N298" s="103"/>
      <c r="O298" s="103"/>
      <c r="P298" s="103"/>
      <c r="Q298" s="103"/>
      <c r="R298" s="99"/>
      <c r="S298" s="99"/>
      <c r="T298" s="99"/>
      <c r="U298" s="99"/>
      <c r="V298" s="99"/>
      <c r="W298" s="103"/>
      <c r="X298" s="102"/>
      <c r="Y298" s="103"/>
      <c r="Z298" s="119"/>
      <c r="AA298" s="88"/>
    </row>
    <row r="299" spans="1:27" ht="15" x14ac:dyDescent="0.25">
      <c r="A299" s="111">
        <v>15</v>
      </c>
      <c r="B299" s="86"/>
      <c r="C299" s="86"/>
      <c r="D299" s="101"/>
      <c r="E299" s="101"/>
      <c r="F299" s="103"/>
      <c r="G299" s="86"/>
      <c r="H299" s="86"/>
      <c r="I299" s="101"/>
      <c r="J299" s="101"/>
      <c r="K299" s="103"/>
      <c r="L299" s="101"/>
      <c r="M299" s="86"/>
      <c r="N299" s="101"/>
      <c r="O299" s="101"/>
      <c r="P299" s="101"/>
      <c r="Q299" s="101"/>
      <c r="R299" s="86"/>
      <c r="S299" s="86"/>
      <c r="T299" s="86"/>
      <c r="U299" s="86"/>
      <c r="V299" s="86"/>
      <c r="W299" s="101"/>
      <c r="X299" s="101"/>
      <c r="Y299" s="101"/>
      <c r="Z299" s="101"/>
      <c r="AA299" s="88"/>
    </row>
    <row r="300" spans="1:27" ht="15" x14ac:dyDescent="0.25">
      <c r="A300" s="111">
        <v>16</v>
      </c>
      <c r="B300" s="117" t="s">
        <v>40</v>
      </c>
      <c r="C300" s="99"/>
      <c r="D300" s="103"/>
      <c r="E300" s="103"/>
      <c r="F300" s="103"/>
      <c r="G300" s="99"/>
      <c r="H300" s="99"/>
      <c r="I300" s="103"/>
      <c r="J300" s="103"/>
      <c r="K300" s="103"/>
      <c r="L300" s="103"/>
      <c r="M300" s="99"/>
      <c r="N300" s="103"/>
      <c r="O300" s="103"/>
      <c r="P300" s="103"/>
      <c r="Q300" s="103"/>
      <c r="R300" s="99"/>
      <c r="S300" s="99"/>
      <c r="T300" s="99"/>
      <c r="U300" s="99"/>
      <c r="V300" s="99"/>
      <c r="W300" s="103"/>
      <c r="X300" s="102"/>
      <c r="Y300" s="103"/>
      <c r="Z300" s="119"/>
      <c r="AA300" s="88"/>
    </row>
    <row r="301" spans="1:27" ht="15" x14ac:dyDescent="0.25">
      <c r="A301" s="111">
        <v>17</v>
      </c>
      <c r="B301" s="86" t="s">
        <v>41</v>
      </c>
      <c r="C301" s="104"/>
      <c r="D301" s="103"/>
      <c r="E301" s="102">
        <f>'Link in'!H23</f>
        <v>20772.040037037037</v>
      </c>
      <c r="F301" s="151">
        <v>4.5</v>
      </c>
      <c r="G301" s="104">
        <f>ROUND((E301*F301),0)</f>
        <v>93474</v>
      </c>
      <c r="H301" s="104"/>
      <c r="I301" s="103"/>
      <c r="J301" s="102">
        <f>E301</f>
        <v>20772.040037037037</v>
      </c>
      <c r="K301" s="151">
        <f>U301</f>
        <v>4.5</v>
      </c>
      <c r="L301" s="118">
        <f>ROUND((J301*K301),0)</f>
        <v>93474</v>
      </c>
      <c r="M301" s="104"/>
      <c r="N301" s="103"/>
      <c r="O301" s="102">
        <f>'Link in'!R23</f>
        <v>4368</v>
      </c>
      <c r="P301" s="151">
        <f>F301</f>
        <v>4.5</v>
      </c>
      <c r="Q301" s="118">
        <f>ROUND((O301*P301),0)</f>
        <v>19656</v>
      </c>
      <c r="R301" s="104"/>
      <c r="S301" s="99"/>
      <c r="T301" s="98">
        <f>O301</f>
        <v>4368</v>
      </c>
      <c r="U301" s="151">
        <f>P301</f>
        <v>4.5</v>
      </c>
      <c r="V301" s="104">
        <f>ROUND((T301*U301),0)</f>
        <v>19656</v>
      </c>
      <c r="W301" s="102"/>
      <c r="X301" s="104">
        <f t="shared" ref="X301:X307" si="126">+V301-Q301</f>
        <v>0</v>
      </c>
      <c r="Y301" s="103"/>
      <c r="Z301" s="119">
        <f t="shared" ref="Z301:Z307" si="127">IF(Q301=0,0,ROUND((X301/Q301),4))</f>
        <v>0</v>
      </c>
      <c r="AA301" s="88"/>
    </row>
    <row r="302" spans="1:27" ht="15" x14ac:dyDescent="0.25">
      <c r="A302" s="111">
        <v>18</v>
      </c>
      <c r="B302" s="86" t="s">
        <v>42</v>
      </c>
      <c r="C302" s="98"/>
      <c r="D302" s="101"/>
      <c r="E302" s="102">
        <f>'Link in'!H24</f>
        <v>0</v>
      </c>
      <c r="F302" s="129">
        <v>0</v>
      </c>
      <c r="G302" s="98">
        <f>ROUND((E302*F302),0)</f>
        <v>0</v>
      </c>
      <c r="H302" s="98"/>
      <c r="I302" s="101"/>
      <c r="J302" s="102">
        <f t="shared" ref="J302:J307" si="128">E302</f>
        <v>0</v>
      </c>
      <c r="K302" s="129">
        <f t="shared" ref="K302:K306" si="129">U302</f>
        <v>0</v>
      </c>
      <c r="L302" s="102">
        <f>ROUND((J302*K302),0)</f>
        <v>0</v>
      </c>
      <c r="M302" s="98"/>
      <c r="N302" s="101"/>
      <c r="O302" s="102">
        <f>'Link in'!R24</f>
        <v>0</v>
      </c>
      <c r="P302" s="129">
        <f t="shared" ref="P302:P306" si="130">F302</f>
        <v>0</v>
      </c>
      <c r="Q302" s="102">
        <f>ROUND((O302*P302),0)</f>
        <v>0</v>
      </c>
      <c r="R302" s="98"/>
      <c r="S302" s="86"/>
      <c r="T302" s="98">
        <f t="shared" ref="T302:T306" si="131">O302</f>
        <v>0</v>
      </c>
      <c r="U302" s="153">
        <f>P302</f>
        <v>0</v>
      </c>
      <c r="V302" s="98">
        <f>ROUND((T302*U302),0)</f>
        <v>0</v>
      </c>
      <c r="W302" s="102"/>
      <c r="X302" s="98">
        <f t="shared" si="126"/>
        <v>0</v>
      </c>
      <c r="Y302" s="101"/>
      <c r="Z302" s="119">
        <f t="shared" si="127"/>
        <v>0</v>
      </c>
      <c r="AA302" s="88"/>
    </row>
    <row r="303" spans="1:27" ht="15" x14ac:dyDescent="0.25">
      <c r="A303" s="111">
        <v>19</v>
      </c>
      <c r="B303" s="86" t="s">
        <v>43</v>
      </c>
      <c r="C303" s="98"/>
      <c r="D303" s="101"/>
      <c r="E303" s="102">
        <f>'Link in'!H25</f>
        <v>0</v>
      </c>
      <c r="F303" s="129">
        <v>0</v>
      </c>
      <c r="G303" s="98">
        <f>ROUND((E303*F303),0)</f>
        <v>0</v>
      </c>
      <c r="H303" s="98"/>
      <c r="I303" s="101"/>
      <c r="J303" s="102">
        <f t="shared" si="128"/>
        <v>0</v>
      </c>
      <c r="K303" s="129">
        <f t="shared" si="129"/>
        <v>0</v>
      </c>
      <c r="L303" s="102">
        <f>ROUND((J303*K303),0)</f>
        <v>0</v>
      </c>
      <c r="M303" s="98"/>
      <c r="N303" s="101"/>
      <c r="O303" s="102">
        <f>'Link in'!R25</f>
        <v>0</v>
      </c>
      <c r="P303" s="129">
        <f t="shared" si="130"/>
        <v>0</v>
      </c>
      <c r="Q303" s="102">
        <f>ROUND((O303*P303),0)</f>
        <v>0</v>
      </c>
      <c r="R303" s="98"/>
      <c r="S303" s="86"/>
      <c r="T303" s="98">
        <f t="shared" si="131"/>
        <v>0</v>
      </c>
      <c r="U303" s="153">
        <f t="shared" ref="U303:U306" si="132">P303</f>
        <v>0</v>
      </c>
      <c r="V303" s="98">
        <f>ROUND((T303*U303),0)</f>
        <v>0</v>
      </c>
      <c r="W303" s="102"/>
      <c r="X303" s="98">
        <f t="shared" si="126"/>
        <v>0</v>
      </c>
      <c r="Y303" s="101"/>
      <c r="Z303" s="119">
        <f t="shared" si="127"/>
        <v>0</v>
      </c>
      <c r="AA303" s="88"/>
    </row>
    <row r="304" spans="1:27" ht="15" x14ac:dyDescent="0.25">
      <c r="A304" s="111">
        <v>20</v>
      </c>
      <c r="B304" s="86" t="s">
        <v>44</v>
      </c>
      <c r="C304" s="98"/>
      <c r="D304" s="101"/>
      <c r="E304" s="102">
        <f>'Link in'!H26</f>
        <v>0</v>
      </c>
      <c r="F304" s="129">
        <v>0</v>
      </c>
      <c r="G304" s="98">
        <f>ROUND((E304*F304),0)</f>
        <v>0</v>
      </c>
      <c r="H304" s="98"/>
      <c r="I304" s="101"/>
      <c r="J304" s="102">
        <f t="shared" si="128"/>
        <v>0</v>
      </c>
      <c r="K304" s="129">
        <f t="shared" si="129"/>
        <v>0</v>
      </c>
      <c r="L304" s="102">
        <f>ROUND((J304*K304),0)</f>
        <v>0</v>
      </c>
      <c r="M304" s="98"/>
      <c r="N304" s="101"/>
      <c r="O304" s="102">
        <f>'Link in'!R26</f>
        <v>0</v>
      </c>
      <c r="P304" s="129">
        <f t="shared" si="130"/>
        <v>0</v>
      </c>
      <c r="Q304" s="102">
        <f>ROUND((O304*P304),0)</f>
        <v>0</v>
      </c>
      <c r="R304" s="98"/>
      <c r="S304" s="86"/>
      <c r="T304" s="98">
        <f t="shared" si="131"/>
        <v>0</v>
      </c>
      <c r="U304" s="153">
        <f t="shared" si="132"/>
        <v>0</v>
      </c>
      <c r="V304" s="98">
        <f>ROUND((T304*U304),0)</f>
        <v>0</v>
      </c>
      <c r="W304" s="102"/>
      <c r="X304" s="98">
        <f t="shared" si="126"/>
        <v>0</v>
      </c>
      <c r="Y304" s="101"/>
      <c r="Z304" s="119">
        <f t="shared" si="127"/>
        <v>0</v>
      </c>
      <c r="AA304" s="88"/>
    </row>
    <row r="305" spans="1:27" ht="15" x14ac:dyDescent="0.25">
      <c r="A305" s="111">
        <v>21</v>
      </c>
      <c r="B305" s="86" t="s">
        <v>96</v>
      </c>
      <c r="C305" s="86"/>
      <c r="D305" s="101"/>
      <c r="E305" s="102">
        <f>'Link in'!H27</f>
        <v>0</v>
      </c>
      <c r="F305" s="129">
        <v>0</v>
      </c>
      <c r="G305" s="98">
        <f t="shared" ref="G305:G306" si="133">ROUND((E305*F305),0)</f>
        <v>0</v>
      </c>
      <c r="H305" s="98"/>
      <c r="I305" s="101"/>
      <c r="J305" s="102">
        <f t="shared" si="128"/>
        <v>0</v>
      </c>
      <c r="K305" s="129">
        <f t="shared" si="129"/>
        <v>0</v>
      </c>
      <c r="L305" s="102">
        <f t="shared" ref="L305:L306" si="134">ROUND((J305*K305),0)</f>
        <v>0</v>
      </c>
      <c r="M305" s="86"/>
      <c r="N305" s="101"/>
      <c r="O305" s="102">
        <f>'Link in'!R27</f>
        <v>0</v>
      </c>
      <c r="P305" s="129">
        <f t="shared" si="130"/>
        <v>0</v>
      </c>
      <c r="Q305" s="102">
        <f t="shared" ref="Q305:Q306" si="135">ROUND((O305*P305),0)</f>
        <v>0</v>
      </c>
      <c r="R305" s="86"/>
      <c r="S305" s="86"/>
      <c r="T305" s="98">
        <f t="shared" si="131"/>
        <v>0</v>
      </c>
      <c r="U305" s="153">
        <f t="shared" si="132"/>
        <v>0</v>
      </c>
      <c r="V305" s="98">
        <f t="shared" ref="V305:V306" si="136">ROUND((T305*U305),0)</f>
        <v>0</v>
      </c>
      <c r="W305" s="101"/>
      <c r="X305" s="98">
        <f t="shared" si="126"/>
        <v>0</v>
      </c>
      <c r="Y305" s="101"/>
      <c r="Z305" s="119">
        <f t="shared" si="127"/>
        <v>0</v>
      </c>
      <c r="AA305" s="88"/>
    </row>
    <row r="306" spans="1:27" ht="15" x14ac:dyDescent="0.25">
      <c r="A306" s="111">
        <v>22</v>
      </c>
      <c r="B306" s="86" t="s">
        <v>102</v>
      </c>
      <c r="C306" s="86"/>
      <c r="D306" s="101"/>
      <c r="E306" s="102">
        <f>'Link in'!H28</f>
        <v>0</v>
      </c>
      <c r="F306" s="129">
        <v>0</v>
      </c>
      <c r="G306" s="98">
        <f t="shared" si="133"/>
        <v>0</v>
      </c>
      <c r="H306" s="98"/>
      <c r="I306" s="101"/>
      <c r="J306" s="102">
        <f t="shared" si="128"/>
        <v>0</v>
      </c>
      <c r="K306" s="129">
        <f t="shared" si="129"/>
        <v>0</v>
      </c>
      <c r="L306" s="102">
        <f t="shared" si="134"/>
        <v>0</v>
      </c>
      <c r="M306" s="86"/>
      <c r="N306" s="101"/>
      <c r="O306" s="102">
        <f>'Link in'!R28</f>
        <v>0</v>
      </c>
      <c r="P306" s="129">
        <f t="shared" si="130"/>
        <v>0</v>
      </c>
      <c r="Q306" s="102">
        <f t="shared" si="135"/>
        <v>0</v>
      </c>
      <c r="R306" s="86"/>
      <c r="S306" s="86"/>
      <c r="T306" s="98">
        <f t="shared" si="131"/>
        <v>0</v>
      </c>
      <c r="U306" s="153">
        <f t="shared" si="132"/>
        <v>0</v>
      </c>
      <c r="V306" s="98">
        <f t="shared" si="136"/>
        <v>0</v>
      </c>
      <c r="W306" s="101"/>
      <c r="X306" s="98">
        <f t="shared" si="126"/>
        <v>0</v>
      </c>
      <c r="Y306" s="101"/>
      <c r="Z306" s="119">
        <f t="shared" si="127"/>
        <v>0</v>
      </c>
      <c r="AA306" s="88"/>
    </row>
    <row r="307" spans="1:27" ht="15" x14ac:dyDescent="0.25">
      <c r="A307" s="111">
        <v>23</v>
      </c>
      <c r="B307" s="101" t="s">
        <v>109</v>
      </c>
      <c r="C307" s="130"/>
      <c r="D307" s="101"/>
      <c r="E307" s="101">
        <f>'Link in'!H32</f>
        <v>-8715.9082592592604</v>
      </c>
      <c r="F307" s="129"/>
      <c r="G307" s="130">
        <f>+'Link in'!H34</f>
        <v>27906</v>
      </c>
      <c r="H307" s="130"/>
      <c r="I307" s="101"/>
      <c r="J307" s="102">
        <f t="shared" si="128"/>
        <v>-8715.9082592592604</v>
      </c>
      <c r="K307" s="151"/>
      <c r="L307" s="130">
        <f>G307</f>
        <v>27906</v>
      </c>
      <c r="M307" s="130"/>
      <c r="N307" s="101"/>
      <c r="O307" s="101">
        <f>'Link in'!R32</f>
        <v>0</v>
      </c>
      <c r="P307" s="113"/>
      <c r="Q307" s="130">
        <f>'Link in'!R34</f>
        <v>0</v>
      </c>
      <c r="R307" s="130"/>
      <c r="S307" s="101"/>
      <c r="T307" s="101">
        <f>O307</f>
        <v>0</v>
      </c>
      <c r="U307" s="113"/>
      <c r="V307" s="130">
        <f>Q307</f>
        <v>0</v>
      </c>
      <c r="W307" s="130"/>
      <c r="X307" s="130">
        <f t="shared" si="126"/>
        <v>0</v>
      </c>
      <c r="Y307" s="101"/>
      <c r="Z307" s="119">
        <f t="shared" si="127"/>
        <v>0</v>
      </c>
      <c r="AA307" s="88"/>
    </row>
    <row r="308" spans="1:27" ht="15" x14ac:dyDescent="0.25">
      <c r="A308" s="111">
        <v>24</v>
      </c>
      <c r="B308" s="86"/>
      <c r="C308" s="140"/>
      <c r="D308" s="101"/>
      <c r="E308" s="101"/>
      <c r="F308" s="131"/>
      <c r="G308" s="140"/>
      <c r="H308" s="140"/>
      <c r="I308" s="101"/>
      <c r="J308" s="101"/>
      <c r="K308" s="131"/>
      <c r="L308" s="131"/>
      <c r="M308" s="140"/>
      <c r="N308" s="101"/>
      <c r="O308" s="101"/>
      <c r="P308" s="131"/>
      <c r="Q308" s="131"/>
      <c r="R308" s="140"/>
      <c r="S308" s="86"/>
      <c r="T308" s="86"/>
      <c r="U308" s="140"/>
      <c r="V308" s="140"/>
      <c r="W308" s="131"/>
      <c r="X308" s="102"/>
      <c r="Y308" s="101"/>
      <c r="Z308" s="119"/>
      <c r="AA308" s="88"/>
    </row>
    <row r="309" spans="1:27" ht="15.75" thickBot="1" x14ac:dyDescent="0.3">
      <c r="A309" s="111">
        <v>25</v>
      </c>
      <c r="B309" s="86" t="s">
        <v>1</v>
      </c>
      <c r="C309" s="144"/>
      <c r="D309" s="154"/>
      <c r="E309" s="155">
        <f>SUM(E301:E308)</f>
        <v>12056.131777777777</v>
      </c>
      <c r="F309" s="144"/>
      <c r="G309" s="156">
        <f>SUM(G287:G308)</f>
        <v>180850</v>
      </c>
      <c r="H309" s="144"/>
      <c r="I309" s="157"/>
      <c r="J309" s="158">
        <f>SUM(J301:J308)</f>
        <v>12056.131777777777</v>
      </c>
      <c r="K309" s="133"/>
      <c r="L309" s="159">
        <f>SUM(L287:L308)</f>
        <v>180850</v>
      </c>
      <c r="M309" s="144"/>
      <c r="N309" s="157"/>
      <c r="O309" s="158">
        <f>SUM(O301:O308)</f>
        <v>4368</v>
      </c>
      <c r="P309" s="133"/>
      <c r="Q309" s="159">
        <f>SUM(Q287:Q308)</f>
        <v>84644</v>
      </c>
      <c r="R309" s="144"/>
      <c r="S309" s="154"/>
      <c r="T309" s="155">
        <f>SUM(T301:T308)</f>
        <v>4368</v>
      </c>
      <c r="U309" s="144"/>
      <c r="V309" s="156">
        <f>SUM(V287:V308)</f>
        <v>84644</v>
      </c>
      <c r="W309" s="133"/>
      <c r="X309" s="159">
        <f>SUM(X287:X308)</f>
        <v>0</v>
      </c>
      <c r="Y309" s="101"/>
      <c r="Z309" s="143">
        <f t="shared" ref="Z309" si="137">IF(Q309=0,0,ROUND((X309/Q309),4))</f>
        <v>0</v>
      </c>
      <c r="AA309" s="88"/>
    </row>
    <row r="310" spans="1:27" ht="15.75" thickTop="1" x14ac:dyDescent="0.25">
      <c r="A310" s="111"/>
      <c r="B310" s="86"/>
      <c r="C310" s="98"/>
      <c r="D310" s="86"/>
      <c r="E310" s="86"/>
      <c r="F310" s="138"/>
      <c r="G310" s="98"/>
      <c r="H310" s="98"/>
      <c r="I310" s="98"/>
      <c r="J310" s="98"/>
      <c r="K310" s="98"/>
      <c r="L310" s="98"/>
      <c r="M310" s="98"/>
      <c r="N310" s="98"/>
      <c r="O310" s="86"/>
      <c r="P310" s="138"/>
      <c r="Q310" s="98"/>
      <c r="R310" s="98"/>
      <c r="S310" s="86"/>
      <c r="T310" s="86"/>
      <c r="U310" s="138"/>
      <c r="V310" s="98"/>
      <c r="W310" s="101"/>
      <c r="X310" s="102"/>
      <c r="Y310" s="101"/>
      <c r="Z310" s="119"/>
      <c r="AA310" s="88"/>
    </row>
    <row r="311" spans="1:27" x14ac:dyDescent="0.2">
      <c r="A311" s="20"/>
      <c r="B311" s="19"/>
      <c r="C311" s="21"/>
      <c r="D311" s="20"/>
      <c r="E311" s="19"/>
      <c r="F311" s="22"/>
      <c r="G311" s="21"/>
      <c r="H311" s="21"/>
      <c r="I311" s="21"/>
      <c r="J311" s="21"/>
      <c r="K311" s="21"/>
      <c r="L311" s="21"/>
      <c r="M311" s="21"/>
      <c r="N311" s="21"/>
      <c r="O311" s="19"/>
      <c r="P311" s="22"/>
      <c r="Q311" s="21"/>
      <c r="R311" s="21"/>
      <c r="S311" s="20"/>
      <c r="T311" s="19"/>
      <c r="U311" s="22"/>
      <c r="V311" s="21"/>
      <c r="X311" s="26"/>
      <c r="Z311" s="95"/>
      <c r="AA311" s="88"/>
    </row>
    <row r="312" spans="1:27" x14ac:dyDescent="0.2">
      <c r="A312" s="20"/>
      <c r="B312" s="19"/>
      <c r="C312" s="19"/>
      <c r="D312" s="19"/>
      <c r="E312" s="19"/>
      <c r="F312" s="23"/>
      <c r="G312" s="19"/>
      <c r="H312" s="19"/>
      <c r="I312" s="19"/>
      <c r="J312" s="19"/>
      <c r="K312" s="19"/>
      <c r="L312" s="19"/>
      <c r="M312" s="19"/>
      <c r="N312" s="19"/>
      <c r="O312" s="19"/>
      <c r="P312" s="23"/>
      <c r="Q312" s="19"/>
      <c r="R312" s="19"/>
      <c r="S312" s="19"/>
      <c r="T312" s="19"/>
      <c r="U312" s="23"/>
      <c r="V312" s="19"/>
      <c r="X312" s="26"/>
      <c r="Z312" s="95"/>
      <c r="AA312" s="88"/>
    </row>
    <row r="313" spans="1:27" x14ac:dyDescent="0.2">
      <c r="A313" s="20"/>
      <c r="B313" s="19"/>
      <c r="C313" s="19"/>
      <c r="D313" s="19"/>
      <c r="E313" s="19"/>
      <c r="F313" s="23"/>
      <c r="G313" s="19"/>
      <c r="H313" s="19"/>
      <c r="I313" s="19"/>
      <c r="J313" s="19"/>
      <c r="K313" s="19"/>
      <c r="L313" s="19"/>
      <c r="M313" s="19"/>
      <c r="N313" s="19"/>
      <c r="O313" s="19"/>
      <c r="P313" s="23"/>
      <c r="Q313" s="19"/>
      <c r="R313" s="19"/>
      <c r="S313" s="19"/>
      <c r="T313" s="19"/>
      <c r="U313" s="23"/>
      <c r="V313" s="19"/>
      <c r="X313" s="26"/>
      <c r="Z313" s="95"/>
      <c r="AA313" s="88"/>
    </row>
    <row r="314" spans="1:27" x14ac:dyDescent="0.2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AA314" s="88"/>
    </row>
    <row r="315" spans="1:27" x14ac:dyDescent="0.2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AA315" s="88"/>
    </row>
  </sheetData>
  <mergeCells count="64">
    <mergeCell ref="A1:Z1"/>
    <mergeCell ref="A2:Z2"/>
    <mergeCell ref="A3:Z3"/>
    <mergeCell ref="A4:Z4"/>
    <mergeCell ref="A40:Z40"/>
    <mergeCell ref="E7:G7"/>
    <mergeCell ref="O7:Q7"/>
    <mergeCell ref="T7:V7"/>
    <mergeCell ref="J7:L7"/>
    <mergeCell ref="A41:Z41"/>
    <mergeCell ref="A42:Z42"/>
    <mergeCell ref="A43:Z43"/>
    <mergeCell ref="A79:Z79"/>
    <mergeCell ref="A80:Z80"/>
    <mergeCell ref="D46:G46"/>
    <mergeCell ref="N46:Q46"/>
    <mergeCell ref="S46:V46"/>
    <mergeCell ref="I46:L46"/>
    <mergeCell ref="A81:Z81"/>
    <mergeCell ref="N163:Q163"/>
    <mergeCell ref="S163:V163"/>
    <mergeCell ref="D124:G124"/>
    <mergeCell ref="D163:G163"/>
    <mergeCell ref="A159:Z159"/>
    <mergeCell ref="A160:Z160"/>
    <mergeCell ref="A82:Z82"/>
    <mergeCell ref="A119:Z119"/>
    <mergeCell ref="A120:Z120"/>
    <mergeCell ref="A121:Z121"/>
    <mergeCell ref="A157:Z157"/>
    <mergeCell ref="A158:Z158"/>
    <mergeCell ref="I85:L85"/>
    <mergeCell ref="I124:L124"/>
    <mergeCell ref="I163:L163"/>
    <mergeCell ref="A196:Z196"/>
    <mergeCell ref="A197:Z197"/>
    <mergeCell ref="A198:Z198"/>
    <mergeCell ref="D85:G85"/>
    <mergeCell ref="N85:Q85"/>
    <mergeCell ref="S85:V85"/>
    <mergeCell ref="N124:Q124"/>
    <mergeCell ref="S124:V124"/>
    <mergeCell ref="A118:Z118"/>
    <mergeCell ref="T241:V241"/>
    <mergeCell ref="E241:G241"/>
    <mergeCell ref="O241:Q241"/>
    <mergeCell ref="D202:G202"/>
    <mergeCell ref="N202:Q202"/>
    <mergeCell ref="S202:V202"/>
    <mergeCell ref="I202:L202"/>
    <mergeCell ref="J241:L241"/>
    <mergeCell ref="A199:Z199"/>
    <mergeCell ref="A236:Z236"/>
    <mergeCell ref="A237:Z237"/>
    <mergeCell ref="A238:Z238"/>
    <mergeCell ref="A235:Z235"/>
    <mergeCell ref="A275:Z275"/>
    <mergeCell ref="A276:Z276"/>
    <mergeCell ref="A277:Z277"/>
    <mergeCell ref="A278:Z278"/>
    <mergeCell ref="D281:G281"/>
    <mergeCell ref="N281:Q281"/>
    <mergeCell ref="S281:V281"/>
    <mergeCell ref="I281:L281"/>
  </mergeCells>
  <phoneticPr fontId="0" type="noConversion"/>
  <printOptions horizontalCentered="1"/>
  <pageMargins left="0.5" right="0.5" top="0.75" bottom="0.75" header="0.5" footer="0.25"/>
  <pageSetup scale="50" orientation="landscape" r:id="rId1"/>
  <headerFooter alignWithMargins="0"/>
  <rowBreaks count="7" manualBreakCount="7">
    <brk id="39" max="25" man="1"/>
    <brk id="78" max="25" man="1"/>
    <brk id="117" max="25" man="1"/>
    <brk id="156" max="25" man="1"/>
    <brk id="195" max="25" man="1"/>
    <brk id="234" max="25" man="1"/>
    <brk id="274" max="25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9"/>
  <sheetViews>
    <sheetView zoomScaleNormal="100" workbookViewId="0"/>
  </sheetViews>
  <sheetFormatPr defaultColWidth="9.140625" defaultRowHeight="15" x14ac:dyDescent="0.25"/>
  <cols>
    <col min="1" max="1" width="18.7109375" style="36" customWidth="1"/>
    <col min="2" max="2" width="2.7109375" style="36" customWidth="1"/>
    <col min="3" max="3" width="18.5703125" style="36" customWidth="1"/>
    <col min="4" max="4" width="2.7109375" style="36" customWidth="1"/>
    <col min="5" max="5" width="18.5703125" style="36" customWidth="1"/>
    <col min="6" max="6" width="2.7109375" style="36" customWidth="1"/>
    <col min="7" max="7" width="18.5703125" style="36" customWidth="1"/>
    <col min="8" max="8" width="2.7109375" style="36" customWidth="1"/>
    <col min="9" max="9" width="18.5703125" style="36" customWidth="1"/>
    <col min="10" max="13" width="13.42578125" style="36" customWidth="1"/>
    <col min="14" max="16384" width="9.140625" style="36"/>
  </cols>
  <sheetData>
    <row r="1" spans="1:24" x14ac:dyDescent="0.25">
      <c r="G1" s="89"/>
      <c r="H1" s="89"/>
      <c r="I1" s="90"/>
    </row>
    <row r="2" spans="1:24" x14ac:dyDescent="0.25">
      <c r="A2" s="91"/>
      <c r="G2" s="89"/>
      <c r="H2" s="89"/>
    </row>
    <row r="3" spans="1:24" x14ac:dyDescent="0.25">
      <c r="A3" s="91"/>
      <c r="G3" s="89"/>
      <c r="H3" s="89"/>
    </row>
    <row r="4" spans="1:24" x14ac:dyDescent="0.25">
      <c r="G4" s="89"/>
      <c r="H4" s="89"/>
      <c r="I4" s="89"/>
    </row>
    <row r="5" spans="1:24" x14ac:dyDescent="0.25">
      <c r="A5" s="327" t="str">
        <f>'Link in'!A1</f>
        <v>Kentucky American Water Company</v>
      </c>
      <c r="B5" s="327"/>
      <c r="C5" s="327"/>
      <c r="D5" s="327"/>
      <c r="E5" s="327"/>
      <c r="F5" s="327"/>
      <c r="G5" s="327"/>
      <c r="H5" s="327"/>
      <c r="I5" s="327"/>
      <c r="J5" s="37"/>
      <c r="K5" s="37"/>
      <c r="L5" s="37"/>
      <c r="M5" s="37"/>
      <c r="N5" s="38"/>
      <c r="O5" s="38"/>
      <c r="P5" s="38"/>
      <c r="Q5" s="38"/>
      <c r="S5" s="38"/>
      <c r="T5" s="38"/>
      <c r="U5" s="38"/>
      <c r="V5" s="38"/>
      <c r="W5" s="38"/>
      <c r="X5" s="38"/>
    </row>
    <row r="6" spans="1:24" x14ac:dyDescent="0.25">
      <c r="A6" s="327" t="str">
        <f>'Link in'!A2</f>
        <v>Case No. 2015-00418</v>
      </c>
      <c r="B6" s="327"/>
      <c r="C6" s="327"/>
      <c r="D6" s="327"/>
      <c r="E6" s="327"/>
      <c r="F6" s="327"/>
      <c r="G6" s="327"/>
      <c r="H6" s="327"/>
      <c r="I6" s="327"/>
      <c r="J6" s="37"/>
      <c r="K6" s="37"/>
      <c r="L6" s="37"/>
      <c r="M6" s="37"/>
      <c r="N6" s="38"/>
      <c r="O6" s="39"/>
      <c r="P6" s="39"/>
      <c r="Q6" s="40"/>
      <c r="S6" s="38"/>
      <c r="T6" s="38"/>
      <c r="U6" s="38"/>
      <c r="V6" s="38"/>
      <c r="W6" s="38"/>
      <c r="X6" s="38"/>
    </row>
    <row r="7" spans="1:24" x14ac:dyDescent="0.25">
      <c r="A7" s="327" t="str">
        <f>'Link in'!A82</f>
        <v>Forecast Year for the 12 Months Ended August 31, 2017</v>
      </c>
      <c r="B7" s="327"/>
      <c r="C7" s="327"/>
      <c r="D7" s="327"/>
      <c r="E7" s="327"/>
      <c r="F7" s="327"/>
      <c r="G7" s="327"/>
      <c r="H7" s="327"/>
      <c r="I7" s="327"/>
      <c r="J7" s="37"/>
      <c r="K7" s="37"/>
      <c r="L7" s="37"/>
      <c r="M7" s="37"/>
      <c r="N7" s="38"/>
      <c r="O7" s="39"/>
      <c r="P7" s="39"/>
      <c r="Q7" s="40"/>
      <c r="S7" s="38"/>
      <c r="T7" s="38"/>
      <c r="U7" s="38"/>
      <c r="V7" s="38"/>
      <c r="W7" s="38"/>
      <c r="X7" s="38"/>
    </row>
    <row r="8" spans="1:24" x14ac:dyDescent="0.25">
      <c r="A8" s="327" t="s">
        <v>135</v>
      </c>
      <c r="B8" s="327"/>
      <c r="C8" s="327"/>
      <c r="D8" s="327"/>
      <c r="E8" s="327"/>
      <c r="F8" s="327"/>
      <c r="G8" s="327"/>
      <c r="H8" s="327"/>
      <c r="I8" s="327"/>
      <c r="J8" s="37"/>
      <c r="K8" s="37"/>
      <c r="L8" s="37"/>
      <c r="M8" s="37"/>
      <c r="N8" s="38"/>
      <c r="O8" s="41"/>
      <c r="P8" s="41"/>
      <c r="Q8" s="40"/>
      <c r="S8" s="38"/>
      <c r="T8" s="38"/>
      <c r="U8" s="38"/>
      <c r="V8" s="38"/>
      <c r="W8" s="38"/>
      <c r="X8" s="38"/>
    </row>
    <row r="9" spans="1:24" x14ac:dyDescent="0.25">
      <c r="A9" s="327" t="s">
        <v>126</v>
      </c>
      <c r="B9" s="327"/>
      <c r="C9" s="327"/>
      <c r="D9" s="327"/>
      <c r="E9" s="327"/>
      <c r="F9" s="327"/>
      <c r="G9" s="327"/>
      <c r="H9" s="327"/>
      <c r="I9" s="327"/>
      <c r="J9" s="37"/>
      <c r="K9" s="37"/>
      <c r="L9" s="37"/>
      <c r="M9" s="37"/>
      <c r="N9" s="38"/>
      <c r="O9" s="41"/>
      <c r="P9" s="41"/>
      <c r="Q9" s="40"/>
      <c r="R9" s="39"/>
      <c r="S9" s="38"/>
      <c r="T9" s="38"/>
      <c r="U9" s="38"/>
      <c r="V9" s="38"/>
      <c r="W9" s="38"/>
      <c r="X9" s="38"/>
    </row>
    <row r="10" spans="1:24" x14ac:dyDescent="0.25">
      <c r="J10" s="37"/>
      <c r="K10" s="37"/>
      <c r="L10" s="37"/>
      <c r="M10" s="37"/>
      <c r="N10" s="38"/>
      <c r="O10" s="41"/>
      <c r="P10" s="41"/>
      <c r="Q10" s="40"/>
      <c r="R10" s="39"/>
      <c r="S10" s="38"/>
      <c r="T10" s="38"/>
      <c r="U10" s="38"/>
      <c r="V10" s="38"/>
      <c r="W10" s="38"/>
      <c r="X10" s="38"/>
    </row>
    <row r="11" spans="1:24" x14ac:dyDescent="0.25">
      <c r="A11" s="94" t="str">
        <f>'Link in'!A166</f>
        <v>Witness Responsible:   Linda Bridwell</v>
      </c>
      <c r="B11" s="94"/>
      <c r="C11" s="94"/>
      <c r="D11" s="94"/>
      <c r="E11" s="94"/>
      <c r="F11" s="94"/>
      <c r="G11" s="94"/>
      <c r="H11" s="94"/>
      <c r="I11" s="92" t="s">
        <v>189</v>
      </c>
      <c r="J11" s="37"/>
      <c r="K11" s="37"/>
      <c r="L11" s="37"/>
      <c r="M11" s="37"/>
      <c r="N11" s="38"/>
      <c r="O11" s="41"/>
      <c r="P11" s="41"/>
      <c r="Q11" s="40"/>
      <c r="R11" s="39"/>
      <c r="S11" s="38"/>
      <c r="T11" s="38"/>
      <c r="U11" s="38"/>
      <c r="V11" s="38"/>
      <c r="W11" s="38"/>
      <c r="X11" s="38"/>
    </row>
    <row r="12" spans="1:24" x14ac:dyDescent="0.25">
      <c r="A12" s="94" t="str">
        <f>'Link in'!$A$85</f>
        <v/>
      </c>
      <c r="B12" s="94"/>
      <c r="C12" s="94"/>
      <c r="D12" s="94"/>
      <c r="E12" s="94"/>
      <c r="F12" s="94"/>
      <c r="G12" s="94"/>
      <c r="H12" s="94"/>
      <c r="I12" s="97" t="e">
        <f ca="1">RIGHT(CELL("filename",$A$1),LEN(CELL("filename",$A$1))-SEARCH("\Revenues",CELL("filename",$A$1),1))</f>
        <v>#VALUE!</v>
      </c>
      <c r="J12" s="37"/>
      <c r="K12" s="37"/>
      <c r="L12" s="37"/>
      <c r="M12" s="37"/>
      <c r="N12" s="38"/>
      <c r="O12" s="41"/>
      <c r="P12" s="41"/>
      <c r="Q12" s="40"/>
      <c r="R12" s="39"/>
      <c r="S12" s="38"/>
      <c r="T12" s="38"/>
      <c r="U12" s="38"/>
      <c r="V12" s="38"/>
      <c r="W12" s="38"/>
      <c r="X12" s="38"/>
    </row>
    <row r="13" spans="1:24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1"/>
      <c r="P13" s="41"/>
      <c r="Q13" s="40"/>
      <c r="R13" s="64"/>
      <c r="S13" s="55"/>
      <c r="T13" s="55"/>
      <c r="U13" s="55"/>
      <c r="V13" s="55"/>
      <c r="W13" s="55"/>
      <c r="X13" s="38"/>
    </row>
    <row r="14" spans="1:24" x14ac:dyDescent="0.25">
      <c r="A14" s="43" t="s">
        <v>18</v>
      </c>
      <c r="B14" s="42"/>
      <c r="C14" s="44" t="s">
        <v>79</v>
      </c>
      <c r="D14" s="44"/>
      <c r="E14" s="44" t="s">
        <v>73</v>
      </c>
      <c r="F14" s="44"/>
      <c r="G14" s="44"/>
      <c r="H14" s="44"/>
      <c r="I14" s="44" t="s">
        <v>53</v>
      </c>
      <c r="J14" s="42"/>
      <c r="K14" s="42"/>
      <c r="L14" s="42"/>
      <c r="M14" s="42"/>
      <c r="N14" s="38"/>
      <c r="O14" s="41"/>
      <c r="P14" s="41"/>
      <c r="Q14" s="40"/>
      <c r="R14" s="65"/>
      <c r="S14" s="66"/>
      <c r="T14" s="66"/>
      <c r="U14" s="66"/>
      <c r="V14" s="66"/>
      <c r="W14" s="55"/>
      <c r="X14" s="38"/>
    </row>
    <row r="15" spans="1:24" x14ac:dyDescent="0.25">
      <c r="A15" s="45" t="s">
        <v>129</v>
      </c>
      <c r="B15" s="42"/>
      <c r="C15" s="45" t="s">
        <v>46</v>
      </c>
      <c r="D15" s="44"/>
      <c r="E15" s="45" t="s">
        <v>46</v>
      </c>
      <c r="F15" s="44"/>
      <c r="G15" s="45" t="s">
        <v>127</v>
      </c>
      <c r="H15" s="44"/>
      <c r="I15" s="45" t="s">
        <v>127</v>
      </c>
      <c r="J15" s="46"/>
      <c r="K15" s="46"/>
      <c r="L15" s="46"/>
      <c r="M15" s="46"/>
      <c r="N15" s="38"/>
      <c r="O15" s="41"/>
      <c r="P15" s="41"/>
      <c r="Q15" s="40"/>
      <c r="R15" s="55"/>
      <c r="S15" s="55"/>
      <c r="T15" s="55"/>
      <c r="U15" s="55"/>
      <c r="V15" s="55"/>
      <c r="W15" s="55"/>
      <c r="X15" s="38"/>
    </row>
    <row r="16" spans="1:24" x14ac:dyDescent="0.25">
      <c r="A16" s="47">
        <v>0</v>
      </c>
      <c r="B16" s="42"/>
      <c r="C16" s="67">
        <f>'Sch M'!P52</f>
        <v>12.49</v>
      </c>
      <c r="D16" s="48"/>
      <c r="E16" s="67">
        <f>'Sch M'!U52</f>
        <v>14.85</v>
      </c>
      <c r="F16" s="48"/>
      <c r="G16" s="67">
        <f>+E16-C16</f>
        <v>2.3599999999999994</v>
      </c>
      <c r="H16" s="42"/>
      <c r="I16" s="50">
        <f>+G16/C16</f>
        <v>0.18895116092874295</v>
      </c>
      <c r="J16" s="50"/>
      <c r="K16" s="50"/>
      <c r="L16" s="50"/>
      <c r="M16" s="50"/>
      <c r="N16" s="38"/>
      <c r="O16" s="38"/>
      <c r="P16" s="51"/>
      <c r="Q16" s="38"/>
      <c r="R16" s="55"/>
      <c r="S16" s="55"/>
      <c r="T16" s="55"/>
      <c r="U16" s="55"/>
      <c r="V16" s="55"/>
      <c r="W16" s="55"/>
      <c r="X16" s="38"/>
    </row>
    <row r="17" spans="1:24" x14ac:dyDescent="0.25">
      <c r="A17" s="52">
        <v>1</v>
      </c>
      <c r="B17" s="38"/>
      <c r="C17" s="53">
        <f>ROUND($C$16+(A17*'Sch M'!$P$66),2)</f>
        <v>17.79</v>
      </c>
      <c r="D17" s="53"/>
      <c r="E17" s="53">
        <f>ROUND($E$16+(A17*'Sch M'!$U$66),2)</f>
        <v>21.27</v>
      </c>
      <c r="F17" s="53"/>
      <c r="G17" s="54">
        <f t="shared" ref="G17:G36" si="0">+E17-C17</f>
        <v>3.4800000000000004</v>
      </c>
      <c r="H17" s="42"/>
      <c r="I17" s="50">
        <f t="shared" ref="I17:I36" si="1">+G17/C17</f>
        <v>0.19561551433389548</v>
      </c>
      <c r="J17" s="50"/>
      <c r="K17" s="50"/>
      <c r="L17" s="50"/>
      <c r="M17" s="50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x14ac:dyDescent="0.25">
      <c r="A18" s="52">
        <v>2</v>
      </c>
      <c r="B18" s="38"/>
      <c r="C18" s="53">
        <f>ROUND($C$16+(A18*'Sch M'!$P$66),2)</f>
        <v>23.09</v>
      </c>
      <c r="D18" s="53"/>
      <c r="E18" s="53">
        <f>ROUND($E$16+(A18*'Sch M'!$U$66),2)</f>
        <v>27.68</v>
      </c>
      <c r="F18" s="53"/>
      <c r="G18" s="54">
        <f t="shared" si="0"/>
        <v>4.59</v>
      </c>
      <c r="H18" s="42"/>
      <c r="I18" s="50">
        <f t="shared" si="1"/>
        <v>0.19878735383282806</v>
      </c>
      <c r="J18" s="50"/>
      <c r="K18" s="50"/>
      <c r="L18" s="50"/>
      <c r="M18" s="50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x14ac:dyDescent="0.25">
      <c r="A19" s="52">
        <v>3</v>
      </c>
      <c r="B19" s="38"/>
      <c r="C19" s="53">
        <f>ROUND($C$16+(A19*'Sch M'!$P$66),2)</f>
        <v>28.39</v>
      </c>
      <c r="D19" s="53"/>
      <c r="E19" s="53">
        <f>ROUND($E$16+(A19*'Sch M'!$U$66),2)</f>
        <v>34.1</v>
      </c>
      <c r="F19" s="53"/>
      <c r="G19" s="54">
        <f t="shared" si="0"/>
        <v>5.7100000000000009</v>
      </c>
      <c r="H19" s="42"/>
      <c r="I19" s="50">
        <f t="shared" si="1"/>
        <v>0.2011271574498063</v>
      </c>
      <c r="J19" s="50"/>
      <c r="K19" s="50"/>
      <c r="L19" s="50"/>
      <c r="M19" s="50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x14ac:dyDescent="0.25">
      <c r="A20" s="63">
        <v>4</v>
      </c>
      <c r="B20" s="57"/>
      <c r="C20" s="58">
        <f>ROUND($C$16+(A20*'Sch M'!$P$66),2)</f>
        <v>33.69</v>
      </c>
      <c r="D20" s="58"/>
      <c r="E20" s="58">
        <f>ROUND($E$16+(A20*'Sch M'!$U$66),2)</f>
        <v>40.51</v>
      </c>
      <c r="F20" s="58"/>
      <c r="G20" s="59">
        <f>+E20-C20</f>
        <v>6.82</v>
      </c>
      <c r="H20" s="60"/>
      <c r="I20" s="61">
        <f>+G20/C20</f>
        <v>0.20243395666369846</v>
      </c>
      <c r="J20" s="50"/>
      <c r="K20" s="50"/>
      <c r="L20" s="50"/>
      <c r="M20" s="50"/>
      <c r="N20" s="55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x14ac:dyDescent="0.25">
      <c r="A21" s="47">
        <v>5</v>
      </c>
      <c r="B21" s="55"/>
      <c r="C21" s="56">
        <f>ROUND($C$16+(A21*'Sch M'!$P$66),2)</f>
        <v>38.99</v>
      </c>
      <c r="D21" s="56"/>
      <c r="E21" s="56">
        <f>ROUND($E$16+(A21*'Sch M'!$U$66),2)</f>
        <v>46.93</v>
      </c>
      <c r="F21" s="56"/>
      <c r="G21" s="54">
        <f t="shared" si="0"/>
        <v>7.9399999999999977</v>
      </c>
      <c r="H21" s="46"/>
      <c r="I21" s="50">
        <f t="shared" si="1"/>
        <v>0.20364195947678884</v>
      </c>
      <c r="J21" s="50"/>
      <c r="K21" s="50"/>
      <c r="L21" s="50"/>
      <c r="M21" s="50"/>
      <c r="N21" s="55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x14ac:dyDescent="0.25">
      <c r="A22" s="47">
        <v>6</v>
      </c>
      <c r="B22" s="55"/>
      <c r="C22" s="53">
        <f>ROUND($C$16+(A22*'Sch M'!$P$66),2)</f>
        <v>44.29</v>
      </c>
      <c r="D22" s="56"/>
      <c r="E22" s="53">
        <f>ROUND($E$16+(A22*'Sch M'!$U$66),2)</f>
        <v>53.35</v>
      </c>
      <c r="F22" s="56"/>
      <c r="G22" s="54">
        <f t="shared" si="0"/>
        <v>9.0600000000000023</v>
      </c>
      <c r="H22" s="46"/>
      <c r="I22" s="50">
        <f t="shared" si="1"/>
        <v>0.20456084895010165</v>
      </c>
      <c r="J22" s="50"/>
      <c r="K22" s="50"/>
      <c r="L22" s="50"/>
      <c r="M22" s="50"/>
      <c r="N22" s="55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x14ac:dyDescent="0.25">
      <c r="A23" s="47">
        <v>7</v>
      </c>
      <c r="B23" s="55"/>
      <c r="C23" s="53">
        <f>ROUND($C$16+(A23*'Sch M'!$P$66),2)</f>
        <v>49.59</v>
      </c>
      <c r="D23" s="56"/>
      <c r="E23" s="53">
        <f>ROUND($E$16+(A23*'Sch M'!$U$66),2)</f>
        <v>59.76</v>
      </c>
      <c r="F23" s="56"/>
      <c r="G23" s="54">
        <f t="shared" si="0"/>
        <v>10.169999999999995</v>
      </c>
      <c r="H23" s="46"/>
      <c r="I23" s="50">
        <f t="shared" si="1"/>
        <v>0.20508166969146993</v>
      </c>
      <c r="J23" s="50"/>
      <c r="K23" s="50"/>
      <c r="L23" s="50"/>
      <c r="M23" s="50"/>
      <c r="N23" s="55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x14ac:dyDescent="0.25">
      <c r="A24" s="47">
        <v>8</v>
      </c>
      <c r="B24" s="55"/>
      <c r="C24" s="53">
        <f>ROUND($C$16+(A24*'Sch M'!$P$66),2)</f>
        <v>54.89</v>
      </c>
      <c r="D24" s="56"/>
      <c r="E24" s="53">
        <f>ROUND($E$16+(A24*'Sch M'!$U$66),2)</f>
        <v>66.180000000000007</v>
      </c>
      <c r="F24" s="56"/>
      <c r="G24" s="54">
        <f t="shared" si="0"/>
        <v>11.290000000000006</v>
      </c>
      <c r="H24" s="46"/>
      <c r="I24" s="50">
        <f t="shared" si="1"/>
        <v>0.20568409546365468</v>
      </c>
      <c r="J24" s="50"/>
      <c r="K24" s="50"/>
      <c r="L24" s="50"/>
      <c r="M24" s="50"/>
      <c r="N24" s="55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x14ac:dyDescent="0.25">
      <c r="A25" s="47">
        <v>9</v>
      </c>
      <c r="B25" s="55"/>
      <c r="C25" s="53">
        <f>ROUND($C$16+(A25*'Sch M'!$P$66),2)</f>
        <v>60.19</v>
      </c>
      <c r="D25" s="56"/>
      <c r="E25" s="53">
        <f>ROUND($E$16+(A25*'Sch M'!$U$66),2)</f>
        <v>72.59</v>
      </c>
      <c r="F25" s="56"/>
      <c r="G25" s="54">
        <f t="shared" si="0"/>
        <v>12.400000000000006</v>
      </c>
      <c r="H25" s="46"/>
      <c r="I25" s="50">
        <f t="shared" si="1"/>
        <v>0.20601428808772232</v>
      </c>
      <c r="J25" s="50"/>
      <c r="K25" s="50"/>
      <c r="L25" s="50"/>
      <c r="M25" s="50"/>
      <c r="N25" s="55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x14ac:dyDescent="0.25">
      <c r="A26" s="52">
        <v>10</v>
      </c>
      <c r="B26" s="38"/>
      <c r="C26" s="53">
        <f>ROUND($C$16+(A26*'Sch M'!$P$66),2)</f>
        <v>65.489999999999995</v>
      </c>
      <c r="D26" s="53"/>
      <c r="E26" s="53">
        <f>ROUND($E$16+(A26*'Sch M'!$U$66),2)</f>
        <v>79.010000000000005</v>
      </c>
      <c r="F26" s="53"/>
      <c r="G26" s="54">
        <f t="shared" si="0"/>
        <v>13.52000000000001</v>
      </c>
      <c r="H26" s="42"/>
      <c r="I26" s="50">
        <f t="shared" si="1"/>
        <v>0.20644373186746084</v>
      </c>
      <c r="J26" s="50"/>
      <c r="K26" s="50"/>
      <c r="L26" s="50"/>
      <c r="M26" s="50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x14ac:dyDescent="0.25">
      <c r="A27" s="52">
        <v>15</v>
      </c>
      <c r="B27" s="38"/>
      <c r="C27" s="53">
        <f>ROUND($C$16+(A27*'Sch M'!$P$66),2)</f>
        <v>92</v>
      </c>
      <c r="D27" s="53"/>
      <c r="E27" s="53">
        <f>ROUND($E$16+(A27*'Sch M'!$U$66),2)</f>
        <v>111.09</v>
      </c>
      <c r="F27" s="53"/>
      <c r="G27" s="54">
        <f t="shared" si="0"/>
        <v>19.090000000000003</v>
      </c>
      <c r="H27" s="42"/>
      <c r="I27" s="50">
        <f t="shared" si="1"/>
        <v>0.20750000000000005</v>
      </c>
      <c r="J27" s="50"/>
      <c r="K27" s="50"/>
      <c r="L27" s="50"/>
      <c r="M27" s="50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x14ac:dyDescent="0.25">
      <c r="A28" s="52">
        <v>20</v>
      </c>
      <c r="B28" s="38"/>
      <c r="C28" s="53">
        <f>ROUND($C$16+(A28*'Sch M'!$P$66),2)</f>
        <v>118.5</v>
      </c>
      <c r="D28" s="53"/>
      <c r="E28" s="53">
        <f>ROUND($E$16+(A28*'Sch M'!$U$66),2)</f>
        <v>143.16999999999999</v>
      </c>
      <c r="F28" s="53"/>
      <c r="G28" s="54">
        <f t="shared" si="0"/>
        <v>24.669999999999987</v>
      </c>
      <c r="H28" s="42"/>
      <c r="I28" s="50">
        <f t="shared" si="1"/>
        <v>0.20818565400843872</v>
      </c>
      <c r="J28" s="50"/>
      <c r="K28" s="50"/>
      <c r="L28" s="50"/>
      <c r="M28" s="50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x14ac:dyDescent="0.25">
      <c r="A29" s="52">
        <v>25</v>
      </c>
      <c r="B29" s="38"/>
      <c r="C29" s="53">
        <f>ROUND($C$16+(A29*'Sch M'!$P$66),2)</f>
        <v>145</v>
      </c>
      <c r="D29" s="53"/>
      <c r="E29" s="53">
        <f>ROUND($E$16+(A29*'Sch M'!$U$66),2)</f>
        <v>175.25</v>
      </c>
      <c r="F29" s="53"/>
      <c r="G29" s="54">
        <f t="shared" si="0"/>
        <v>30.25</v>
      </c>
      <c r="H29" s="42"/>
      <c r="I29" s="50">
        <f t="shared" si="1"/>
        <v>0.20862068965517241</v>
      </c>
      <c r="J29" s="50"/>
      <c r="K29" s="50"/>
      <c r="L29" s="50"/>
      <c r="M29" s="5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x14ac:dyDescent="0.25">
      <c r="A30" s="52">
        <v>30</v>
      </c>
      <c r="B30" s="38"/>
      <c r="C30" s="53">
        <f>ROUND($C$16+(A30*'Sch M'!$P$66),2)</f>
        <v>171.5</v>
      </c>
      <c r="D30" s="53"/>
      <c r="E30" s="53">
        <f>ROUND($E$16+(A30*'Sch M'!$U$66),2)</f>
        <v>207.33</v>
      </c>
      <c r="F30" s="53"/>
      <c r="G30" s="54">
        <f t="shared" si="0"/>
        <v>35.830000000000013</v>
      </c>
      <c r="H30" s="42"/>
      <c r="I30" s="50">
        <f t="shared" si="1"/>
        <v>0.2089212827988339</v>
      </c>
      <c r="J30" s="50"/>
      <c r="K30" s="50"/>
      <c r="L30" s="50"/>
      <c r="M30" s="5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x14ac:dyDescent="0.25">
      <c r="A31" s="52">
        <v>35</v>
      </c>
      <c r="B31" s="38"/>
      <c r="C31" s="53">
        <f>ROUND($C$16+(A31*'Sch M'!$P$66),2)</f>
        <v>198</v>
      </c>
      <c r="D31" s="53"/>
      <c r="E31" s="53">
        <f>ROUND($E$16+(A31*'Sch M'!$U$66),2)</f>
        <v>239.41</v>
      </c>
      <c r="F31" s="53"/>
      <c r="G31" s="54">
        <f t="shared" si="0"/>
        <v>41.41</v>
      </c>
      <c r="H31" s="42"/>
      <c r="I31" s="50">
        <f t="shared" si="1"/>
        <v>0.20914141414141413</v>
      </c>
      <c r="J31" s="50"/>
      <c r="K31" s="50"/>
      <c r="L31" s="50"/>
      <c r="M31" s="50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x14ac:dyDescent="0.25">
      <c r="A32" s="52">
        <v>40</v>
      </c>
      <c r="B32" s="38"/>
      <c r="C32" s="53">
        <f>ROUND($C$16+(A32*'Sch M'!$P$66),2)</f>
        <v>224.51</v>
      </c>
      <c r="D32" s="53"/>
      <c r="E32" s="53">
        <f>ROUND($E$16+(A32*'Sch M'!$U$66),2)</f>
        <v>271.49</v>
      </c>
      <c r="F32" s="53"/>
      <c r="G32" s="54">
        <f t="shared" si="0"/>
        <v>46.980000000000018</v>
      </c>
      <c r="H32" s="42"/>
      <c r="I32" s="50">
        <f t="shared" si="1"/>
        <v>0.2092557124404259</v>
      </c>
      <c r="J32" s="50"/>
      <c r="K32" s="50"/>
      <c r="L32" s="50"/>
      <c r="M32" s="50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x14ac:dyDescent="0.25">
      <c r="A33" s="52">
        <v>45</v>
      </c>
      <c r="B33" s="38"/>
      <c r="C33" s="53">
        <f>ROUND($C$16+(A33*'Sch M'!$P$66),2)</f>
        <v>251.01</v>
      </c>
      <c r="D33" s="53"/>
      <c r="E33" s="53">
        <f>ROUND($E$16+(A33*'Sch M'!$U$66),2)</f>
        <v>303.57</v>
      </c>
      <c r="F33" s="53"/>
      <c r="G33" s="54">
        <f t="shared" si="0"/>
        <v>52.56</v>
      </c>
      <c r="H33" s="42"/>
      <c r="I33" s="50">
        <f t="shared" si="1"/>
        <v>0.20939404804589459</v>
      </c>
      <c r="J33" s="50"/>
      <c r="K33" s="50"/>
      <c r="L33" s="50"/>
      <c r="M33" s="50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x14ac:dyDescent="0.25">
      <c r="A34" s="52">
        <v>50</v>
      </c>
      <c r="B34" s="38"/>
      <c r="C34" s="53">
        <f>ROUND($C$16+(A34*'Sch M'!$P$66),2)</f>
        <v>277.51</v>
      </c>
      <c r="D34" s="53"/>
      <c r="E34" s="53">
        <f>ROUND($E$16+(A34*'Sch M'!$U$66),2)</f>
        <v>335.65</v>
      </c>
      <c r="F34" s="53"/>
      <c r="G34" s="54">
        <f t="shared" si="0"/>
        <v>58.139999999999986</v>
      </c>
      <c r="H34" s="42"/>
      <c r="I34" s="50">
        <f t="shared" si="1"/>
        <v>0.20950596374905406</v>
      </c>
      <c r="J34" s="50"/>
      <c r="K34" s="50"/>
      <c r="L34" s="50"/>
      <c r="M34" s="50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x14ac:dyDescent="0.25">
      <c r="A35" s="52">
        <v>75</v>
      </c>
      <c r="B35" s="38"/>
      <c r="C35" s="53">
        <f>ROUND($C$16+(A35*'Sch M'!$P$66),2)</f>
        <v>410.02</v>
      </c>
      <c r="D35" s="53"/>
      <c r="E35" s="53">
        <f>ROUND($E$16+(A35*'Sch M'!$U$66),2)</f>
        <v>496.05</v>
      </c>
      <c r="F35" s="53"/>
      <c r="G35" s="54">
        <f t="shared" si="0"/>
        <v>86.03000000000003</v>
      </c>
      <c r="H35" s="42"/>
      <c r="I35" s="50">
        <f t="shared" si="1"/>
        <v>0.20981903321789189</v>
      </c>
      <c r="J35" s="50"/>
      <c r="K35" s="50"/>
      <c r="L35" s="50"/>
      <c r="M35" s="50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x14ac:dyDescent="0.25">
      <c r="A36" s="52">
        <v>100</v>
      </c>
      <c r="B36" s="38"/>
      <c r="C36" s="53">
        <f>ROUND($C$16+(A36*'Sch M'!$P$66),2)</f>
        <v>542.53</v>
      </c>
      <c r="D36" s="53"/>
      <c r="E36" s="53">
        <f>ROUND($E$16+(A36*'Sch M'!$U$66),2)</f>
        <v>656.45</v>
      </c>
      <c r="F36" s="53"/>
      <c r="G36" s="54">
        <f t="shared" si="0"/>
        <v>113.92000000000007</v>
      </c>
      <c r="H36" s="42"/>
      <c r="I36" s="50">
        <f t="shared" si="1"/>
        <v>0.20997917165871027</v>
      </c>
      <c r="J36" s="50"/>
      <c r="K36" s="50"/>
      <c r="L36" s="50"/>
      <c r="M36" s="50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x14ac:dyDescent="0.25">
      <c r="A39" s="38" t="s">
        <v>128</v>
      </c>
      <c r="B39" s="38"/>
      <c r="C39" s="56">
        <f>+C20</f>
        <v>33.69</v>
      </c>
      <c r="D39" s="62"/>
      <c r="E39" s="56">
        <f>E20</f>
        <v>40.51</v>
      </c>
      <c r="F39" s="62"/>
      <c r="G39" s="56">
        <f>G20</f>
        <v>6.82</v>
      </c>
      <c r="H39" s="46"/>
      <c r="I39" s="50">
        <f>I20</f>
        <v>0.20243395666369846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1" spans="1:24" x14ac:dyDescent="0.25">
      <c r="G41" s="89"/>
      <c r="H41" s="89"/>
      <c r="I41" s="89"/>
      <c r="J41" s="89"/>
    </row>
    <row r="42" spans="1:24" x14ac:dyDescent="0.25">
      <c r="G42" s="89"/>
      <c r="H42" s="89"/>
      <c r="I42" s="90"/>
      <c r="J42" s="89"/>
    </row>
    <row r="43" spans="1:24" x14ac:dyDescent="0.25">
      <c r="A43" s="91"/>
      <c r="G43" s="89"/>
      <c r="H43" s="89"/>
      <c r="J43" s="89"/>
    </row>
    <row r="44" spans="1:24" x14ac:dyDescent="0.25">
      <c r="A44" s="91"/>
      <c r="G44" s="89"/>
      <c r="H44" s="89"/>
      <c r="J44" s="89"/>
    </row>
    <row r="45" spans="1:24" x14ac:dyDescent="0.25">
      <c r="G45" s="89"/>
      <c r="H45" s="89"/>
      <c r="I45" s="89"/>
      <c r="J45" s="89"/>
    </row>
    <row r="46" spans="1:24" x14ac:dyDescent="0.25">
      <c r="A46" s="327" t="str">
        <f>A5</f>
        <v>Kentucky American Water Company</v>
      </c>
      <c r="B46" s="327"/>
      <c r="C46" s="327"/>
      <c r="D46" s="327"/>
      <c r="E46" s="327"/>
      <c r="F46" s="327"/>
      <c r="G46" s="327"/>
      <c r="H46" s="327"/>
      <c r="I46" s="327"/>
    </row>
    <row r="47" spans="1:24" x14ac:dyDescent="0.25">
      <c r="A47" s="327" t="str">
        <f>A6</f>
        <v>Case No. 2015-00418</v>
      </c>
      <c r="B47" s="327"/>
      <c r="C47" s="327"/>
      <c r="D47" s="327"/>
      <c r="E47" s="327"/>
      <c r="F47" s="327"/>
      <c r="G47" s="327"/>
      <c r="H47" s="327"/>
      <c r="I47" s="327"/>
    </row>
    <row r="48" spans="1:24" x14ac:dyDescent="0.25">
      <c r="A48" s="327" t="str">
        <f>A7</f>
        <v>Forecast Year for the 12 Months Ended August 31, 2017</v>
      </c>
      <c r="B48" s="327"/>
      <c r="C48" s="327"/>
      <c r="D48" s="327"/>
      <c r="E48" s="327"/>
      <c r="F48" s="327"/>
      <c r="G48" s="327"/>
      <c r="H48" s="327"/>
      <c r="I48" s="327"/>
    </row>
    <row r="49" spans="1:9" x14ac:dyDescent="0.25">
      <c r="A49" s="327" t="s">
        <v>135</v>
      </c>
      <c r="B49" s="327"/>
      <c r="C49" s="327"/>
      <c r="D49" s="327"/>
      <c r="E49" s="327"/>
      <c r="F49" s="327"/>
      <c r="G49" s="327"/>
      <c r="H49" s="327"/>
      <c r="I49" s="327"/>
    </row>
    <row r="50" spans="1:9" x14ac:dyDescent="0.25">
      <c r="A50" s="327" t="s">
        <v>130</v>
      </c>
      <c r="B50" s="327"/>
      <c r="C50" s="327"/>
      <c r="D50" s="327"/>
      <c r="E50" s="327"/>
      <c r="F50" s="327"/>
      <c r="G50" s="327"/>
      <c r="H50" s="327"/>
      <c r="I50" s="327"/>
    </row>
    <row r="52" spans="1:9" x14ac:dyDescent="0.25">
      <c r="A52" s="94" t="str">
        <f>A11</f>
        <v>Witness Responsible:   Linda Bridwell</v>
      </c>
      <c r="B52" s="94"/>
      <c r="C52" s="94"/>
      <c r="D52" s="94"/>
      <c r="E52" s="94"/>
      <c r="F52" s="94"/>
      <c r="G52" s="94"/>
      <c r="H52" s="94"/>
      <c r="I52" s="92" t="s">
        <v>189</v>
      </c>
    </row>
    <row r="53" spans="1:9" x14ac:dyDescent="0.25">
      <c r="A53" s="94" t="str">
        <f>'Link in'!$A$85</f>
        <v/>
      </c>
      <c r="B53" s="42"/>
      <c r="C53" s="42"/>
      <c r="D53" s="42"/>
      <c r="E53" s="42"/>
      <c r="F53" s="42"/>
      <c r="G53" s="42"/>
      <c r="H53" s="42"/>
      <c r="I53" s="97" t="e">
        <f ca="1">RIGHT(CELL("filename",$A$1),LEN(CELL("filename",$A$1))-SEARCH("\Revenues",CELL("filename",$A$1),1))</f>
        <v>#VALUE!</v>
      </c>
    </row>
    <row r="54" spans="1:9" x14ac:dyDescent="0.25">
      <c r="A54" s="38"/>
      <c r="B54" s="38"/>
      <c r="C54" s="38"/>
      <c r="D54" s="38"/>
      <c r="E54" s="38"/>
      <c r="F54" s="38"/>
      <c r="G54" s="38"/>
      <c r="H54" s="38"/>
      <c r="I54" s="38"/>
    </row>
    <row r="55" spans="1:9" x14ac:dyDescent="0.25">
      <c r="A55" s="43" t="s">
        <v>18</v>
      </c>
      <c r="B55" s="42"/>
      <c r="C55" s="44" t="s">
        <v>79</v>
      </c>
      <c r="D55" s="44"/>
      <c r="E55" s="44" t="s">
        <v>73</v>
      </c>
      <c r="F55" s="44"/>
      <c r="G55" s="44"/>
      <c r="H55" s="44"/>
      <c r="I55" s="44" t="s">
        <v>53</v>
      </c>
    </row>
    <row r="56" spans="1:9" x14ac:dyDescent="0.25">
      <c r="A56" s="45" t="s">
        <v>129</v>
      </c>
      <c r="B56" s="42"/>
      <c r="C56" s="45" t="s">
        <v>46</v>
      </c>
      <c r="D56" s="44"/>
      <c r="E56" s="45" t="s">
        <v>46</v>
      </c>
      <c r="F56" s="44"/>
      <c r="G56" s="45" t="s">
        <v>127</v>
      </c>
      <c r="H56" s="44"/>
      <c r="I56" s="45" t="s">
        <v>127</v>
      </c>
    </row>
    <row r="57" spans="1:9" x14ac:dyDescent="0.25">
      <c r="A57" s="47">
        <v>0</v>
      </c>
      <c r="B57" s="42"/>
      <c r="C57" s="67">
        <f>'Sch M'!P91</f>
        <v>12.49</v>
      </c>
      <c r="D57" s="48"/>
      <c r="E57" s="67">
        <f>'Sch M'!U91</f>
        <v>14.85</v>
      </c>
      <c r="F57" s="48"/>
      <c r="G57" s="67">
        <f>+E57-C57</f>
        <v>2.3599999999999994</v>
      </c>
      <c r="H57" s="42"/>
      <c r="I57" s="50">
        <f>+G57/C57</f>
        <v>0.18895116092874295</v>
      </c>
    </row>
    <row r="58" spans="1:9" x14ac:dyDescent="0.25">
      <c r="A58" s="52">
        <v>1</v>
      </c>
      <c r="B58" s="38"/>
      <c r="C58" s="53">
        <f>ROUND($C$57+(A58*'Sch M'!$P$105),2)</f>
        <v>17.32</v>
      </c>
      <c r="D58" s="53"/>
      <c r="E58" s="53">
        <f>ROUND($E$57+(A58*'Sch M'!$U$105),2)</f>
        <v>20.440000000000001</v>
      </c>
      <c r="F58" s="53"/>
      <c r="G58" s="54">
        <f t="shared" ref="G58:G78" si="2">+E58-C58</f>
        <v>3.120000000000001</v>
      </c>
      <c r="H58" s="42"/>
      <c r="I58" s="50">
        <f t="shared" ref="I58:I78" si="3">+G58/C58</f>
        <v>0.1801385681293303</v>
      </c>
    </row>
    <row r="59" spans="1:9" x14ac:dyDescent="0.25">
      <c r="A59" s="52">
        <v>2</v>
      </c>
      <c r="B59" s="38"/>
      <c r="C59" s="53">
        <f>ROUND($C$57+(A59*'Sch M'!$P$105),2)</f>
        <v>22.15</v>
      </c>
      <c r="D59" s="53"/>
      <c r="E59" s="53">
        <f>ROUND($E$57+(A59*'Sch M'!$U$105),2)</f>
        <v>26.02</v>
      </c>
      <c r="F59" s="53"/>
      <c r="G59" s="54">
        <f t="shared" si="2"/>
        <v>3.870000000000001</v>
      </c>
      <c r="H59" s="42"/>
      <c r="I59" s="50">
        <f t="shared" si="3"/>
        <v>0.17471783295711066</v>
      </c>
    </row>
    <row r="60" spans="1:9" x14ac:dyDescent="0.25">
      <c r="A60" s="52">
        <v>3</v>
      </c>
      <c r="B60" s="38"/>
      <c r="C60" s="53">
        <f>ROUND($C$57+(A60*'Sch M'!$P$105),2)</f>
        <v>26.97</v>
      </c>
      <c r="D60" s="53"/>
      <c r="E60" s="53">
        <f>ROUND($E$57+(A60*'Sch M'!$U$105),2)</f>
        <v>31.61</v>
      </c>
      <c r="F60" s="53"/>
      <c r="G60" s="54">
        <f t="shared" si="2"/>
        <v>4.6400000000000006</v>
      </c>
      <c r="H60" s="42"/>
      <c r="I60" s="50">
        <f t="shared" si="3"/>
        <v>0.17204301075268821</v>
      </c>
    </row>
    <row r="61" spans="1:9" x14ac:dyDescent="0.25">
      <c r="A61" s="47">
        <v>4</v>
      </c>
      <c r="B61" s="55"/>
      <c r="C61" s="53">
        <f>ROUND($C$57+(A61*'Sch M'!$P$105),2)</f>
        <v>31.8</v>
      </c>
      <c r="D61" s="56"/>
      <c r="E61" s="53">
        <f>ROUND($E$57+(A61*'Sch M'!$U$105),2)</f>
        <v>37.19</v>
      </c>
      <c r="F61" s="56"/>
      <c r="G61" s="54">
        <f t="shared" si="2"/>
        <v>5.389999999999997</v>
      </c>
      <c r="H61" s="46"/>
      <c r="I61" s="50">
        <f t="shared" si="3"/>
        <v>0.16949685534591186</v>
      </c>
    </row>
    <row r="62" spans="1:9" x14ac:dyDescent="0.25">
      <c r="A62" s="47">
        <v>4.5</v>
      </c>
      <c r="B62" s="55"/>
      <c r="C62" s="56">
        <f>ROUND($C$57+(A62*'Sch M'!$P$105),2)</f>
        <v>34.22</v>
      </c>
      <c r="D62" s="56"/>
      <c r="E62" s="56">
        <f>ROUND($E$57+(A62*'Sch M'!$U$105),2)</f>
        <v>39.979999999999997</v>
      </c>
      <c r="F62" s="56"/>
      <c r="G62" s="54">
        <f t="shared" si="2"/>
        <v>5.759999999999998</v>
      </c>
      <c r="H62" s="46"/>
      <c r="I62" s="50">
        <f t="shared" si="3"/>
        <v>0.16832261835184098</v>
      </c>
    </row>
    <row r="63" spans="1:9" x14ac:dyDescent="0.25">
      <c r="A63" s="47">
        <v>5</v>
      </c>
      <c r="B63" s="55"/>
      <c r="C63" s="56">
        <f>ROUND($C$57+(A63*'Sch M'!$P$105),2)</f>
        <v>36.630000000000003</v>
      </c>
      <c r="D63" s="56"/>
      <c r="E63" s="56">
        <f>ROUND($E$57+(A63*'Sch M'!$U$105),2)</f>
        <v>42.78</v>
      </c>
      <c r="F63" s="56"/>
      <c r="G63" s="54">
        <f t="shared" si="2"/>
        <v>6.1499999999999986</v>
      </c>
      <c r="H63" s="46"/>
      <c r="I63" s="50">
        <f t="shared" si="3"/>
        <v>0.16789516789516784</v>
      </c>
    </row>
    <row r="64" spans="1:9" x14ac:dyDescent="0.25">
      <c r="A64" s="47">
        <v>6</v>
      </c>
      <c r="B64" s="55"/>
      <c r="C64" s="53">
        <f>ROUND($C$57+(A64*'Sch M'!$P$105),2)</f>
        <v>41.46</v>
      </c>
      <c r="D64" s="56"/>
      <c r="E64" s="53">
        <f>ROUND($E$57+(A64*'Sch M'!$U$105),2)</f>
        <v>48.36</v>
      </c>
      <c r="F64" s="56"/>
      <c r="G64" s="54">
        <f t="shared" si="2"/>
        <v>6.8999999999999986</v>
      </c>
      <c r="H64" s="46"/>
      <c r="I64" s="50">
        <f t="shared" si="3"/>
        <v>0.16642547033285091</v>
      </c>
    </row>
    <row r="65" spans="1:9" x14ac:dyDescent="0.25">
      <c r="A65" s="47">
        <v>7</v>
      </c>
      <c r="B65" s="55"/>
      <c r="C65" s="53">
        <f>ROUND($C$57+(A65*'Sch M'!$P$105),2)</f>
        <v>46.29</v>
      </c>
      <c r="D65" s="56"/>
      <c r="E65" s="53">
        <f>ROUND($E$57+(A65*'Sch M'!$U$105),2)</f>
        <v>53.95</v>
      </c>
      <c r="F65" s="56"/>
      <c r="G65" s="54">
        <f t="shared" si="2"/>
        <v>7.6600000000000037</v>
      </c>
      <c r="H65" s="46"/>
      <c r="I65" s="50">
        <f t="shared" si="3"/>
        <v>0.16547850507669051</v>
      </c>
    </row>
    <row r="66" spans="1:9" x14ac:dyDescent="0.25">
      <c r="A66" s="47">
        <v>8</v>
      </c>
      <c r="B66" s="55"/>
      <c r="C66" s="53">
        <f>ROUND($C$57+(A66*'Sch M'!$P$105),2)</f>
        <v>51.11</v>
      </c>
      <c r="D66" s="56"/>
      <c r="E66" s="53">
        <f>ROUND($E$57+(A66*'Sch M'!$U$105),2)</f>
        <v>59.53</v>
      </c>
      <c r="F66" s="56"/>
      <c r="G66" s="54">
        <f t="shared" si="2"/>
        <v>8.4200000000000017</v>
      </c>
      <c r="H66" s="46"/>
      <c r="I66" s="50">
        <f t="shared" si="3"/>
        <v>0.16474271179808261</v>
      </c>
    </row>
    <row r="67" spans="1:9" x14ac:dyDescent="0.25">
      <c r="A67" s="47">
        <v>9</v>
      </c>
      <c r="B67" s="55"/>
      <c r="C67" s="53">
        <f>ROUND($C$57+(A67*'Sch M'!$P$105),2)</f>
        <v>55.94</v>
      </c>
      <c r="D67" s="56"/>
      <c r="E67" s="53">
        <f>ROUND($E$57+(A67*'Sch M'!$U$105),2)</f>
        <v>65.12</v>
      </c>
      <c r="F67" s="56"/>
      <c r="G67" s="54">
        <f t="shared" si="2"/>
        <v>9.1800000000000068</v>
      </c>
      <c r="H67" s="46"/>
      <c r="I67" s="50">
        <f t="shared" si="3"/>
        <v>0.16410439756882386</v>
      </c>
    </row>
    <row r="68" spans="1:9" x14ac:dyDescent="0.25">
      <c r="A68" s="52">
        <v>10</v>
      </c>
      <c r="B68" s="38"/>
      <c r="C68" s="53">
        <f>ROUND($C$57+(A68*'Sch M'!$P$105),2)</f>
        <v>60.77</v>
      </c>
      <c r="D68" s="53"/>
      <c r="E68" s="53">
        <f>ROUND($E$57+(A68*'Sch M'!$U$105),2)</f>
        <v>70.7</v>
      </c>
      <c r="F68" s="53"/>
      <c r="G68" s="54">
        <f t="shared" si="2"/>
        <v>9.93</v>
      </c>
      <c r="H68" s="42"/>
      <c r="I68" s="50">
        <f t="shared" si="3"/>
        <v>0.16340299489879873</v>
      </c>
    </row>
    <row r="69" spans="1:9" x14ac:dyDescent="0.25">
      <c r="A69" s="52">
        <v>15</v>
      </c>
      <c r="B69" s="38"/>
      <c r="C69" s="53">
        <f>ROUND($C$57+(A69*'Sch M'!$P$105),2)</f>
        <v>84.91</v>
      </c>
      <c r="D69" s="53"/>
      <c r="E69" s="53">
        <f>ROUND($E$57+(A69*'Sch M'!$U$105),2)</f>
        <v>98.63</v>
      </c>
      <c r="F69" s="53"/>
      <c r="G69" s="54">
        <f t="shared" si="2"/>
        <v>13.719999999999999</v>
      </c>
      <c r="H69" s="42"/>
      <c r="I69" s="50">
        <f t="shared" si="3"/>
        <v>0.16158285243198681</v>
      </c>
    </row>
    <row r="70" spans="1:9" x14ac:dyDescent="0.25">
      <c r="A70" s="52">
        <v>20</v>
      </c>
      <c r="B70" s="38"/>
      <c r="C70" s="53">
        <f>ROUND($C$57+(A70*'Sch M'!$P$105),2)</f>
        <v>109.05</v>
      </c>
      <c r="D70" s="53"/>
      <c r="E70" s="53">
        <f>ROUND($E$57+(A70*'Sch M'!$U$105),2)</f>
        <v>126.55</v>
      </c>
      <c r="F70" s="53"/>
      <c r="G70" s="54">
        <f t="shared" si="2"/>
        <v>17.5</v>
      </c>
      <c r="H70" s="42"/>
      <c r="I70" s="50">
        <f t="shared" si="3"/>
        <v>0.16047684548372307</v>
      </c>
    </row>
    <row r="71" spans="1:9" x14ac:dyDescent="0.25">
      <c r="A71" s="52">
        <v>25</v>
      </c>
      <c r="B71" s="38"/>
      <c r="C71" s="53">
        <f>ROUND($C$57+(A71*'Sch M'!$P$105),2)</f>
        <v>133.19</v>
      </c>
      <c r="D71" s="53"/>
      <c r="E71" s="53">
        <f>ROUND($E$57+(A71*'Sch M'!$U$105),2)</f>
        <v>154.47999999999999</v>
      </c>
      <c r="F71" s="53"/>
      <c r="G71" s="54">
        <f t="shared" si="2"/>
        <v>21.289999999999992</v>
      </c>
      <c r="H71" s="42"/>
      <c r="I71" s="50">
        <f t="shared" si="3"/>
        <v>0.15984683534799904</v>
      </c>
    </row>
    <row r="72" spans="1:9" x14ac:dyDescent="0.25">
      <c r="A72" s="68">
        <v>32.200000000000003</v>
      </c>
      <c r="B72" s="57"/>
      <c r="C72" s="58">
        <f>ROUND($C$57+(A72*'Sch M'!$P$105),2)</f>
        <v>167.95</v>
      </c>
      <c r="D72" s="58"/>
      <c r="E72" s="58">
        <f>ROUND($E$57+(A72*'Sch M'!$U$105),2)</f>
        <v>194.69</v>
      </c>
      <c r="F72" s="58"/>
      <c r="G72" s="59">
        <f t="shared" si="2"/>
        <v>26.740000000000009</v>
      </c>
      <c r="H72" s="60"/>
      <c r="I72" s="61">
        <f t="shared" si="3"/>
        <v>0.15921405180113135</v>
      </c>
    </row>
    <row r="73" spans="1:9" x14ac:dyDescent="0.25">
      <c r="A73" s="52">
        <v>35</v>
      </c>
      <c r="B73" s="38"/>
      <c r="C73" s="53">
        <f>ROUND($C$57+(A73*'Sch M'!$P$105),2)</f>
        <v>181.47</v>
      </c>
      <c r="D73" s="53"/>
      <c r="E73" s="53">
        <f>ROUND($E$57+(A73*'Sch M'!$U$105),2)</f>
        <v>210.33</v>
      </c>
      <c r="F73" s="53"/>
      <c r="G73" s="54">
        <f t="shared" si="2"/>
        <v>28.860000000000014</v>
      </c>
      <c r="H73" s="42"/>
      <c r="I73" s="50">
        <f t="shared" si="3"/>
        <v>0.15903455116548199</v>
      </c>
    </row>
    <row r="74" spans="1:9" x14ac:dyDescent="0.25">
      <c r="A74" s="47">
        <v>36</v>
      </c>
      <c r="B74" s="55"/>
      <c r="C74" s="56">
        <f>ROUND($C$57+(A74*'Sch M'!$P$105),2)</f>
        <v>186.3</v>
      </c>
      <c r="D74" s="56"/>
      <c r="E74" s="56">
        <f>ROUND($E$57+(A74*'Sch M'!$U$105),2)</f>
        <v>215.91</v>
      </c>
      <c r="F74" s="56"/>
      <c r="G74" s="54">
        <f t="shared" si="2"/>
        <v>29.609999999999985</v>
      </c>
      <c r="H74" s="46"/>
      <c r="I74" s="50">
        <f t="shared" si="3"/>
        <v>0.15893719806763276</v>
      </c>
    </row>
    <row r="75" spans="1:9" x14ac:dyDescent="0.25">
      <c r="A75" s="52">
        <v>40</v>
      </c>
      <c r="B75" s="38"/>
      <c r="C75" s="53">
        <f>ROUND($C$57+(A75*'Sch M'!$P$105),2)</f>
        <v>205.61</v>
      </c>
      <c r="D75" s="53"/>
      <c r="E75" s="53">
        <f>ROUND($E$57+(A75*'Sch M'!$U$105),2)</f>
        <v>238.25</v>
      </c>
      <c r="F75" s="53"/>
      <c r="G75" s="54">
        <f t="shared" si="2"/>
        <v>32.639999999999986</v>
      </c>
      <c r="H75" s="42"/>
      <c r="I75" s="50">
        <f t="shared" si="3"/>
        <v>0.15874714264870379</v>
      </c>
    </row>
    <row r="76" spans="1:9" x14ac:dyDescent="0.25">
      <c r="A76" s="52">
        <v>50</v>
      </c>
      <c r="B76" s="38"/>
      <c r="C76" s="53">
        <f>ROUND($C$57+(A76*'Sch M'!$P$105),2)</f>
        <v>253.89</v>
      </c>
      <c r="D76" s="53"/>
      <c r="E76" s="53">
        <f>ROUND($E$57+(A76*'Sch M'!$U$105),2)</f>
        <v>294.10000000000002</v>
      </c>
      <c r="F76" s="53"/>
      <c r="G76" s="54">
        <f t="shared" si="2"/>
        <v>40.210000000000036</v>
      </c>
      <c r="H76" s="42"/>
      <c r="I76" s="50">
        <f t="shared" si="3"/>
        <v>0.15837567450470691</v>
      </c>
    </row>
    <row r="77" spans="1:9" x14ac:dyDescent="0.25">
      <c r="A77" s="52">
        <v>75</v>
      </c>
      <c r="B77" s="38"/>
      <c r="C77" s="53">
        <f>ROUND($C$57+(A77*'Sch M'!$P$105),2)</f>
        <v>374.59</v>
      </c>
      <c r="D77" s="53"/>
      <c r="E77" s="53">
        <f>ROUND($E$57+(A77*'Sch M'!$U$105),2)</f>
        <v>433.73</v>
      </c>
      <c r="F77" s="53"/>
      <c r="G77" s="54">
        <f t="shared" si="2"/>
        <v>59.140000000000043</v>
      </c>
      <c r="H77" s="42"/>
      <c r="I77" s="50">
        <f t="shared" si="3"/>
        <v>0.15787928134760684</v>
      </c>
    </row>
    <row r="78" spans="1:9" x14ac:dyDescent="0.25">
      <c r="A78" s="52">
        <v>100</v>
      </c>
      <c r="B78" s="38"/>
      <c r="C78" s="53">
        <f>ROUND($C$57+(A78*'Sch M'!$P$105),2)</f>
        <v>495.29</v>
      </c>
      <c r="D78" s="53"/>
      <c r="E78" s="53">
        <f>ROUND($E$57+(A78*'Sch M'!$U$105),2)</f>
        <v>573.35</v>
      </c>
      <c r="F78" s="53"/>
      <c r="G78" s="54">
        <f t="shared" si="2"/>
        <v>78.06</v>
      </c>
      <c r="H78" s="42"/>
      <c r="I78" s="50">
        <f t="shared" si="3"/>
        <v>0.15760463566799249</v>
      </c>
    </row>
    <row r="79" spans="1:9" x14ac:dyDescent="0.25">
      <c r="A79" s="38"/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38"/>
      <c r="B80" s="38"/>
      <c r="C80" s="38"/>
      <c r="D80" s="38"/>
      <c r="E80" s="38"/>
      <c r="F80" s="38"/>
      <c r="G80" s="38"/>
      <c r="H80" s="38"/>
      <c r="I80" s="38"/>
    </row>
    <row r="81" spans="1:10" x14ac:dyDescent="0.25">
      <c r="A81" s="38" t="s">
        <v>128</v>
      </c>
      <c r="B81" s="38"/>
      <c r="C81" s="56">
        <f>C72</f>
        <v>167.95</v>
      </c>
      <c r="D81" s="62"/>
      <c r="E81" s="56">
        <f>E72</f>
        <v>194.69</v>
      </c>
      <c r="F81" s="62"/>
      <c r="G81" s="56">
        <f>G72</f>
        <v>26.740000000000009</v>
      </c>
      <c r="H81" s="46"/>
      <c r="I81" s="50">
        <f>I72</f>
        <v>0.15921405180113135</v>
      </c>
    </row>
    <row r="84" spans="1:10" x14ac:dyDescent="0.25">
      <c r="A84" s="89"/>
      <c r="B84" s="89"/>
      <c r="C84" s="89"/>
      <c r="D84" s="89"/>
      <c r="E84" s="89"/>
      <c r="F84" s="89"/>
      <c r="G84" s="89"/>
      <c r="H84" s="89"/>
      <c r="I84" s="90"/>
      <c r="J84" s="89"/>
    </row>
    <row r="85" spans="1:10" x14ac:dyDescent="0.25">
      <c r="A85" s="91"/>
      <c r="G85" s="89"/>
      <c r="H85" s="89"/>
      <c r="J85" s="89"/>
    </row>
    <row r="86" spans="1:10" x14ac:dyDescent="0.25">
      <c r="A86" s="91"/>
      <c r="G86" s="89"/>
      <c r="H86" s="89"/>
      <c r="J86" s="89"/>
    </row>
    <row r="87" spans="1:10" x14ac:dyDescent="0.25">
      <c r="A87" s="89"/>
      <c r="B87" s="89"/>
      <c r="C87" s="89"/>
      <c r="D87" s="89"/>
      <c r="E87" s="89"/>
      <c r="F87" s="89"/>
      <c r="G87" s="89"/>
      <c r="H87" s="89"/>
      <c r="I87" s="89"/>
      <c r="J87" s="89"/>
    </row>
    <row r="88" spans="1:10" x14ac:dyDescent="0.25">
      <c r="A88" s="328" t="str">
        <f>A46</f>
        <v>Kentucky American Water Company</v>
      </c>
      <c r="B88" s="328"/>
      <c r="C88" s="328"/>
      <c r="D88" s="328"/>
      <c r="E88" s="328"/>
      <c r="F88" s="328"/>
      <c r="G88" s="328"/>
      <c r="H88" s="328"/>
      <c r="I88" s="328"/>
      <c r="J88" s="89"/>
    </row>
    <row r="89" spans="1:10" x14ac:dyDescent="0.25">
      <c r="A89" s="327" t="str">
        <f t="shared" ref="A89:A90" si="4">A47</f>
        <v>Case No. 2015-00418</v>
      </c>
      <c r="B89" s="327"/>
      <c r="C89" s="327"/>
      <c r="D89" s="327"/>
      <c r="E89" s="327"/>
      <c r="F89" s="327"/>
      <c r="G89" s="327"/>
      <c r="H89" s="327"/>
      <c r="I89" s="327"/>
    </row>
    <row r="90" spans="1:10" x14ac:dyDescent="0.25">
      <c r="A90" s="327" t="str">
        <f t="shared" si="4"/>
        <v>Forecast Year for the 12 Months Ended August 31, 2017</v>
      </c>
      <c r="B90" s="327"/>
      <c r="C90" s="327"/>
      <c r="D90" s="327"/>
      <c r="E90" s="327"/>
      <c r="F90" s="327"/>
      <c r="G90" s="327"/>
      <c r="H90" s="327"/>
      <c r="I90" s="327"/>
    </row>
    <row r="91" spans="1:10" x14ac:dyDescent="0.25">
      <c r="A91" s="327" t="s">
        <v>135</v>
      </c>
      <c r="B91" s="327"/>
      <c r="C91" s="327"/>
      <c r="D91" s="327"/>
      <c r="E91" s="327"/>
      <c r="F91" s="327"/>
      <c r="G91" s="327"/>
      <c r="H91" s="327"/>
      <c r="I91" s="327"/>
    </row>
    <row r="92" spans="1:10" x14ac:dyDescent="0.25">
      <c r="A92" s="327" t="s">
        <v>131</v>
      </c>
      <c r="B92" s="327"/>
      <c r="C92" s="327"/>
      <c r="D92" s="327"/>
      <c r="E92" s="327"/>
      <c r="F92" s="327"/>
      <c r="G92" s="327"/>
      <c r="H92" s="327"/>
      <c r="I92" s="327"/>
    </row>
    <row r="94" spans="1:10" x14ac:dyDescent="0.25">
      <c r="A94" s="94" t="str">
        <f>A52</f>
        <v>Witness Responsible:   Linda Bridwell</v>
      </c>
      <c r="B94" s="94"/>
      <c r="C94" s="94"/>
      <c r="D94" s="94"/>
      <c r="E94" s="94"/>
      <c r="F94" s="94"/>
      <c r="G94" s="94"/>
      <c r="H94" s="94"/>
      <c r="I94" s="92" t="s">
        <v>189</v>
      </c>
    </row>
    <row r="95" spans="1:10" x14ac:dyDescent="0.25">
      <c r="A95" s="94" t="str">
        <f>'Link in'!$A$85</f>
        <v/>
      </c>
      <c r="B95" s="42"/>
      <c r="C95" s="42"/>
      <c r="D95" s="42"/>
      <c r="E95" s="42"/>
      <c r="F95" s="42"/>
      <c r="G95" s="42"/>
      <c r="H95" s="42"/>
      <c r="I95" s="97" t="e">
        <f ca="1">RIGHT(CELL("filename",$A$1),LEN(CELL("filename",$A$1))-SEARCH("\Revenues",CELL("filename",$A$1),1))</f>
        <v>#VALUE!</v>
      </c>
    </row>
    <row r="96" spans="1:10" x14ac:dyDescent="0.25">
      <c r="A96" s="38"/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43" t="s">
        <v>18</v>
      </c>
      <c r="B97" s="42"/>
      <c r="C97" s="44" t="s">
        <v>79</v>
      </c>
      <c r="D97" s="44"/>
      <c r="E97" s="44" t="s">
        <v>73</v>
      </c>
      <c r="F97" s="44"/>
      <c r="G97" s="44"/>
      <c r="H97" s="44"/>
      <c r="I97" s="44" t="s">
        <v>53</v>
      </c>
    </row>
    <row r="98" spans="1:9" x14ac:dyDescent="0.25">
      <c r="A98" s="45" t="s">
        <v>129</v>
      </c>
      <c r="B98" s="42"/>
      <c r="C98" s="45" t="s">
        <v>46</v>
      </c>
      <c r="D98" s="44"/>
      <c r="E98" s="45" t="s">
        <v>46</v>
      </c>
      <c r="F98" s="44"/>
      <c r="G98" s="45" t="s">
        <v>127</v>
      </c>
      <c r="H98" s="44"/>
      <c r="I98" s="45" t="s">
        <v>127</v>
      </c>
    </row>
    <row r="99" spans="1:9" x14ac:dyDescent="0.25">
      <c r="A99" s="47">
        <v>0</v>
      </c>
      <c r="B99" s="42"/>
      <c r="C99" s="67">
        <f>'Sch M'!P134</f>
        <v>99.92</v>
      </c>
      <c r="D99" s="48"/>
      <c r="E99" s="67">
        <f>'Sch M'!U134</f>
        <v>118.8</v>
      </c>
      <c r="F99" s="48"/>
      <c r="G99" s="67">
        <f>+E99-C99</f>
        <v>18.879999999999995</v>
      </c>
      <c r="H99" s="42"/>
      <c r="I99" s="50">
        <f>+G99/C99</f>
        <v>0.18895116092874295</v>
      </c>
    </row>
    <row r="100" spans="1:9" x14ac:dyDescent="0.25">
      <c r="A100" s="52">
        <v>10</v>
      </c>
      <c r="B100" s="38"/>
      <c r="C100" s="53">
        <f>ROUND($C$99+(A100*'Sch M'!$P$144),2)</f>
        <v>138.87</v>
      </c>
      <c r="D100" s="53"/>
      <c r="E100" s="53">
        <f>ROUND($E$99+(A100*'Sch M'!$U$144),2)</f>
        <v>168.02</v>
      </c>
      <c r="F100" s="53"/>
      <c r="G100" s="54">
        <f t="shared" ref="G100:G120" si="5">+E100-C100</f>
        <v>29.150000000000006</v>
      </c>
      <c r="H100" s="42"/>
      <c r="I100" s="50">
        <f t="shared" ref="I100:I120" si="6">+G100/C100</f>
        <v>0.20990854756246852</v>
      </c>
    </row>
    <row r="101" spans="1:9" x14ac:dyDescent="0.25">
      <c r="A101" s="52">
        <v>25</v>
      </c>
      <c r="B101" s="38"/>
      <c r="C101" s="53">
        <f>ROUND($C$99+(A101*'Sch M'!$P$144),2)</f>
        <v>197.29</v>
      </c>
      <c r="D101" s="53"/>
      <c r="E101" s="53">
        <f>ROUND($E$99+(A101*'Sch M'!$U$144),2)</f>
        <v>241.85</v>
      </c>
      <c r="F101" s="53"/>
      <c r="G101" s="54">
        <f t="shared" si="5"/>
        <v>44.56</v>
      </c>
      <c r="H101" s="42"/>
      <c r="I101" s="50">
        <f t="shared" si="6"/>
        <v>0.2258604085356582</v>
      </c>
    </row>
    <row r="102" spans="1:9" x14ac:dyDescent="0.25">
      <c r="A102" s="52">
        <v>50</v>
      </c>
      <c r="B102" s="38"/>
      <c r="C102" s="53">
        <f>ROUND($C$99+(A102*'Sch M'!$P$144),2)</f>
        <v>294.64999999999998</v>
      </c>
      <c r="D102" s="53"/>
      <c r="E102" s="53">
        <f>ROUND($E$99+(A102*'Sch M'!$U$144),2)</f>
        <v>364.9</v>
      </c>
      <c r="F102" s="53"/>
      <c r="G102" s="54">
        <f t="shared" si="5"/>
        <v>70.25</v>
      </c>
      <c r="H102" s="42"/>
      <c r="I102" s="50">
        <f t="shared" si="6"/>
        <v>0.23841846258272528</v>
      </c>
    </row>
    <row r="103" spans="1:9" x14ac:dyDescent="0.25">
      <c r="A103" s="47">
        <v>75</v>
      </c>
      <c r="B103" s="55"/>
      <c r="C103" s="53">
        <f>ROUND($C$99+(A103*'Sch M'!$P$144),2)</f>
        <v>392.02</v>
      </c>
      <c r="D103" s="56"/>
      <c r="E103" s="53">
        <f>ROUND($E$99+(A103*'Sch M'!$U$144),2)</f>
        <v>487.95</v>
      </c>
      <c r="F103" s="56"/>
      <c r="G103" s="54">
        <f t="shared" si="5"/>
        <v>95.93</v>
      </c>
      <c r="H103" s="46"/>
      <c r="I103" s="50">
        <f t="shared" si="6"/>
        <v>0.24470690270904549</v>
      </c>
    </row>
    <row r="104" spans="1:9" x14ac:dyDescent="0.25">
      <c r="A104" s="47">
        <v>100</v>
      </c>
      <c r="B104" s="55"/>
      <c r="C104" s="53">
        <f>ROUND($C$99+(A104*'Sch M'!$P$144),2)</f>
        <v>489.39</v>
      </c>
      <c r="D104" s="56"/>
      <c r="E104" s="53">
        <f>ROUND($E$99+(A104*'Sch M'!$U$144),2)</f>
        <v>611</v>
      </c>
      <c r="F104" s="56"/>
      <c r="G104" s="54">
        <f t="shared" si="5"/>
        <v>121.61000000000001</v>
      </c>
      <c r="H104" s="46"/>
      <c r="I104" s="50">
        <f t="shared" si="6"/>
        <v>0.24849302192525391</v>
      </c>
    </row>
    <row r="105" spans="1:9" x14ac:dyDescent="0.25">
      <c r="A105" s="47">
        <v>150</v>
      </c>
      <c r="B105" s="55"/>
      <c r="C105" s="53">
        <f>ROUND($C$99+(A105*'Sch M'!$P$144),2)</f>
        <v>684.12</v>
      </c>
      <c r="D105" s="56"/>
      <c r="E105" s="53">
        <f>ROUND($E$99+(A105*'Sch M'!$U$144),2)</f>
        <v>857.1</v>
      </c>
      <c r="F105" s="56"/>
      <c r="G105" s="54">
        <f t="shared" si="5"/>
        <v>172.98000000000002</v>
      </c>
      <c r="H105" s="46"/>
      <c r="I105" s="50">
        <f t="shared" si="6"/>
        <v>0.2528503771268199</v>
      </c>
    </row>
    <row r="106" spans="1:9" x14ac:dyDescent="0.25">
      <c r="A106" s="47">
        <v>200</v>
      </c>
      <c r="B106" s="55"/>
      <c r="C106" s="53">
        <f>ROUND($C$99+(A106*'Sch M'!$P$144),2)</f>
        <v>878.85</v>
      </c>
      <c r="D106" s="56"/>
      <c r="E106" s="53">
        <f>ROUND($E$99+(A106*'Sch M'!$U$144),2)</f>
        <v>1103.2</v>
      </c>
      <c r="F106" s="56"/>
      <c r="G106" s="54">
        <f t="shared" si="5"/>
        <v>224.35000000000002</v>
      </c>
      <c r="H106" s="46"/>
      <c r="I106" s="50">
        <f t="shared" si="6"/>
        <v>0.25527678215850264</v>
      </c>
    </row>
    <row r="107" spans="1:9" x14ac:dyDescent="0.25">
      <c r="A107" s="47">
        <v>250</v>
      </c>
      <c r="B107" s="55"/>
      <c r="C107" s="53">
        <f>ROUND($C$99+(A107*'Sch M'!$P$144),2)</f>
        <v>1073.5899999999999</v>
      </c>
      <c r="D107" s="56"/>
      <c r="E107" s="53">
        <f>ROUND($E$99+(A107*'Sch M'!$U$144),2)</f>
        <v>1349.3</v>
      </c>
      <c r="F107" s="56"/>
      <c r="G107" s="54">
        <f t="shared" si="5"/>
        <v>275.71000000000004</v>
      </c>
      <c r="H107" s="46"/>
      <c r="I107" s="50">
        <f t="shared" si="6"/>
        <v>0.25681125941933147</v>
      </c>
    </row>
    <row r="108" spans="1:9" x14ac:dyDescent="0.25">
      <c r="A108" s="47">
        <v>500</v>
      </c>
      <c r="B108" s="55"/>
      <c r="C108" s="53">
        <f>ROUND($C$99+(A108*'Sch M'!$P$144),2)</f>
        <v>2047.26</v>
      </c>
      <c r="D108" s="56"/>
      <c r="E108" s="53">
        <f>ROUND($E$99+(A108*'Sch M'!$U$144),2)</f>
        <v>2579.8000000000002</v>
      </c>
      <c r="F108" s="56"/>
      <c r="G108" s="54">
        <f t="shared" si="5"/>
        <v>532.54000000000019</v>
      </c>
      <c r="H108" s="46"/>
      <c r="I108" s="50">
        <f t="shared" si="6"/>
        <v>0.26012328673446472</v>
      </c>
    </row>
    <row r="109" spans="1:9" x14ac:dyDescent="0.25">
      <c r="A109" s="47">
        <v>750</v>
      </c>
      <c r="B109" s="55"/>
      <c r="C109" s="53">
        <f>ROUND($C$99+(A109*'Sch M'!$P$144),2)</f>
        <v>3020.92</v>
      </c>
      <c r="D109" s="56"/>
      <c r="E109" s="53">
        <f>ROUND($E$99+(A109*'Sch M'!$U$144),2)</f>
        <v>3810.3</v>
      </c>
      <c r="F109" s="56"/>
      <c r="G109" s="54">
        <f t="shared" si="5"/>
        <v>789.38000000000011</v>
      </c>
      <c r="H109" s="46"/>
      <c r="I109" s="50">
        <f t="shared" si="6"/>
        <v>0.26130450326390636</v>
      </c>
    </row>
    <row r="110" spans="1:9" x14ac:dyDescent="0.25">
      <c r="A110" s="52">
        <v>1000</v>
      </c>
      <c r="B110" s="38"/>
      <c r="C110" s="53">
        <f>ROUND($C$99+(A110*'Sch M'!$P$144),2)</f>
        <v>3994.59</v>
      </c>
      <c r="D110" s="53"/>
      <c r="E110" s="53">
        <f>ROUND($E$99+(A110*'Sch M'!$U$144),2)</f>
        <v>5040.8</v>
      </c>
      <c r="F110" s="53"/>
      <c r="G110" s="54">
        <f t="shared" si="5"/>
        <v>1046.21</v>
      </c>
      <c r="H110" s="42"/>
      <c r="I110" s="50">
        <f t="shared" si="6"/>
        <v>0.26190672885077065</v>
      </c>
    </row>
    <row r="111" spans="1:9" x14ac:dyDescent="0.25">
      <c r="A111" s="52">
        <v>1250</v>
      </c>
      <c r="B111" s="38"/>
      <c r="C111" s="53">
        <f>ROUND($C$99+(A111*'Sch M'!$P$144),2)</f>
        <v>4968.26</v>
      </c>
      <c r="D111" s="53"/>
      <c r="E111" s="53">
        <f>ROUND($E$99+(A111*'Sch M'!$U$144),2)</f>
        <v>6271.3</v>
      </c>
      <c r="F111" s="53"/>
      <c r="G111" s="54">
        <f t="shared" si="5"/>
        <v>1303.04</v>
      </c>
      <c r="H111" s="42"/>
      <c r="I111" s="50">
        <f t="shared" si="6"/>
        <v>0.26227290842266709</v>
      </c>
    </row>
    <row r="112" spans="1:9" x14ac:dyDescent="0.25">
      <c r="A112" s="52">
        <v>1500</v>
      </c>
      <c r="B112" s="38"/>
      <c r="C112" s="53">
        <f>ROUND($C$99+(A112*'Sch M'!$P$144),2)</f>
        <v>5941.93</v>
      </c>
      <c r="D112" s="53"/>
      <c r="E112" s="53">
        <f>ROUND($E$99+(A112*'Sch M'!$U$144),2)</f>
        <v>7501.8</v>
      </c>
      <c r="F112" s="53"/>
      <c r="G112" s="54">
        <f t="shared" si="5"/>
        <v>1559.87</v>
      </c>
      <c r="H112" s="42"/>
      <c r="I112" s="50">
        <f t="shared" si="6"/>
        <v>0.26251908050078004</v>
      </c>
    </row>
    <row r="113" spans="1:10" x14ac:dyDescent="0.25">
      <c r="A113" s="68">
        <v>1984.3</v>
      </c>
      <c r="B113" s="57"/>
      <c r="C113" s="58">
        <f>ROUND($C$99+(A113*'Sch M'!$P$144),2)</f>
        <v>7828.11</v>
      </c>
      <c r="D113" s="58"/>
      <c r="E113" s="58">
        <f>ROUND($E$99+(A113*'Sch M'!$U$144),2)</f>
        <v>9885.52</v>
      </c>
      <c r="F113" s="58"/>
      <c r="G113" s="59">
        <f t="shared" si="5"/>
        <v>2057.4100000000008</v>
      </c>
      <c r="H113" s="60"/>
      <c r="I113" s="61">
        <f t="shared" si="6"/>
        <v>0.26282333794491913</v>
      </c>
    </row>
    <row r="114" spans="1:10" x14ac:dyDescent="0.25">
      <c r="A114" s="315">
        <v>2092</v>
      </c>
      <c r="B114" s="310"/>
      <c r="C114" s="311">
        <f>ROUND($C$99+(A114*'Sch M'!$P$144),2)</f>
        <v>8247.57</v>
      </c>
      <c r="D114" s="311"/>
      <c r="E114" s="311">
        <f>ROUND($E$99+(A114*'Sch M'!$U$144),2)</f>
        <v>10415.620000000001</v>
      </c>
      <c r="F114" s="311"/>
      <c r="G114" s="312">
        <f t="shared" si="5"/>
        <v>2168.0500000000011</v>
      </c>
      <c r="H114" s="313"/>
      <c r="I114" s="314">
        <f t="shared" si="6"/>
        <v>0.2628713669602078</v>
      </c>
    </row>
    <row r="115" spans="1:10" x14ac:dyDescent="0.25">
      <c r="A115" s="52">
        <v>2500</v>
      </c>
      <c r="B115" s="38"/>
      <c r="C115" s="53">
        <f>ROUND($C$99+(A115*'Sch M'!$P$144),2)</f>
        <v>9836.6</v>
      </c>
      <c r="D115" s="53"/>
      <c r="E115" s="53">
        <f>ROUND($E$99+(A115*'Sch M'!$U$144),2)</f>
        <v>12423.8</v>
      </c>
      <c r="F115" s="53"/>
      <c r="G115" s="54">
        <f t="shared" si="5"/>
        <v>2587.1999999999989</v>
      </c>
      <c r="H115" s="42"/>
      <c r="I115" s="50">
        <f t="shared" si="6"/>
        <v>0.26301770937112406</v>
      </c>
    </row>
    <row r="116" spans="1:10" x14ac:dyDescent="0.25">
      <c r="A116" s="52">
        <v>2750</v>
      </c>
      <c r="B116" s="38"/>
      <c r="C116" s="53">
        <f>ROUND($C$99+(A116*'Sch M'!$P$144),2)</f>
        <v>10810.26</v>
      </c>
      <c r="D116" s="53"/>
      <c r="E116" s="53">
        <f>ROUND($E$99+(A116*'Sch M'!$U$144),2)</f>
        <v>13654.3</v>
      </c>
      <c r="F116" s="53"/>
      <c r="G116" s="54">
        <f t="shared" si="5"/>
        <v>2844.0399999999991</v>
      </c>
      <c r="H116" s="42"/>
      <c r="I116" s="50">
        <f t="shared" si="6"/>
        <v>0.26308710428796339</v>
      </c>
    </row>
    <row r="117" spans="1:10" x14ac:dyDescent="0.25">
      <c r="A117" s="52">
        <v>3000</v>
      </c>
      <c r="B117" s="38"/>
      <c r="C117" s="53">
        <f>ROUND($C$99+(A117*'Sch M'!$P$144),2)</f>
        <v>11783.93</v>
      </c>
      <c r="D117" s="53"/>
      <c r="E117" s="53">
        <f>ROUND($E$99+(A117*'Sch M'!$U$144),2)</f>
        <v>14884.8</v>
      </c>
      <c r="F117" s="53"/>
      <c r="G117" s="54">
        <f t="shared" si="5"/>
        <v>3100.869999999999</v>
      </c>
      <c r="H117" s="42"/>
      <c r="I117" s="50">
        <f t="shared" si="6"/>
        <v>0.26314395961279463</v>
      </c>
    </row>
    <row r="118" spans="1:10" x14ac:dyDescent="0.25">
      <c r="A118" s="52">
        <v>5000</v>
      </c>
      <c r="B118" s="38"/>
      <c r="C118" s="53">
        <f>ROUND($C$99+(A118*'Sch M'!$P$144),2)</f>
        <v>19573.27</v>
      </c>
      <c r="D118" s="53"/>
      <c r="E118" s="53">
        <f>ROUND($E$99+(A118*'Sch M'!$U$144),2)</f>
        <v>24728.799999999999</v>
      </c>
      <c r="F118" s="53"/>
      <c r="G118" s="54">
        <f t="shared" si="5"/>
        <v>5155.5299999999988</v>
      </c>
      <c r="H118" s="42"/>
      <c r="I118" s="50">
        <f t="shared" si="6"/>
        <v>0.26339645853758714</v>
      </c>
    </row>
    <row r="119" spans="1:10" x14ac:dyDescent="0.25">
      <c r="A119" s="52">
        <v>10000</v>
      </c>
      <c r="B119" s="38"/>
      <c r="C119" s="53">
        <f>ROUND($C$99+(A119*'Sch M'!$P$144),2)</f>
        <v>39046.620000000003</v>
      </c>
      <c r="D119" s="53"/>
      <c r="E119" s="53">
        <f>ROUND($E$99+(A119*'Sch M'!$U$144),2)</f>
        <v>49338.8</v>
      </c>
      <c r="F119" s="53"/>
      <c r="G119" s="54">
        <f t="shared" si="5"/>
        <v>10292.18</v>
      </c>
      <c r="H119" s="42"/>
      <c r="I119" s="50">
        <f t="shared" si="6"/>
        <v>0.26358696348109001</v>
      </c>
    </row>
    <row r="120" spans="1:10" x14ac:dyDescent="0.25">
      <c r="A120" s="52">
        <v>20000</v>
      </c>
      <c r="B120" s="38"/>
      <c r="C120" s="53">
        <f>ROUND($C$99+(A120*'Sch M'!$P$144),2)</f>
        <v>77993.320000000007</v>
      </c>
      <c r="D120" s="53"/>
      <c r="E120" s="53">
        <f>ROUND($E$99+(A120*'Sch M'!$U$144),2)</f>
        <v>98558.8</v>
      </c>
      <c r="F120" s="53"/>
      <c r="G120" s="54">
        <f t="shared" si="5"/>
        <v>20565.479999999996</v>
      </c>
      <c r="H120" s="42"/>
      <c r="I120" s="50">
        <f t="shared" si="6"/>
        <v>0.26368258204677009</v>
      </c>
    </row>
    <row r="121" spans="1:10" x14ac:dyDescent="0.2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10" x14ac:dyDescent="0.2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10" x14ac:dyDescent="0.25">
      <c r="A123" s="38" t="s">
        <v>128</v>
      </c>
      <c r="B123" s="38"/>
      <c r="C123" s="56">
        <f>C113</f>
        <v>7828.11</v>
      </c>
      <c r="D123" s="62"/>
      <c r="E123" s="56">
        <f>E113</f>
        <v>9885.52</v>
      </c>
      <c r="F123" s="62"/>
      <c r="G123" s="56">
        <f>G113</f>
        <v>2057.4100000000008</v>
      </c>
      <c r="H123" s="46"/>
      <c r="I123" s="50">
        <f>I113</f>
        <v>0.26282333794491913</v>
      </c>
    </row>
    <row r="125" spans="1:10" x14ac:dyDescent="0.25">
      <c r="G125" s="89"/>
      <c r="H125" s="89"/>
      <c r="I125" s="89"/>
      <c r="J125" s="89"/>
    </row>
    <row r="126" spans="1:10" x14ac:dyDescent="0.25">
      <c r="G126" s="89"/>
      <c r="H126" s="89"/>
      <c r="I126" s="90"/>
      <c r="J126" s="89"/>
    </row>
    <row r="127" spans="1:10" x14ac:dyDescent="0.25">
      <c r="A127" s="91"/>
      <c r="G127" s="89"/>
      <c r="H127" s="89"/>
      <c r="J127" s="89"/>
    </row>
    <row r="128" spans="1:10" x14ac:dyDescent="0.25">
      <c r="A128" s="91"/>
      <c r="G128" s="89"/>
      <c r="H128" s="89"/>
      <c r="J128" s="89"/>
    </row>
    <row r="129" spans="1:10" x14ac:dyDescent="0.25">
      <c r="G129" s="89"/>
      <c r="H129" s="89"/>
      <c r="I129" s="89"/>
      <c r="J129" s="89"/>
    </row>
    <row r="130" spans="1:10" x14ac:dyDescent="0.25">
      <c r="A130" s="327" t="str">
        <f>A88</f>
        <v>Kentucky American Water Company</v>
      </c>
      <c r="B130" s="327"/>
      <c r="C130" s="327"/>
      <c r="D130" s="327"/>
      <c r="E130" s="327"/>
      <c r="F130" s="327"/>
      <c r="G130" s="327"/>
      <c r="H130" s="327"/>
      <c r="I130" s="327"/>
    </row>
    <row r="131" spans="1:10" x14ac:dyDescent="0.25">
      <c r="A131" s="327" t="str">
        <f t="shared" ref="A131:A132" si="7">A89</f>
        <v>Case No. 2015-00418</v>
      </c>
      <c r="B131" s="327"/>
      <c r="C131" s="327"/>
      <c r="D131" s="327"/>
      <c r="E131" s="327"/>
      <c r="F131" s="327"/>
      <c r="G131" s="327"/>
      <c r="H131" s="327"/>
      <c r="I131" s="327"/>
    </row>
    <row r="132" spans="1:10" x14ac:dyDescent="0.25">
      <c r="A132" s="327" t="str">
        <f t="shared" si="7"/>
        <v>Forecast Year for the 12 Months Ended August 31, 2017</v>
      </c>
      <c r="B132" s="327"/>
      <c r="C132" s="327"/>
      <c r="D132" s="327"/>
      <c r="E132" s="327"/>
      <c r="F132" s="327"/>
      <c r="G132" s="327"/>
      <c r="H132" s="327"/>
      <c r="I132" s="327"/>
    </row>
    <row r="133" spans="1:10" x14ac:dyDescent="0.25">
      <c r="A133" s="327" t="s">
        <v>135</v>
      </c>
      <c r="B133" s="327"/>
      <c r="C133" s="327"/>
      <c r="D133" s="327"/>
      <c r="E133" s="327"/>
      <c r="F133" s="327"/>
      <c r="G133" s="327"/>
      <c r="H133" s="327"/>
      <c r="I133" s="327"/>
    </row>
    <row r="134" spans="1:10" x14ac:dyDescent="0.25">
      <c r="A134" s="327" t="s">
        <v>132</v>
      </c>
      <c r="B134" s="327"/>
      <c r="C134" s="327"/>
      <c r="D134" s="327"/>
      <c r="E134" s="327"/>
      <c r="F134" s="327"/>
      <c r="G134" s="327"/>
      <c r="H134" s="327"/>
      <c r="I134" s="327"/>
    </row>
    <row r="136" spans="1:10" x14ac:dyDescent="0.25">
      <c r="A136" s="94" t="str">
        <f>A94</f>
        <v>Witness Responsible:   Linda Bridwell</v>
      </c>
      <c r="B136" s="94"/>
      <c r="C136" s="94"/>
      <c r="D136" s="94"/>
      <c r="E136" s="94"/>
      <c r="F136" s="94"/>
      <c r="G136" s="94"/>
      <c r="H136" s="94"/>
      <c r="I136" s="92" t="s">
        <v>189</v>
      </c>
    </row>
    <row r="137" spans="1:10" x14ac:dyDescent="0.25">
      <c r="A137" s="94" t="str">
        <f>'Link in'!$A$85</f>
        <v/>
      </c>
      <c r="B137" s="42"/>
      <c r="C137" s="42"/>
      <c r="D137" s="42"/>
      <c r="E137" s="42"/>
      <c r="F137" s="42"/>
      <c r="G137" s="42"/>
      <c r="H137" s="42"/>
      <c r="I137" s="97" t="e">
        <f ca="1">RIGHT(CELL("filename",$A$1),LEN(CELL("filename",$A$1))-SEARCH("\Revenues",CELL("filename",$A$1),1))</f>
        <v>#VALUE!</v>
      </c>
    </row>
    <row r="138" spans="1:10" x14ac:dyDescent="0.25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10" x14ac:dyDescent="0.25">
      <c r="A139" s="43" t="s">
        <v>18</v>
      </c>
      <c r="B139" s="42"/>
      <c r="C139" s="44" t="s">
        <v>79</v>
      </c>
      <c r="D139" s="44"/>
      <c r="E139" s="44" t="s">
        <v>73</v>
      </c>
      <c r="F139" s="44"/>
      <c r="G139" s="44"/>
      <c r="H139" s="44"/>
      <c r="I139" s="44" t="s">
        <v>53</v>
      </c>
    </row>
    <row r="140" spans="1:10" x14ac:dyDescent="0.25">
      <c r="A140" s="45" t="s">
        <v>129</v>
      </c>
      <c r="B140" s="42"/>
      <c r="C140" s="45" t="s">
        <v>46</v>
      </c>
      <c r="D140" s="44"/>
      <c r="E140" s="45" t="s">
        <v>46</v>
      </c>
      <c r="F140" s="44"/>
      <c r="G140" s="45" t="s">
        <v>127</v>
      </c>
      <c r="H140" s="44"/>
      <c r="I140" s="45" t="s">
        <v>127</v>
      </c>
    </row>
    <row r="141" spans="1:10" x14ac:dyDescent="0.25">
      <c r="A141" s="47">
        <v>0</v>
      </c>
      <c r="B141" s="42"/>
      <c r="C141" s="67">
        <f>'Sch M'!P173</f>
        <v>99.92</v>
      </c>
      <c r="D141" s="48"/>
      <c r="E141" s="67">
        <f>'Sch M'!U173</f>
        <v>118.8</v>
      </c>
      <c r="F141" s="48"/>
      <c r="G141" s="67">
        <f>+E141-C141</f>
        <v>18.879999999999995</v>
      </c>
      <c r="H141" s="42"/>
      <c r="I141" s="50">
        <f>+G141/C141</f>
        <v>0.18895116092874295</v>
      </c>
    </row>
    <row r="142" spans="1:10" x14ac:dyDescent="0.25">
      <c r="A142" s="52">
        <v>5</v>
      </c>
      <c r="B142" s="38"/>
      <c r="C142" s="53">
        <f>ROUND($C$141+(A142*'Sch M'!$P$183),2)</f>
        <v>121.15</v>
      </c>
      <c r="D142" s="53"/>
      <c r="E142" s="53">
        <f>ROUND($E$141+(A142*'Sch M'!$U$183),2)</f>
        <v>144.78</v>
      </c>
      <c r="F142" s="53"/>
      <c r="G142" s="54">
        <f t="shared" ref="G142:G162" si="8">+E142-C142</f>
        <v>23.629999999999995</v>
      </c>
      <c r="H142" s="42"/>
      <c r="I142" s="50">
        <f t="shared" ref="I142:I162" si="9">+G142/C142</f>
        <v>0.19504746182418484</v>
      </c>
    </row>
    <row r="143" spans="1:10" x14ac:dyDescent="0.25">
      <c r="A143" s="52">
        <v>10</v>
      </c>
      <c r="B143" s="38"/>
      <c r="C143" s="53">
        <f>ROUND($C$141+(A143*'Sch M'!$P$183),2)</f>
        <v>142.37</v>
      </c>
      <c r="D143" s="53"/>
      <c r="E143" s="53">
        <f>ROUND($E$141+(A143*'Sch M'!$U$183),2)</f>
        <v>170.75</v>
      </c>
      <c r="F143" s="53"/>
      <c r="G143" s="54">
        <f t="shared" si="8"/>
        <v>28.379999999999995</v>
      </c>
      <c r="H143" s="42"/>
      <c r="I143" s="50">
        <f t="shared" si="9"/>
        <v>0.19933974854252998</v>
      </c>
    </row>
    <row r="144" spans="1:10" x14ac:dyDescent="0.25">
      <c r="A144" s="52">
        <v>15</v>
      </c>
      <c r="B144" s="38"/>
      <c r="C144" s="53">
        <f>ROUND($C$141+(A144*'Sch M'!$P$183),2)</f>
        <v>163.6</v>
      </c>
      <c r="D144" s="53"/>
      <c r="E144" s="53">
        <f>ROUND($E$141+(A144*'Sch M'!$U$183),2)</f>
        <v>196.73</v>
      </c>
      <c r="F144" s="53"/>
      <c r="G144" s="54">
        <f t="shared" si="8"/>
        <v>33.129999999999995</v>
      </c>
      <c r="H144" s="42"/>
      <c r="I144" s="50">
        <f t="shared" si="9"/>
        <v>0.20250611246943764</v>
      </c>
    </row>
    <row r="145" spans="1:9" x14ac:dyDescent="0.25">
      <c r="A145" s="47">
        <v>25</v>
      </c>
      <c r="B145" s="55"/>
      <c r="C145" s="53">
        <f>ROUND($C$141+(A145*'Sch M'!$P$183),2)</f>
        <v>206.05</v>
      </c>
      <c r="D145" s="56"/>
      <c r="E145" s="53">
        <f>ROUND($E$141+(A145*'Sch M'!$U$183),2)</f>
        <v>248.68</v>
      </c>
      <c r="F145" s="56"/>
      <c r="G145" s="54">
        <f t="shared" si="8"/>
        <v>42.629999999999995</v>
      </c>
      <c r="H145" s="46"/>
      <c r="I145" s="50">
        <f t="shared" si="9"/>
        <v>0.20689153118175196</v>
      </c>
    </row>
    <row r="146" spans="1:9" x14ac:dyDescent="0.25">
      <c r="A146" s="47">
        <v>50</v>
      </c>
      <c r="B146" s="55"/>
      <c r="C146" s="53">
        <f>ROUND($C$141+(A146*'Sch M'!$P$183),2)</f>
        <v>312.18</v>
      </c>
      <c r="D146" s="56"/>
      <c r="E146" s="53">
        <f>ROUND($E$141+(A146*'Sch M'!$U$183),2)</f>
        <v>378.55</v>
      </c>
      <c r="F146" s="56"/>
      <c r="G146" s="54">
        <f t="shared" si="8"/>
        <v>66.37</v>
      </c>
      <c r="H146" s="46"/>
      <c r="I146" s="50">
        <f t="shared" si="9"/>
        <v>0.21260170414504453</v>
      </c>
    </row>
    <row r="147" spans="1:9" x14ac:dyDescent="0.25">
      <c r="A147" s="47">
        <v>75</v>
      </c>
      <c r="B147" s="55"/>
      <c r="C147" s="53">
        <f>ROUND($C$141+(A147*'Sch M'!$P$183),2)</f>
        <v>418.31</v>
      </c>
      <c r="D147" s="56"/>
      <c r="E147" s="53">
        <f>ROUND($E$141+(A147*'Sch M'!$U$183),2)</f>
        <v>508.43</v>
      </c>
      <c r="F147" s="56"/>
      <c r="G147" s="54">
        <f t="shared" si="8"/>
        <v>90.12</v>
      </c>
      <c r="H147" s="46"/>
      <c r="I147" s="50">
        <f t="shared" si="9"/>
        <v>0.21543831130023189</v>
      </c>
    </row>
    <row r="148" spans="1:9" x14ac:dyDescent="0.25">
      <c r="A148" s="47">
        <v>100</v>
      </c>
      <c r="B148" s="55"/>
      <c r="C148" s="53">
        <f>ROUND($C$141+(A148*'Sch M'!$P$183),2)</f>
        <v>524.44000000000005</v>
      </c>
      <c r="D148" s="56"/>
      <c r="E148" s="53">
        <f>ROUND($E$141+(A148*'Sch M'!$U$183),2)</f>
        <v>638.29999999999995</v>
      </c>
      <c r="F148" s="56"/>
      <c r="G148" s="54">
        <f t="shared" si="8"/>
        <v>113.8599999999999</v>
      </c>
      <c r="H148" s="46"/>
      <c r="I148" s="50">
        <f t="shared" si="9"/>
        <v>0.21710777209976334</v>
      </c>
    </row>
    <row r="149" spans="1:9" x14ac:dyDescent="0.25">
      <c r="A149" s="47">
        <v>125</v>
      </c>
      <c r="B149" s="55"/>
      <c r="C149" s="53">
        <f>ROUND($C$141+(A149*'Sch M'!$P$183),2)</f>
        <v>630.57000000000005</v>
      </c>
      <c r="D149" s="56"/>
      <c r="E149" s="53">
        <f>ROUND($E$141+(A149*'Sch M'!$U$183),2)</f>
        <v>768.18</v>
      </c>
      <c r="F149" s="56"/>
      <c r="G149" s="54">
        <f t="shared" si="8"/>
        <v>137.6099999999999</v>
      </c>
      <c r="H149" s="46"/>
      <c r="I149" s="50">
        <f t="shared" si="9"/>
        <v>0.21823112422094279</v>
      </c>
    </row>
    <row r="150" spans="1:9" x14ac:dyDescent="0.25">
      <c r="A150" s="47">
        <v>150</v>
      </c>
      <c r="B150" s="55"/>
      <c r="C150" s="53">
        <f>ROUND($C$141+(A150*'Sch M'!$P$183),2)</f>
        <v>736.7</v>
      </c>
      <c r="D150" s="56"/>
      <c r="E150" s="53">
        <f>ROUND($E$141+(A150*'Sch M'!$U$183),2)</f>
        <v>898.05</v>
      </c>
      <c r="F150" s="56"/>
      <c r="G150" s="54">
        <f t="shared" si="8"/>
        <v>161.34999999999991</v>
      </c>
      <c r="H150" s="46"/>
      <c r="I150" s="50">
        <f t="shared" si="9"/>
        <v>0.21901723903895737</v>
      </c>
    </row>
    <row r="151" spans="1:9" x14ac:dyDescent="0.25">
      <c r="A151" s="47">
        <v>175</v>
      </c>
      <c r="B151" s="55"/>
      <c r="C151" s="53">
        <f>ROUND($C$141+(A151*'Sch M'!$P$183),2)</f>
        <v>842.83</v>
      </c>
      <c r="D151" s="56"/>
      <c r="E151" s="53">
        <f>ROUND($E$141+(A151*'Sch M'!$U$183),2)</f>
        <v>1027.93</v>
      </c>
      <c r="F151" s="56"/>
      <c r="G151" s="54">
        <f t="shared" si="8"/>
        <v>185.10000000000002</v>
      </c>
      <c r="H151" s="46"/>
      <c r="I151" s="50">
        <f t="shared" si="9"/>
        <v>0.21961724191118021</v>
      </c>
    </row>
    <row r="152" spans="1:9" x14ac:dyDescent="0.25">
      <c r="A152" s="68">
        <v>184.2</v>
      </c>
      <c r="B152" s="57"/>
      <c r="C152" s="58">
        <f>ROUND($C$141+(A152*'Sch M'!$P$183),2)</f>
        <v>881.89</v>
      </c>
      <c r="D152" s="58"/>
      <c r="E152" s="58">
        <f>ROUND($E$141+(A152*'Sch M'!$U$183),2)</f>
        <v>1075.72</v>
      </c>
      <c r="F152" s="58"/>
      <c r="G152" s="59">
        <f>+E152-C152</f>
        <v>193.83000000000004</v>
      </c>
      <c r="H152" s="60"/>
      <c r="I152" s="61">
        <f>+G152/C152</f>
        <v>0.21978931612786179</v>
      </c>
    </row>
    <row r="153" spans="1:9" x14ac:dyDescent="0.25">
      <c r="A153" s="315">
        <v>212</v>
      </c>
      <c r="B153" s="310"/>
      <c r="C153" s="311">
        <f>ROUND($C$141+(A153*'Sch M'!$P$183),2)</f>
        <v>999.9</v>
      </c>
      <c r="D153" s="311"/>
      <c r="E153" s="311">
        <f>ROUND($E$141+(A153*'Sch M'!$U$183),2)</f>
        <v>1220.1400000000001</v>
      </c>
      <c r="F153" s="311"/>
      <c r="G153" s="312">
        <f t="shared" si="8"/>
        <v>220.24000000000012</v>
      </c>
      <c r="H153" s="313"/>
      <c r="I153" s="314">
        <f t="shared" si="9"/>
        <v>0.22026202620262039</v>
      </c>
    </row>
    <row r="154" spans="1:9" x14ac:dyDescent="0.25">
      <c r="A154" s="52">
        <v>250</v>
      </c>
      <c r="B154" s="38"/>
      <c r="C154" s="53">
        <f>ROUND($C$141+(A154*'Sch M'!$P$183),2)</f>
        <v>1161.22</v>
      </c>
      <c r="D154" s="53"/>
      <c r="E154" s="53">
        <f>ROUND($E$141+(A154*'Sch M'!$U$183),2)</f>
        <v>1417.55</v>
      </c>
      <c r="F154" s="53"/>
      <c r="G154" s="54">
        <f t="shared" si="8"/>
        <v>256.32999999999993</v>
      </c>
      <c r="H154" s="42"/>
      <c r="I154" s="50">
        <f t="shared" si="9"/>
        <v>0.22074197826423927</v>
      </c>
    </row>
    <row r="155" spans="1:9" x14ac:dyDescent="0.25">
      <c r="A155" s="52">
        <v>300</v>
      </c>
      <c r="B155" s="38"/>
      <c r="C155" s="53">
        <f>ROUND($C$141+(A155*'Sch M'!$P$183),2)</f>
        <v>1373.48</v>
      </c>
      <c r="D155" s="53"/>
      <c r="E155" s="53">
        <f>ROUND($E$141+(A155*'Sch M'!$U$183),2)</f>
        <v>1677.3</v>
      </c>
      <c r="F155" s="53"/>
      <c r="G155" s="54">
        <f t="shared" si="8"/>
        <v>303.81999999999994</v>
      </c>
      <c r="H155" s="42"/>
      <c r="I155" s="50">
        <f t="shared" si="9"/>
        <v>0.22120453155488243</v>
      </c>
    </row>
    <row r="156" spans="1:9" x14ac:dyDescent="0.25">
      <c r="A156" s="52">
        <v>350</v>
      </c>
      <c r="B156" s="38"/>
      <c r="C156" s="53">
        <f>ROUND($C$141+(A156*'Sch M'!$P$183),2)</f>
        <v>1585.74</v>
      </c>
      <c r="D156" s="53"/>
      <c r="E156" s="53">
        <f>ROUND($E$141+(A156*'Sch M'!$U$183),2)</f>
        <v>1937.05</v>
      </c>
      <c r="F156" s="53"/>
      <c r="G156" s="54">
        <f t="shared" si="8"/>
        <v>351.30999999999995</v>
      </c>
      <c r="H156" s="42"/>
      <c r="I156" s="50">
        <f t="shared" si="9"/>
        <v>0.2215432542535346</v>
      </c>
    </row>
    <row r="157" spans="1:9" x14ac:dyDescent="0.25">
      <c r="A157" s="52">
        <v>400</v>
      </c>
      <c r="B157" s="38"/>
      <c r="C157" s="53">
        <f>ROUND($C$141+(A157*'Sch M'!$P$183),2)</f>
        <v>1798</v>
      </c>
      <c r="D157" s="53"/>
      <c r="E157" s="53">
        <f>ROUND($E$141+(A157*'Sch M'!$U$183),2)</f>
        <v>2196.8000000000002</v>
      </c>
      <c r="F157" s="53"/>
      <c r="G157" s="54">
        <f t="shared" si="8"/>
        <v>398.80000000000018</v>
      </c>
      <c r="H157" s="42"/>
      <c r="I157" s="50">
        <f t="shared" si="9"/>
        <v>0.22180200222469421</v>
      </c>
    </row>
    <row r="158" spans="1:9" x14ac:dyDescent="0.25">
      <c r="A158" s="52">
        <v>500</v>
      </c>
      <c r="B158" s="38"/>
      <c r="C158" s="53">
        <f>ROUND($C$141+(A158*'Sch M'!$P$183),2)</f>
        <v>2222.52</v>
      </c>
      <c r="D158" s="53"/>
      <c r="E158" s="53">
        <f>ROUND($E$141+(A158*'Sch M'!$U$183),2)</f>
        <v>2716.3</v>
      </c>
      <c r="F158" s="53"/>
      <c r="G158" s="54">
        <f t="shared" si="8"/>
        <v>493.7800000000002</v>
      </c>
      <c r="H158" s="42"/>
      <c r="I158" s="50">
        <f t="shared" si="9"/>
        <v>0.22217122905530667</v>
      </c>
    </row>
    <row r="159" spans="1:9" x14ac:dyDescent="0.25">
      <c r="A159" s="52">
        <v>750</v>
      </c>
      <c r="B159" s="38"/>
      <c r="C159" s="53">
        <f>ROUND($C$141+(A159*'Sch M'!$P$183),2)</f>
        <v>3283.82</v>
      </c>
      <c r="D159" s="53"/>
      <c r="E159" s="53">
        <f>ROUND($E$141+(A159*'Sch M'!$U$183),2)</f>
        <v>4015.05</v>
      </c>
      <c r="F159" s="53"/>
      <c r="G159" s="54">
        <f t="shared" si="8"/>
        <v>731.23</v>
      </c>
      <c r="H159" s="42"/>
      <c r="I159" s="50">
        <f t="shared" si="9"/>
        <v>0.22267663879262567</v>
      </c>
    </row>
    <row r="160" spans="1:9" x14ac:dyDescent="0.25">
      <c r="A160" s="52">
        <v>1000</v>
      </c>
      <c r="B160" s="38"/>
      <c r="C160" s="53">
        <f>ROUND($C$141+(A160*'Sch M'!$P$183),2)</f>
        <v>4345.12</v>
      </c>
      <c r="D160" s="53"/>
      <c r="E160" s="53">
        <f>ROUND($E$141+(A160*'Sch M'!$U$183),2)</f>
        <v>5313.8</v>
      </c>
      <c r="F160" s="53"/>
      <c r="G160" s="54">
        <f t="shared" si="8"/>
        <v>968.68000000000029</v>
      </c>
      <c r="H160" s="42"/>
      <c r="I160" s="50">
        <f t="shared" si="9"/>
        <v>0.22293515484037271</v>
      </c>
    </row>
    <row r="161" spans="1:10" x14ac:dyDescent="0.25">
      <c r="A161" s="52">
        <v>2500</v>
      </c>
      <c r="B161" s="38"/>
      <c r="C161" s="53">
        <f>ROUND($C$141+(A161*'Sch M'!$P$183),2)</f>
        <v>10712.92</v>
      </c>
      <c r="D161" s="53"/>
      <c r="E161" s="53">
        <f>ROUND($E$141+(A161*'Sch M'!$U$183),2)</f>
        <v>13106.3</v>
      </c>
      <c r="F161" s="53"/>
      <c r="G161" s="54">
        <f t="shared" si="8"/>
        <v>2393.3799999999992</v>
      </c>
      <c r="H161" s="42"/>
      <c r="I161" s="50">
        <f t="shared" si="9"/>
        <v>0.22341061073918214</v>
      </c>
    </row>
    <row r="162" spans="1:10" x14ac:dyDescent="0.25">
      <c r="A162" s="52">
        <v>5000</v>
      </c>
      <c r="B162" s="38"/>
      <c r="C162" s="53">
        <f>ROUND($C$141+(A162*'Sch M'!$P$183),2)</f>
        <v>21325.919999999998</v>
      </c>
      <c r="D162" s="53"/>
      <c r="E162" s="53">
        <f>ROUND($E$141+(A162*'Sch M'!$U$183),2)</f>
        <v>26093.8</v>
      </c>
      <c r="F162" s="53"/>
      <c r="G162" s="54">
        <f t="shared" si="8"/>
        <v>4767.880000000001</v>
      </c>
      <c r="H162" s="42"/>
      <c r="I162" s="50">
        <f t="shared" si="9"/>
        <v>0.22357206629303689</v>
      </c>
    </row>
    <row r="163" spans="1:10" x14ac:dyDescent="0.25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10" x14ac:dyDescent="0.25">
      <c r="A164" s="38"/>
      <c r="B164" s="38"/>
      <c r="C164" s="38"/>
      <c r="D164" s="38"/>
      <c r="E164" s="38"/>
      <c r="F164" s="38"/>
      <c r="G164" s="38"/>
      <c r="H164" s="38"/>
      <c r="I164" s="38"/>
    </row>
    <row r="165" spans="1:10" x14ac:dyDescent="0.25">
      <c r="A165" s="38" t="s">
        <v>128</v>
      </c>
      <c r="B165" s="38"/>
      <c r="C165" s="56">
        <f>C152</f>
        <v>881.89</v>
      </c>
      <c r="D165" s="62"/>
      <c r="E165" s="56">
        <f>E152</f>
        <v>1075.72</v>
      </c>
      <c r="F165" s="62"/>
      <c r="G165" s="56">
        <f>G152</f>
        <v>193.83000000000004</v>
      </c>
      <c r="H165" s="46"/>
      <c r="I165" s="50">
        <f>I152</f>
        <v>0.21978931612786179</v>
      </c>
    </row>
    <row r="167" spans="1:10" x14ac:dyDescent="0.25">
      <c r="E167" s="89"/>
      <c r="F167" s="89"/>
      <c r="G167" s="89"/>
      <c r="H167" s="89"/>
      <c r="I167" s="89"/>
      <c r="J167" s="89"/>
    </row>
    <row r="168" spans="1:10" x14ac:dyDescent="0.25">
      <c r="E168" s="89"/>
      <c r="F168" s="89"/>
      <c r="G168" s="89"/>
      <c r="H168" s="89"/>
      <c r="I168" s="90"/>
      <c r="J168" s="89"/>
    </row>
    <row r="169" spans="1:10" x14ac:dyDescent="0.25">
      <c r="A169" s="91"/>
      <c r="G169" s="89"/>
      <c r="H169" s="89"/>
      <c r="J169" s="89"/>
    </row>
    <row r="170" spans="1:10" x14ac:dyDescent="0.25">
      <c r="A170" s="91"/>
      <c r="G170" s="89"/>
      <c r="H170" s="89"/>
      <c r="J170" s="89"/>
    </row>
    <row r="172" spans="1:10" x14ac:dyDescent="0.25">
      <c r="A172" s="327" t="str">
        <f>A130</f>
        <v>Kentucky American Water Company</v>
      </c>
      <c r="B172" s="327"/>
      <c r="C172" s="327"/>
      <c r="D172" s="327"/>
      <c r="E172" s="327"/>
      <c r="F172" s="327"/>
      <c r="G172" s="327"/>
      <c r="H172" s="327"/>
      <c r="I172" s="327"/>
    </row>
    <row r="173" spans="1:10" x14ac:dyDescent="0.25">
      <c r="A173" s="327" t="str">
        <f t="shared" ref="A173:A174" si="10">A131</f>
        <v>Case No. 2015-00418</v>
      </c>
      <c r="B173" s="327"/>
      <c r="C173" s="327"/>
      <c r="D173" s="327"/>
      <c r="E173" s="327"/>
      <c r="F173" s="327"/>
      <c r="G173" s="327"/>
      <c r="H173" s="327"/>
      <c r="I173" s="327"/>
    </row>
    <row r="174" spans="1:10" x14ac:dyDescent="0.25">
      <c r="A174" s="327" t="str">
        <f t="shared" si="10"/>
        <v>Forecast Year for the 12 Months Ended August 31, 2017</v>
      </c>
      <c r="B174" s="327"/>
      <c r="C174" s="327"/>
      <c r="D174" s="327"/>
      <c r="E174" s="327"/>
      <c r="F174" s="327"/>
      <c r="G174" s="327"/>
      <c r="H174" s="327"/>
      <c r="I174" s="327"/>
    </row>
    <row r="175" spans="1:10" x14ac:dyDescent="0.25">
      <c r="A175" s="327" t="s">
        <v>135</v>
      </c>
      <c r="B175" s="327"/>
      <c r="C175" s="327"/>
      <c r="D175" s="327"/>
      <c r="E175" s="327"/>
      <c r="F175" s="327"/>
      <c r="G175" s="327"/>
      <c r="H175" s="327"/>
      <c r="I175" s="327"/>
    </row>
    <row r="176" spans="1:10" x14ac:dyDescent="0.25">
      <c r="A176" s="328" t="s">
        <v>133</v>
      </c>
      <c r="B176" s="328"/>
      <c r="C176" s="328"/>
      <c r="D176" s="328"/>
      <c r="E176" s="328"/>
      <c r="F176" s="328"/>
      <c r="G176" s="328"/>
      <c r="H176" s="328"/>
      <c r="I176" s="328"/>
    </row>
    <row r="178" spans="1:9" x14ac:dyDescent="0.25">
      <c r="A178" s="94" t="str">
        <f>A136</f>
        <v>Witness Responsible:   Linda Bridwell</v>
      </c>
      <c r="B178" s="94"/>
      <c r="C178" s="94"/>
      <c r="D178" s="94"/>
      <c r="E178" s="94"/>
      <c r="F178" s="94"/>
      <c r="G178" s="94"/>
      <c r="H178" s="94"/>
      <c r="I178" s="92" t="s">
        <v>189</v>
      </c>
    </row>
    <row r="179" spans="1:9" x14ac:dyDescent="0.25">
      <c r="A179" s="94" t="str">
        <f>'Link in'!$A$85</f>
        <v/>
      </c>
      <c r="B179" s="42"/>
      <c r="C179" s="42"/>
      <c r="D179" s="42"/>
      <c r="E179" s="42"/>
      <c r="F179" s="42"/>
      <c r="G179" s="42"/>
      <c r="H179" s="42"/>
      <c r="I179" s="97" t="e">
        <f ca="1">RIGHT(CELL("filename",$A$1),LEN(CELL("filename",$A$1))-SEARCH("\Revenues",CELL("filename",$A$1),1))</f>
        <v>#VALUE!</v>
      </c>
    </row>
    <row r="180" spans="1:9" x14ac:dyDescent="0.25">
      <c r="A180" s="38"/>
      <c r="B180" s="38"/>
      <c r="C180" s="38"/>
      <c r="D180" s="38"/>
      <c r="E180" s="38"/>
      <c r="F180" s="38"/>
      <c r="G180" s="38"/>
      <c r="H180" s="38"/>
      <c r="I180" s="38"/>
    </row>
    <row r="181" spans="1:9" x14ac:dyDescent="0.25">
      <c r="A181" s="43" t="s">
        <v>18</v>
      </c>
      <c r="B181" s="42"/>
      <c r="C181" s="44" t="s">
        <v>79</v>
      </c>
      <c r="D181" s="44"/>
      <c r="E181" s="44" t="s">
        <v>73</v>
      </c>
      <c r="F181" s="44"/>
      <c r="G181" s="44"/>
      <c r="H181" s="44"/>
      <c r="I181" s="44" t="s">
        <v>53</v>
      </c>
    </row>
    <row r="182" spans="1:9" x14ac:dyDescent="0.25">
      <c r="A182" s="45" t="s">
        <v>129</v>
      </c>
      <c r="B182" s="42"/>
      <c r="C182" s="45" t="s">
        <v>46</v>
      </c>
      <c r="D182" s="44"/>
      <c r="E182" s="45" t="s">
        <v>46</v>
      </c>
      <c r="F182" s="44"/>
      <c r="G182" s="45" t="s">
        <v>127</v>
      </c>
      <c r="H182" s="44"/>
      <c r="I182" s="45" t="s">
        <v>127</v>
      </c>
    </row>
    <row r="183" spans="1:9" x14ac:dyDescent="0.25">
      <c r="A183" s="47">
        <v>0</v>
      </c>
      <c r="B183" s="42"/>
      <c r="C183" s="67">
        <f>'Sch M'!P215</f>
        <v>624.5</v>
      </c>
      <c r="D183" s="48"/>
      <c r="E183" s="67">
        <f>'Sch M'!U215</f>
        <v>742.5</v>
      </c>
      <c r="F183" s="48"/>
      <c r="G183" s="67">
        <f>+E183-C183</f>
        <v>118</v>
      </c>
      <c r="H183" s="42"/>
      <c r="I183" s="50">
        <f>+G183/C183</f>
        <v>0.18895116092874301</v>
      </c>
    </row>
    <row r="184" spans="1:9" x14ac:dyDescent="0.25">
      <c r="A184" s="52">
        <v>25</v>
      </c>
      <c r="B184" s="38"/>
      <c r="C184" s="53">
        <f>ROUND($C$183+(A184*'Sch M'!$P$222),2)</f>
        <v>729.73</v>
      </c>
      <c r="D184" s="53"/>
      <c r="E184" s="53">
        <f>ROUND($E$183+(A184*'Sch M'!$U$222),2)</f>
        <v>858.38</v>
      </c>
      <c r="F184" s="53"/>
      <c r="G184" s="54">
        <f t="shared" ref="G184:G204" si="11">+E184-C184</f>
        <v>128.64999999999998</v>
      </c>
      <c r="H184" s="42"/>
      <c r="I184" s="50">
        <f t="shared" ref="I184:I204" si="12">+G184/C184</f>
        <v>0.17629808285256188</v>
      </c>
    </row>
    <row r="185" spans="1:9" x14ac:dyDescent="0.25">
      <c r="A185" s="52">
        <v>50</v>
      </c>
      <c r="B185" s="38"/>
      <c r="C185" s="53">
        <f>ROUND($C$183+(A185*'Sch M'!$P$222),2)</f>
        <v>834.97</v>
      </c>
      <c r="D185" s="53"/>
      <c r="E185" s="53">
        <f>ROUND($E$183+(A185*'Sch M'!$U$222),2)</f>
        <v>974.25</v>
      </c>
      <c r="F185" s="53"/>
      <c r="G185" s="54">
        <f t="shared" si="11"/>
        <v>139.27999999999997</v>
      </c>
      <c r="H185" s="42"/>
      <c r="I185" s="50">
        <f t="shared" si="12"/>
        <v>0.16680838832532902</v>
      </c>
    </row>
    <row r="186" spans="1:9" x14ac:dyDescent="0.25">
      <c r="A186" s="52">
        <v>75</v>
      </c>
      <c r="B186" s="38"/>
      <c r="C186" s="53">
        <f>ROUND($C$183+(A186*'Sch M'!$P$222),2)</f>
        <v>940.2</v>
      </c>
      <c r="D186" s="53"/>
      <c r="E186" s="53">
        <f>ROUND($E$183+(A186*'Sch M'!$U$222),2)</f>
        <v>1090.1300000000001</v>
      </c>
      <c r="F186" s="53"/>
      <c r="G186" s="54">
        <f t="shared" si="11"/>
        <v>149.93000000000006</v>
      </c>
      <c r="H186" s="42"/>
      <c r="I186" s="50">
        <f t="shared" si="12"/>
        <v>0.1594660710487131</v>
      </c>
    </row>
    <row r="187" spans="1:9" x14ac:dyDescent="0.25">
      <c r="A187" s="47">
        <v>100</v>
      </c>
      <c r="B187" s="55"/>
      <c r="C187" s="53">
        <f>ROUND($C$183+(A187*'Sch M'!$P$222),2)</f>
        <v>1045.43</v>
      </c>
      <c r="D187" s="56"/>
      <c r="E187" s="53">
        <f>ROUND($E$183+(A187*'Sch M'!$U$222),2)</f>
        <v>1206</v>
      </c>
      <c r="F187" s="56"/>
      <c r="G187" s="54">
        <f t="shared" si="11"/>
        <v>160.56999999999994</v>
      </c>
      <c r="H187" s="46"/>
      <c r="I187" s="50">
        <f t="shared" si="12"/>
        <v>0.15359230173230148</v>
      </c>
    </row>
    <row r="188" spans="1:9" x14ac:dyDescent="0.25">
      <c r="A188" s="47">
        <v>150</v>
      </c>
      <c r="B188" s="55"/>
      <c r="C188" s="53">
        <f>ROUND($C$183+(A188*'Sch M'!$P$222),2)</f>
        <v>1255.9000000000001</v>
      </c>
      <c r="D188" s="56"/>
      <c r="E188" s="53">
        <f>ROUND($E$183+(A188*'Sch M'!$U$222),2)</f>
        <v>1437.75</v>
      </c>
      <c r="F188" s="56"/>
      <c r="G188" s="54">
        <f t="shared" si="11"/>
        <v>181.84999999999991</v>
      </c>
      <c r="H188" s="46"/>
      <c r="I188" s="50">
        <f t="shared" si="12"/>
        <v>0.14479656023568746</v>
      </c>
    </row>
    <row r="189" spans="1:9" x14ac:dyDescent="0.25">
      <c r="A189" s="47">
        <v>200</v>
      </c>
      <c r="B189" s="55"/>
      <c r="C189" s="53">
        <f>ROUND($C$183+(A189*'Sch M'!$P$222),2)</f>
        <v>1466.36</v>
      </c>
      <c r="D189" s="56"/>
      <c r="E189" s="53">
        <f>ROUND($E$183+(A189*'Sch M'!$U$222),2)</f>
        <v>1669.5</v>
      </c>
      <c r="F189" s="56"/>
      <c r="G189" s="54">
        <f t="shared" si="11"/>
        <v>203.1400000000001</v>
      </c>
      <c r="H189" s="46"/>
      <c r="I189" s="50">
        <f t="shared" si="12"/>
        <v>0.13853351155241558</v>
      </c>
    </row>
    <row r="190" spans="1:9" x14ac:dyDescent="0.25">
      <c r="A190" s="47">
        <v>250</v>
      </c>
      <c r="B190" s="55"/>
      <c r="C190" s="53">
        <f>ROUND($C$183+(A190*'Sch M'!$P$222),2)</f>
        <v>1676.83</v>
      </c>
      <c r="D190" s="56"/>
      <c r="E190" s="53">
        <f>ROUND($E$183+(A190*'Sch M'!$U$222),2)</f>
        <v>1901.25</v>
      </c>
      <c r="F190" s="56"/>
      <c r="G190" s="54">
        <f t="shared" si="11"/>
        <v>224.42000000000007</v>
      </c>
      <c r="H190" s="46"/>
      <c r="I190" s="50">
        <f t="shared" si="12"/>
        <v>0.13383586887162091</v>
      </c>
    </row>
    <row r="191" spans="1:9" x14ac:dyDescent="0.25">
      <c r="A191" s="47">
        <v>500</v>
      </c>
      <c r="B191" s="55"/>
      <c r="C191" s="53">
        <f>ROUND($C$183+(A191*'Sch M'!$P$222),2)</f>
        <v>2729.15</v>
      </c>
      <c r="D191" s="56"/>
      <c r="E191" s="53">
        <f>ROUND($E$183+(A191*'Sch M'!$U$222),2)</f>
        <v>3060</v>
      </c>
      <c r="F191" s="56"/>
      <c r="G191" s="54">
        <f t="shared" si="11"/>
        <v>330.84999999999991</v>
      </c>
      <c r="H191" s="46"/>
      <c r="I191" s="50">
        <f t="shared" si="12"/>
        <v>0.12122822124104571</v>
      </c>
    </row>
    <row r="192" spans="1:9" x14ac:dyDescent="0.25">
      <c r="A192" s="47">
        <v>750</v>
      </c>
      <c r="B192" s="55"/>
      <c r="C192" s="53">
        <f>ROUND($C$183+(A192*'Sch M'!$P$222),2)</f>
        <v>3781.48</v>
      </c>
      <c r="D192" s="56"/>
      <c r="E192" s="53">
        <f>ROUND($E$183+(A192*'Sch M'!$U$222),2)</f>
        <v>4218.75</v>
      </c>
      <c r="F192" s="56"/>
      <c r="G192" s="54">
        <f t="shared" si="11"/>
        <v>437.27</v>
      </c>
      <c r="H192" s="46"/>
      <c r="I192" s="50">
        <f t="shared" si="12"/>
        <v>0.11563461924960597</v>
      </c>
    </row>
    <row r="193" spans="1:9" x14ac:dyDescent="0.25">
      <c r="A193" s="47">
        <v>1000</v>
      </c>
      <c r="B193" s="55"/>
      <c r="C193" s="53">
        <f>ROUND($C$183+(A193*'Sch M'!$P$222),2)</f>
        <v>4833.8</v>
      </c>
      <c r="D193" s="56"/>
      <c r="E193" s="53">
        <f>ROUND($E$183+(A193*'Sch M'!$U$222),2)</f>
        <v>5377.5</v>
      </c>
      <c r="F193" s="56"/>
      <c r="G193" s="54">
        <f t="shared" si="11"/>
        <v>543.69999999999982</v>
      </c>
      <c r="H193" s="46"/>
      <c r="I193" s="50">
        <f t="shared" si="12"/>
        <v>0.11247879515081298</v>
      </c>
    </row>
    <row r="194" spans="1:9" x14ac:dyDescent="0.25">
      <c r="A194" s="52">
        <v>1500</v>
      </c>
      <c r="B194" s="38"/>
      <c r="C194" s="53">
        <f>ROUND($C$183+(A194*'Sch M'!$P$222),2)</f>
        <v>6938.45</v>
      </c>
      <c r="D194" s="53"/>
      <c r="E194" s="53">
        <f>ROUND($E$183+(A194*'Sch M'!$U$222),2)</f>
        <v>7695</v>
      </c>
      <c r="F194" s="53"/>
      <c r="G194" s="54">
        <f t="shared" si="11"/>
        <v>756.55000000000018</v>
      </c>
      <c r="H194" s="42"/>
      <c r="I194" s="50">
        <f t="shared" si="12"/>
        <v>0.10903732101550061</v>
      </c>
    </row>
    <row r="195" spans="1:9" x14ac:dyDescent="0.25">
      <c r="A195" s="68">
        <v>2241.6999999999998</v>
      </c>
      <c r="B195" s="57"/>
      <c r="C195" s="58">
        <f>ROUND($C$183+(A195*'Sch M'!$P$222),2)</f>
        <v>10060.49</v>
      </c>
      <c r="D195" s="58"/>
      <c r="E195" s="58">
        <f>ROUND($E$183+(A195*'Sch M'!$U$222),2)</f>
        <v>11132.78</v>
      </c>
      <c r="F195" s="58"/>
      <c r="G195" s="59">
        <f t="shared" si="11"/>
        <v>1072.2900000000009</v>
      </c>
      <c r="H195" s="60"/>
      <c r="I195" s="61">
        <f t="shared" si="12"/>
        <v>0.10658427174024336</v>
      </c>
    </row>
    <row r="196" spans="1:9" x14ac:dyDescent="0.25">
      <c r="A196" s="52">
        <v>2500</v>
      </c>
      <c r="B196" s="38"/>
      <c r="C196" s="53">
        <f>ROUND($C$183+(A196*'Sch M'!$P$222),2)</f>
        <v>11147.75</v>
      </c>
      <c r="D196" s="53"/>
      <c r="E196" s="53">
        <f>ROUND($E$183+(A196*'Sch M'!$U$222),2)</f>
        <v>12330</v>
      </c>
      <c r="F196" s="53"/>
      <c r="G196" s="54">
        <f t="shared" si="11"/>
        <v>1182.25</v>
      </c>
      <c r="H196" s="42"/>
      <c r="I196" s="50">
        <f t="shared" si="12"/>
        <v>0.10605279092193493</v>
      </c>
    </row>
    <row r="197" spans="1:9" x14ac:dyDescent="0.25">
      <c r="A197" s="47">
        <v>2930</v>
      </c>
      <c r="B197" s="55"/>
      <c r="C197" s="56">
        <f>ROUND($C$183+(A197*'Sch M'!$P$222),2)</f>
        <v>12957.75</v>
      </c>
      <c r="D197" s="56"/>
      <c r="E197" s="56">
        <f>ROUND($E$183+(A197*'Sch M'!$U$222),2)</f>
        <v>14323.05</v>
      </c>
      <c r="F197" s="56"/>
      <c r="G197" s="54">
        <f t="shared" si="11"/>
        <v>1365.2999999999993</v>
      </c>
      <c r="H197" s="46"/>
      <c r="I197" s="50">
        <f t="shared" si="12"/>
        <v>0.10536551484632743</v>
      </c>
    </row>
    <row r="198" spans="1:9" x14ac:dyDescent="0.25">
      <c r="A198" s="52">
        <v>3000</v>
      </c>
      <c r="B198" s="38"/>
      <c r="C198" s="53">
        <f>ROUND($C$183+(A198*'Sch M'!$P$222),2)</f>
        <v>13252.4</v>
      </c>
      <c r="D198" s="53"/>
      <c r="E198" s="53">
        <f>ROUND($E$183+(A198*'Sch M'!$U$222),2)</f>
        <v>14647.5</v>
      </c>
      <c r="F198" s="53"/>
      <c r="G198" s="54">
        <f t="shared" si="11"/>
        <v>1395.1000000000004</v>
      </c>
      <c r="H198" s="42"/>
      <c r="I198" s="50">
        <f t="shared" si="12"/>
        <v>0.10527149799281643</v>
      </c>
    </row>
    <row r="199" spans="1:9" x14ac:dyDescent="0.25">
      <c r="A199" s="52">
        <v>5000</v>
      </c>
      <c r="B199" s="38"/>
      <c r="C199" s="53">
        <f>ROUND($C$183+(A199*'Sch M'!$P$222),2)</f>
        <v>21671</v>
      </c>
      <c r="D199" s="53"/>
      <c r="E199" s="53">
        <f>ROUND($E$183+(A199*'Sch M'!$U$222),2)</f>
        <v>23917.5</v>
      </c>
      <c r="F199" s="53"/>
      <c r="G199" s="54">
        <f t="shared" si="11"/>
        <v>2246.5</v>
      </c>
      <c r="H199" s="42"/>
      <c r="I199" s="50">
        <f t="shared" si="12"/>
        <v>0.10366388260809377</v>
      </c>
    </row>
    <row r="200" spans="1:9" x14ac:dyDescent="0.25">
      <c r="A200" s="52">
        <v>7500</v>
      </c>
      <c r="B200" s="38"/>
      <c r="C200" s="53">
        <f>ROUND($C$183+(A200*'Sch M'!$P$222),2)</f>
        <v>32194.25</v>
      </c>
      <c r="D200" s="53"/>
      <c r="E200" s="53">
        <f>ROUND($E$183+(A200*'Sch M'!$U$222),2)</f>
        <v>35505</v>
      </c>
      <c r="F200" s="53"/>
      <c r="G200" s="54">
        <f t="shared" si="11"/>
        <v>3310.75</v>
      </c>
      <c r="H200" s="42"/>
      <c r="I200" s="50">
        <f t="shared" si="12"/>
        <v>0.10283668667541564</v>
      </c>
    </row>
    <row r="201" spans="1:9" x14ac:dyDescent="0.25">
      <c r="A201" s="52">
        <v>10000</v>
      </c>
      <c r="B201" s="38"/>
      <c r="C201" s="53">
        <f>ROUND($C$183+(A201*'Sch M'!$P$222),2)</f>
        <v>42717.5</v>
      </c>
      <c r="D201" s="53"/>
      <c r="E201" s="53">
        <f>ROUND($E$183+(A201*'Sch M'!$U$222),2)</f>
        <v>47092.5</v>
      </c>
      <c r="F201" s="53"/>
      <c r="G201" s="54">
        <f t="shared" si="11"/>
        <v>4375</v>
      </c>
      <c r="H201" s="42"/>
      <c r="I201" s="50">
        <f t="shared" si="12"/>
        <v>0.10241704219582139</v>
      </c>
    </row>
    <row r="202" spans="1:9" x14ac:dyDescent="0.25">
      <c r="A202" s="52">
        <v>15000</v>
      </c>
      <c r="B202" s="38"/>
      <c r="C202" s="53">
        <f>ROUND($C$183+(A202*'Sch M'!$P$222),2)</f>
        <v>63764</v>
      </c>
      <c r="D202" s="53"/>
      <c r="E202" s="53">
        <f>ROUND($E$183+(A202*'Sch M'!$U$222),2)</f>
        <v>70267.5</v>
      </c>
      <c r="F202" s="53"/>
      <c r="G202" s="54">
        <f t="shared" si="11"/>
        <v>6503.5</v>
      </c>
      <c r="H202" s="42"/>
      <c r="I202" s="50">
        <f t="shared" si="12"/>
        <v>0.10199328774857286</v>
      </c>
    </row>
    <row r="203" spans="1:9" x14ac:dyDescent="0.25">
      <c r="A203" s="52">
        <v>25000</v>
      </c>
      <c r="B203" s="38"/>
      <c r="C203" s="53">
        <f>ROUND($C$183+(A203*'Sch M'!$P$222),2)</f>
        <v>105857</v>
      </c>
      <c r="D203" s="53"/>
      <c r="E203" s="53">
        <f>ROUND($E$183+(A203*'Sch M'!$U$222),2)</f>
        <v>116617.5</v>
      </c>
      <c r="F203" s="53"/>
      <c r="G203" s="54">
        <f t="shared" si="11"/>
        <v>10760.5</v>
      </c>
      <c r="H203" s="42"/>
      <c r="I203" s="50">
        <f t="shared" si="12"/>
        <v>0.10165128427973587</v>
      </c>
    </row>
    <row r="204" spans="1:9" x14ac:dyDescent="0.25">
      <c r="A204" s="52">
        <v>50000</v>
      </c>
      <c r="B204" s="38"/>
      <c r="C204" s="53">
        <f>ROUND($C$183+(A204*'Sch M'!$P$222),2)</f>
        <v>211089.5</v>
      </c>
      <c r="D204" s="53"/>
      <c r="E204" s="53">
        <f>ROUND($E$183+(A204*'Sch M'!$U$222),2)</f>
        <v>232492.5</v>
      </c>
      <c r="F204" s="53"/>
      <c r="G204" s="54">
        <f t="shared" si="11"/>
        <v>21403</v>
      </c>
      <c r="H204" s="42"/>
      <c r="I204" s="50">
        <f t="shared" si="12"/>
        <v>0.10139301102139139</v>
      </c>
    </row>
    <row r="205" spans="1:9" x14ac:dyDescent="0.25">
      <c r="A205" s="38"/>
      <c r="B205" s="38"/>
      <c r="C205" s="38"/>
      <c r="D205" s="38"/>
      <c r="E205" s="38"/>
      <c r="F205" s="38"/>
      <c r="G205" s="38"/>
      <c r="H205" s="38"/>
      <c r="I205" s="38"/>
    </row>
    <row r="206" spans="1:9" x14ac:dyDescent="0.25">
      <c r="A206" s="38"/>
      <c r="B206" s="38"/>
      <c r="C206" s="38"/>
      <c r="D206" s="38"/>
      <c r="E206" s="38"/>
      <c r="F206" s="38"/>
      <c r="G206" s="38"/>
      <c r="H206" s="38"/>
      <c r="I206" s="38"/>
    </row>
    <row r="207" spans="1:9" x14ac:dyDescent="0.25">
      <c r="A207" s="38" t="s">
        <v>128</v>
      </c>
      <c r="B207" s="38"/>
      <c r="C207" s="56">
        <f>C195</f>
        <v>10060.49</v>
      </c>
      <c r="D207" s="62"/>
      <c r="E207" s="56">
        <f>E195</f>
        <v>11132.78</v>
      </c>
      <c r="F207" s="62"/>
      <c r="G207" s="56">
        <f>G195</f>
        <v>1072.2900000000009</v>
      </c>
      <c r="H207" s="46"/>
      <c r="I207" s="50">
        <f>I195</f>
        <v>0.10658427174024336</v>
      </c>
    </row>
    <row r="210" spans="1:10" x14ac:dyDescent="0.25">
      <c r="A210" s="89"/>
      <c r="B210" s="89"/>
      <c r="C210" s="89"/>
      <c r="D210" s="89"/>
      <c r="E210" s="89"/>
      <c r="F210" s="89"/>
      <c r="G210" s="89"/>
      <c r="H210" s="89"/>
      <c r="I210" s="90"/>
      <c r="J210" s="89"/>
    </row>
    <row r="211" spans="1:10" x14ac:dyDescent="0.25">
      <c r="A211" s="91"/>
      <c r="G211" s="89"/>
      <c r="H211" s="89"/>
      <c r="J211" s="89"/>
    </row>
    <row r="212" spans="1:10" x14ac:dyDescent="0.25">
      <c r="A212" s="91"/>
      <c r="G212" s="89"/>
      <c r="H212" s="89"/>
      <c r="J212" s="89"/>
    </row>
    <row r="213" spans="1:10" x14ac:dyDescent="0.25">
      <c r="A213" s="89"/>
      <c r="B213" s="89"/>
      <c r="C213" s="89"/>
      <c r="D213" s="89"/>
      <c r="E213" s="89"/>
      <c r="F213" s="89"/>
      <c r="G213" s="89"/>
      <c r="H213" s="89"/>
      <c r="I213" s="89"/>
      <c r="J213" s="89"/>
    </row>
    <row r="214" spans="1:10" x14ac:dyDescent="0.25">
      <c r="A214" s="328" t="str">
        <f>A172</f>
        <v>Kentucky American Water Company</v>
      </c>
      <c r="B214" s="328"/>
      <c r="C214" s="328"/>
      <c r="D214" s="328"/>
      <c r="E214" s="328"/>
      <c r="F214" s="328"/>
      <c r="G214" s="328"/>
      <c r="H214" s="328"/>
      <c r="I214" s="328"/>
      <c r="J214" s="89"/>
    </row>
    <row r="215" spans="1:10" x14ac:dyDescent="0.25">
      <c r="A215" s="327" t="str">
        <f t="shared" ref="A215:A216" si="13">A173</f>
        <v>Case No. 2015-00418</v>
      </c>
      <c r="B215" s="327"/>
      <c r="C215" s="327"/>
      <c r="D215" s="327"/>
      <c r="E215" s="327"/>
      <c r="F215" s="327"/>
      <c r="G215" s="327"/>
      <c r="H215" s="327"/>
      <c r="I215" s="327"/>
    </row>
    <row r="216" spans="1:10" x14ac:dyDescent="0.25">
      <c r="A216" s="327" t="str">
        <f t="shared" si="13"/>
        <v>Forecast Year for the 12 Months Ended August 31, 2017</v>
      </c>
      <c r="B216" s="327"/>
      <c r="C216" s="327"/>
      <c r="D216" s="327"/>
      <c r="E216" s="327"/>
      <c r="F216" s="327"/>
      <c r="G216" s="327"/>
      <c r="H216" s="327"/>
      <c r="I216" s="327"/>
    </row>
    <row r="217" spans="1:10" x14ac:dyDescent="0.25">
      <c r="A217" s="327" t="s">
        <v>135</v>
      </c>
      <c r="B217" s="327"/>
      <c r="C217" s="327"/>
      <c r="D217" s="327"/>
      <c r="E217" s="327"/>
      <c r="F217" s="327"/>
      <c r="G217" s="327"/>
      <c r="H217" s="327"/>
      <c r="I217" s="327"/>
    </row>
    <row r="218" spans="1:10" x14ac:dyDescent="0.25">
      <c r="A218" s="328" t="s">
        <v>134</v>
      </c>
      <c r="B218" s="328"/>
      <c r="C218" s="328"/>
      <c r="D218" s="328"/>
      <c r="E218" s="328"/>
      <c r="F218" s="328"/>
      <c r="G218" s="328"/>
      <c r="H218" s="328"/>
      <c r="I218" s="328"/>
    </row>
    <row r="220" spans="1:10" x14ac:dyDescent="0.25">
      <c r="A220" s="94" t="str">
        <f>A178</f>
        <v>Witness Responsible:   Linda Bridwell</v>
      </c>
      <c r="I220" s="92" t="s">
        <v>189</v>
      </c>
    </row>
    <row r="221" spans="1:10" x14ac:dyDescent="0.25">
      <c r="A221" s="94" t="str">
        <f>'Link in'!$A$85</f>
        <v/>
      </c>
      <c r="B221" s="94"/>
      <c r="C221" s="94"/>
      <c r="D221" s="94"/>
      <c r="E221" s="94"/>
      <c r="F221" s="94"/>
      <c r="G221" s="94"/>
      <c r="H221" s="94"/>
      <c r="I221" s="97" t="e">
        <f ca="1">RIGHT(CELL("filename",$A$1),LEN(CELL("filename",$A$1))-SEARCH("\Revenues",CELL("filename",$A$1),1))</f>
        <v>#VALUE!</v>
      </c>
    </row>
    <row r="222" spans="1:10" x14ac:dyDescent="0.25">
      <c r="A222" s="71"/>
      <c r="B222" s="71"/>
      <c r="C222" s="71"/>
      <c r="D222" s="71"/>
      <c r="E222" s="71"/>
      <c r="F222" s="71"/>
      <c r="G222" s="71"/>
      <c r="H222" s="71"/>
      <c r="I222" s="71"/>
    </row>
    <row r="223" spans="1:10" x14ac:dyDescent="0.25">
      <c r="A223" s="72" t="s">
        <v>18</v>
      </c>
      <c r="B223" s="70"/>
      <c r="C223" s="73" t="s">
        <v>79</v>
      </c>
      <c r="D223" s="73"/>
      <c r="E223" s="73" t="s">
        <v>73</v>
      </c>
      <c r="F223" s="73"/>
      <c r="G223" s="73"/>
      <c r="H223" s="73"/>
      <c r="I223" s="73" t="s">
        <v>53</v>
      </c>
    </row>
    <row r="224" spans="1:10" x14ac:dyDescent="0.25">
      <c r="A224" s="74" t="s">
        <v>129</v>
      </c>
      <c r="B224" s="70"/>
      <c r="C224" s="74" t="s">
        <v>46</v>
      </c>
      <c r="D224" s="73"/>
      <c r="E224" s="74" t="s">
        <v>46</v>
      </c>
      <c r="F224" s="73"/>
      <c r="G224" s="74" t="s">
        <v>127</v>
      </c>
      <c r="H224" s="73"/>
      <c r="I224" s="74" t="s">
        <v>127</v>
      </c>
    </row>
    <row r="225" spans="1:9" x14ac:dyDescent="0.25">
      <c r="A225" s="93" t="s">
        <v>8</v>
      </c>
      <c r="B225" s="70"/>
      <c r="C225" s="75"/>
      <c r="D225" s="76"/>
      <c r="E225" s="75"/>
      <c r="F225" s="76"/>
      <c r="G225" s="77"/>
      <c r="H225" s="70"/>
      <c r="I225" s="78"/>
    </row>
    <row r="226" spans="1:9" x14ac:dyDescent="0.25">
      <c r="A226" s="86" t="s">
        <v>153</v>
      </c>
      <c r="B226" s="71"/>
      <c r="C226" s="75">
        <f>'Sch M'!F246</f>
        <v>79.77</v>
      </c>
      <c r="D226" s="79"/>
      <c r="E226" s="75">
        <f>'Sch M'!U246</f>
        <v>79.77</v>
      </c>
      <c r="F226" s="79"/>
      <c r="G226" s="75">
        <f t="shared" ref="G226:G237" si="14">+E226-C226</f>
        <v>0</v>
      </c>
      <c r="H226" s="70"/>
      <c r="I226" s="78">
        <f t="shared" ref="I226:I237" si="15">+G226/C226</f>
        <v>0</v>
      </c>
    </row>
    <row r="227" spans="1:9" x14ac:dyDescent="0.25">
      <c r="A227" s="86" t="s">
        <v>13</v>
      </c>
      <c r="B227" s="71"/>
      <c r="C227" s="79">
        <f>'Sch M'!F247</f>
        <v>8.92</v>
      </c>
      <c r="D227" s="79"/>
      <c r="E227" s="79">
        <f>'Sch M'!U247</f>
        <v>9.3699999999999992</v>
      </c>
      <c r="F227" s="79"/>
      <c r="G227" s="54">
        <f t="shared" si="14"/>
        <v>0.44999999999999929</v>
      </c>
      <c r="H227" s="70"/>
      <c r="I227" s="78">
        <f t="shared" si="15"/>
        <v>5.0448430493273466E-2</v>
      </c>
    </row>
    <row r="228" spans="1:9" x14ac:dyDescent="0.25">
      <c r="A228" s="86" t="s">
        <v>16</v>
      </c>
      <c r="B228" s="71"/>
      <c r="C228" s="79">
        <f>'Sch M'!F248</f>
        <v>35.9</v>
      </c>
      <c r="D228" s="79"/>
      <c r="E228" s="79">
        <f>'Sch M'!U248</f>
        <v>37.700000000000003</v>
      </c>
      <c r="F228" s="79"/>
      <c r="G228" s="54">
        <f t="shared" si="14"/>
        <v>1.8000000000000043</v>
      </c>
      <c r="H228" s="70"/>
      <c r="I228" s="78">
        <f t="shared" si="15"/>
        <v>5.0139275766016837E-2</v>
      </c>
    </row>
    <row r="229" spans="1:9" x14ac:dyDescent="0.25">
      <c r="A229" s="86" t="s">
        <v>60</v>
      </c>
      <c r="B229" s="81"/>
      <c r="C229" s="79">
        <f>'Sch M'!F249</f>
        <v>80.739999999999995</v>
      </c>
      <c r="D229" s="82"/>
      <c r="E229" s="79">
        <f>'Sch M'!U249</f>
        <v>84.78</v>
      </c>
      <c r="F229" s="82"/>
      <c r="G229" s="54">
        <f t="shared" si="14"/>
        <v>4.0400000000000063</v>
      </c>
      <c r="H229" s="83"/>
      <c r="I229" s="78">
        <f t="shared" si="15"/>
        <v>5.0037156304186356E-2</v>
      </c>
    </row>
    <row r="230" spans="1:9" x14ac:dyDescent="0.25">
      <c r="A230" s="86" t="s">
        <v>61</v>
      </c>
      <c r="B230" s="81"/>
      <c r="C230" s="79">
        <f>'Sch M'!F250</f>
        <v>143.54</v>
      </c>
      <c r="D230" s="82"/>
      <c r="E230" s="79">
        <f>'Sch M'!U250</f>
        <v>150.72</v>
      </c>
      <c r="F230" s="82"/>
      <c r="G230" s="54">
        <f t="shared" si="14"/>
        <v>7.1800000000000068</v>
      </c>
      <c r="H230" s="83"/>
      <c r="I230" s="78">
        <f t="shared" si="15"/>
        <v>5.0020900097533842E-2</v>
      </c>
    </row>
    <row r="231" spans="1:9" x14ac:dyDescent="0.25">
      <c r="A231" s="86" t="s">
        <v>62</v>
      </c>
      <c r="B231" s="81"/>
      <c r="C231" s="79">
        <f>'Sch M'!F251</f>
        <v>224.34</v>
      </c>
      <c r="D231" s="82"/>
      <c r="E231" s="79">
        <f>'Sch M'!U251</f>
        <v>235.56</v>
      </c>
      <c r="F231" s="82"/>
      <c r="G231" s="54">
        <f t="shared" si="14"/>
        <v>11.219999999999999</v>
      </c>
      <c r="H231" s="83"/>
      <c r="I231" s="78">
        <f t="shared" si="15"/>
        <v>5.0013372559507885E-2</v>
      </c>
    </row>
    <row r="232" spans="1:9" x14ac:dyDescent="0.25">
      <c r="A232" s="86" t="s">
        <v>63</v>
      </c>
      <c r="B232" s="81"/>
      <c r="C232" s="79">
        <f>'Sch M'!F252</f>
        <v>323.5</v>
      </c>
      <c r="D232" s="82"/>
      <c r="E232" s="79">
        <f>'Sch M'!U252</f>
        <v>339.68</v>
      </c>
      <c r="F232" s="82"/>
      <c r="G232" s="54">
        <f t="shared" si="14"/>
        <v>16.180000000000007</v>
      </c>
      <c r="H232" s="83"/>
      <c r="I232" s="78">
        <f t="shared" si="15"/>
        <v>5.001545595054098E-2</v>
      </c>
    </row>
    <row r="233" spans="1:9" x14ac:dyDescent="0.25">
      <c r="A233" s="86" t="s">
        <v>136</v>
      </c>
      <c r="B233" s="81"/>
      <c r="C233" s="79">
        <f>'Sch M'!F253</f>
        <v>439.89</v>
      </c>
      <c r="D233" s="82"/>
      <c r="E233" s="79">
        <f>'Sch M'!U253</f>
        <v>461.88</v>
      </c>
      <c r="F233" s="82"/>
      <c r="G233" s="54">
        <f t="shared" si="14"/>
        <v>21.990000000000009</v>
      </c>
      <c r="H233" s="83"/>
      <c r="I233" s="78">
        <f t="shared" si="15"/>
        <v>4.9989770169815206E-2</v>
      </c>
    </row>
    <row r="234" spans="1:9" x14ac:dyDescent="0.25">
      <c r="A234" s="86" t="s">
        <v>137</v>
      </c>
      <c r="B234" s="81"/>
      <c r="C234" s="79">
        <f>'Sch M'!F254</f>
        <v>574.41999999999996</v>
      </c>
      <c r="D234" s="82"/>
      <c r="E234" s="79">
        <f>'Sch M'!U254</f>
        <v>603.14</v>
      </c>
      <c r="F234" s="82"/>
      <c r="G234" s="54">
        <f t="shared" si="14"/>
        <v>28.720000000000027</v>
      </c>
      <c r="H234" s="83"/>
      <c r="I234" s="78">
        <f t="shared" si="15"/>
        <v>4.9998259113540666E-2</v>
      </c>
    </row>
    <row r="235" spans="1:9" x14ac:dyDescent="0.25">
      <c r="A235" s="87"/>
      <c r="B235" s="81"/>
      <c r="C235" s="79"/>
      <c r="D235" s="82"/>
      <c r="E235" s="79"/>
      <c r="F235" s="82"/>
      <c r="G235" s="80"/>
      <c r="H235" s="83"/>
      <c r="I235" s="78"/>
    </row>
    <row r="236" spans="1:9" x14ac:dyDescent="0.25">
      <c r="A236" s="93" t="s">
        <v>152</v>
      </c>
      <c r="B236" s="71"/>
      <c r="C236" s="79"/>
      <c r="D236" s="79"/>
      <c r="E236" s="79"/>
      <c r="F236" s="79"/>
      <c r="G236" s="80"/>
      <c r="H236" s="70"/>
      <c r="I236" s="78"/>
    </row>
    <row r="237" spans="1:9" x14ac:dyDescent="0.25">
      <c r="A237" s="86" t="s">
        <v>154</v>
      </c>
      <c r="B237" s="71"/>
      <c r="C237" s="75">
        <f>'Sch M'!F262</f>
        <v>41.6</v>
      </c>
      <c r="D237" s="79"/>
      <c r="E237" s="75">
        <f>'Sch M'!U262</f>
        <v>48</v>
      </c>
      <c r="F237" s="79"/>
      <c r="G237" s="49">
        <f t="shared" si="14"/>
        <v>6.3999999999999986</v>
      </c>
      <c r="H237" s="70"/>
      <c r="I237" s="78">
        <f t="shared" si="15"/>
        <v>0.1538461538461538</v>
      </c>
    </row>
    <row r="238" spans="1:9" x14ac:dyDescent="0.25">
      <c r="A238" s="86"/>
      <c r="B238" s="71"/>
      <c r="C238" s="53"/>
      <c r="D238" s="79"/>
      <c r="E238" s="53"/>
      <c r="F238" s="79"/>
      <c r="G238" s="54"/>
      <c r="H238" s="70"/>
      <c r="I238" s="78"/>
    </row>
    <row r="239" spans="1:9" x14ac:dyDescent="0.25">
      <c r="A239" s="69"/>
      <c r="B239" s="71"/>
      <c r="C239" s="79"/>
      <c r="D239" s="79"/>
      <c r="E239" s="79"/>
      <c r="F239" s="79"/>
      <c r="G239" s="80"/>
      <c r="H239" s="70"/>
      <c r="I239" s="78"/>
    </row>
    <row r="240" spans="1:9" x14ac:dyDescent="0.25">
      <c r="A240" s="84"/>
      <c r="B240" s="71"/>
      <c r="C240" s="79"/>
      <c r="D240" s="79"/>
      <c r="E240" s="79"/>
      <c r="F240" s="79"/>
      <c r="G240" s="80"/>
      <c r="H240" s="70"/>
      <c r="I240" s="78"/>
    </row>
    <row r="241" spans="1:9" x14ac:dyDescent="0.25">
      <c r="A241" s="84"/>
      <c r="B241" s="71"/>
      <c r="C241" s="79"/>
      <c r="D241" s="79"/>
      <c r="E241" s="79"/>
      <c r="F241" s="79"/>
      <c r="G241" s="80"/>
      <c r="H241" s="70"/>
      <c r="I241" s="78"/>
    </row>
    <row r="242" spans="1:9" x14ac:dyDescent="0.25">
      <c r="A242" s="84"/>
      <c r="B242" s="71"/>
      <c r="C242" s="79"/>
      <c r="D242" s="79"/>
      <c r="E242" s="79"/>
      <c r="F242" s="79"/>
      <c r="G242" s="80"/>
      <c r="H242" s="70"/>
      <c r="I242" s="78"/>
    </row>
    <row r="243" spans="1:9" x14ac:dyDescent="0.25">
      <c r="A243" s="84"/>
      <c r="B243" s="71"/>
      <c r="C243" s="79"/>
      <c r="D243" s="79"/>
      <c r="E243" s="79"/>
      <c r="F243" s="79"/>
      <c r="G243" s="80"/>
      <c r="H243" s="70"/>
      <c r="I243" s="78"/>
    </row>
    <row r="244" spans="1:9" x14ac:dyDescent="0.25">
      <c r="A244" s="84"/>
      <c r="B244" s="71"/>
      <c r="C244" s="79"/>
      <c r="D244" s="79"/>
      <c r="E244" s="79"/>
      <c r="F244" s="79"/>
      <c r="G244" s="80"/>
      <c r="H244" s="70"/>
      <c r="I244" s="78"/>
    </row>
    <row r="245" spans="1:9" x14ac:dyDescent="0.25">
      <c r="A245" s="84"/>
      <c r="B245" s="71"/>
      <c r="C245" s="79"/>
      <c r="D245" s="79"/>
      <c r="E245" s="79"/>
      <c r="F245" s="79"/>
      <c r="G245" s="80"/>
      <c r="H245" s="70"/>
      <c r="I245" s="78"/>
    </row>
    <row r="246" spans="1:9" x14ac:dyDescent="0.25">
      <c r="A246" s="84"/>
      <c r="B246" s="71"/>
      <c r="C246" s="79"/>
      <c r="D246" s="79"/>
      <c r="E246" s="79"/>
      <c r="F246" s="79"/>
      <c r="G246" s="80"/>
      <c r="H246" s="70"/>
      <c r="I246" s="78"/>
    </row>
    <row r="247" spans="1:9" x14ac:dyDescent="0.25">
      <c r="A247" s="71"/>
      <c r="B247" s="71"/>
      <c r="C247" s="71"/>
      <c r="D247" s="71"/>
      <c r="E247" s="71"/>
      <c r="F247" s="71"/>
      <c r="G247" s="71"/>
      <c r="H247" s="71"/>
      <c r="I247" s="71"/>
    </row>
    <row r="248" spans="1:9" x14ac:dyDescent="0.25">
      <c r="A248" s="71"/>
      <c r="B248" s="71"/>
      <c r="C248" s="71"/>
      <c r="D248" s="71"/>
      <c r="E248" s="71"/>
      <c r="F248" s="71"/>
      <c r="G248" s="71"/>
      <c r="H248" s="71"/>
      <c r="I248" s="71"/>
    </row>
    <row r="249" spans="1:9" x14ac:dyDescent="0.25">
      <c r="A249" s="71"/>
      <c r="B249" s="71"/>
      <c r="C249" s="85"/>
      <c r="D249" s="85"/>
      <c r="E249" s="85"/>
      <c r="F249" s="85"/>
      <c r="G249" s="77"/>
      <c r="H249" s="83"/>
      <c r="I249" s="78"/>
    </row>
  </sheetData>
  <mergeCells count="30">
    <mergeCell ref="A216:I216"/>
    <mergeCell ref="A217:I217"/>
    <mergeCell ref="A218:I218"/>
    <mergeCell ref="A174:I174"/>
    <mergeCell ref="A175:I175"/>
    <mergeCell ref="A176:I176"/>
    <mergeCell ref="A214:I214"/>
    <mergeCell ref="A215:I215"/>
    <mergeCell ref="A172:I172"/>
    <mergeCell ref="A173:I173"/>
    <mergeCell ref="A130:I130"/>
    <mergeCell ref="A131:I131"/>
    <mergeCell ref="A132:I132"/>
    <mergeCell ref="A133:I133"/>
    <mergeCell ref="A134:I134"/>
    <mergeCell ref="A92:I92"/>
    <mergeCell ref="A46:I46"/>
    <mergeCell ref="A47:I47"/>
    <mergeCell ref="A48:I48"/>
    <mergeCell ref="A49:I49"/>
    <mergeCell ref="A50:I50"/>
    <mergeCell ref="A88:I88"/>
    <mergeCell ref="A89:I89"/>
    <mergeCell ref="A90:I90"/>
    <mergeCell ref="A91:I91"/>
    <mergeCell ref="A9:I9"/>
    <mergeCell ref="A5:I5"/>
    <mergeCell ref="A6:I6"/>
    <mergeCell ref="A7:I7"/>
    <mergeCell ref="A8:I8"/>
  </mergeCells>
  <printOptions horizontalCentered="1"/>
  <pageMargins left="0.75" right="0.75" top="0.75" bottom="0.75" header="0.3" footer="0.3"/>
  <pageSetup scale="82" orientation="landscape" r:id="rId1"/>
  <rowBreaks count="5" manualBreakCount="5">
    <brk id="41" max="8" man="1"/>
    <brk id="83" max="8" man="1"/>
    <brk id="125" max="8" man="1"/>
    <brk id="167" max="8" man="1"/>
    <brk id="209" max="8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29" ma:contentTypeDescription="Create a new document." ma:contentTypeScope="" ma:versionID="f0d49a663a403217d6ba745b5bc45137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78254be2f0d484d90e7f84ed6ad75287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9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20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 xsi:nil="true"/>
    <SERS_x0020_Doc_x0020_Status xmlns="7203d2c3-413f-43d7-a52d-eb1ac8076465">Draft</SERS_x0020_Doc_x0020_Status>
    <Final_x0020_Due_x0020_Date xmlns="7203d2c3-413f-43d7-a52d-eb1ac8076465" xsi:nil="true"/>
    <DocumentSetDescription xmlns="http://schemas.microsoft.com/sharepoint/v3" xsi:nil="true"/>
    <Docket_x0020_Number xmlns="7203d2c3-413f-43d7-a52d-eb1ac8076465">Case No. 2015-00418-GRC</Docket_x0020_Number>
  </documentManagement>
</p:properties>
</file>

<file path=customXml/itemProps1.xml><?xml version="1.0" encoding="utf-8"?>
<ds:datastoreItem xmlns:ds="http://schemas.openxmlformats.org/officeDocument/2006/customXml" ds:itemID="{ABC4F801-9537-4BD7-A27E-EB66D26E9AD2}"/>
</file>

<file path=customXml/itemProps2.xml><?xml version="1.0" encoding="utf-8"?>
<ds:datastoreItem xmlns:ds="http://schemas.openxmlformats.org/officeDocument/2006/customXml" ds:itemID="{90483B64-DB1B-44CE-B600-14CDE67B3299}"/>
</file>

<file path=customXml/itemProps3.xml><?xml version="1.0" encoding="utf-8"?>
<ds:datastoreItem xmlns:ds="http://schemas.openxmlformats.org/officeDocument/2006/customXml" ds:itemID="{64A23959-15E2-4C39-B918-55133F5B55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Link out</vt:lpstr>
      <vt:lpstr>Link in</vt:lpstr>
      <vt:lpstr>Sch M</vt:lpstr>
      <vt:lpstr>Sch N</vt:lpstr>
      <vt:lpstr>'Link in'!Print_Area</vt:lpstr>
      <vt:lpstr>'Link out'!Print_Area</vt:lpstr>
      <vt:lpstr>'Sch M'!Print_Area</vt:lpstr>
      <vt:lpstr>'Sch N'!Print_Area</vt:lpstr>
    </vt:vector>
  </TitlesOfParts>
  <Company>MAWC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KAW_R_PSCDR2_NUM079_Attachment 3 - Revenue</dc:title>
  <dc:creator>Edward Grubb</dc:creator>
  <cp:lastModifiedBy>Heppenstall, Constance E.</cp:lastModifiedBy>
  <cp:lastPrinted>2016-01-20T19:22:12Z</cp:lastPrinted>
  <dcterms:created xsi:type="dcterms:W3CDTF">2000-12-08T14:45:46Z</dcterms:created>
  <dcterms:modified xsi:type="dcterms:W3CDTF">2016-03-21T13:56:19Z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0x0101007A55C7437F39F8419B9D8679B2A7FECC</vt:lpwstr>
  </property>
</Properties>
</file>