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00" yWindow="60" windowWidth="25860" windowHeight="12915" firstSheet="4"/>
  </bookViews>
  <sheets>
    <sheet name="Linkin" sheetId="36" r:id="rId1"/>
    <sheet name="COS 1" sheetId="19" r:id="rId2"/>
    <sheet name="F 1-2" sheetId="1" r:id="rId3"/>
    <sheet name="F 2 B" sheetId="2" r:id="rId4"/>
    <sheet name="F 3-4" sheetId="4" r:id="rId5"/>
    <sheet name="F 3B 4B" sheetId="5" r:id="rId6"/>
    <sheet name="F 5" sheetId="6" r:id="rId7"/>
    <sheet name="F 5B" sheetId="7" r:id="rId8"/>
    <sheet name="F6-7" sheetId="8" r:id="rId9"/>
    <sheet name="F8-10" sheetId="9" r:id="rId10"/>
    <sheet name="Meters &amp; Services" sheetId="31" r:id="rId11"/>
    <sheet name="F11-12" sheetId="11" r:id="rId12"/>
    <sheet name="F13-14" sheetId="10" r:id="rId13"/>
    <sheet name="F 15-20" sheetId="12" r:id="rId14"/>
    <sheet name="SCH-D" sheetId="28" r:id="rId15"/>
    <sheet name="Fire" sheetId="16" r:id="rId16"/>
    <sheet name="ServiceCharges" sheetId="35" r:id="rId17"/>
    <sheet name="SCH-A" sheetId="27" r:id="rId18"/>
    <sheet name="Rate base" sheetId="32" r:id="rId19"/>
    <sheet name="Pumps" sheetId="30" r:id="rId20"/>
    <sheet name="Sch G" sheetId="3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comp">'COS 1'!$Z$375:$AO$375</definedName>
    <definedName name="CUST" localSheetId="10">#REF!</definedName>
    <definedName name="CUST" localSheetId="19">#REF!</definedName>
    <definedName name="CUST" localSheetId="20">#REF!</definedName>
    <definedName name="CUST" localSheetId="16">#REF!</definedName>
    <definedName name="CUST">'F 1-2'!$D$54:$M$71</definedName>
    <definedName name="fact">#REF!</definedName>
    <definedName name="FACT3" localSheetId="4">'F 3-4'!$A$1:$FL$1349</definedName>
    <definedName name="FACT3A" localSheetId="2">'F 1-2'!$Z$13:$BE$258</definedName>
    <definedName name="FACT3A" localSheetId="3">'F 2 B'!$W$11:$BB$261</definedName>
    <definedName name="FACT3A" localSheetId="4">'F 3-4'!$W$12:$BB$259</definedName>
    <definedName name="factor">'COS 1'!$AA$375:$AO$380</definedName>
    <definedName name="Factors">'COS 1'!$K$381:$Z$416</definedName>
    <definedName name="FIRE" localSheetId="2">'F 1-2'!$AC$71:$EU$905</definedName>
    <definedName name="FIRE" localSheetId="3">'F 2 B'!$Z$74:$ER$908</definedName>
    <definedName name="FIRE" localSheetId="4">'F 3-4'!$Z$74:$ER$906</definedName>
    <definedName name="func">'COS 1'!$AH$385:$AY$405</definedName>
    <definedName name="_xlnm.Print_Area" localSheetId="1">'COS 1'!$D$10:$X$353</definedName>
    <definedName name="_xlnm.Print_Area" localSheetId="2">'F 1-2'!$B$1:$M$49</definedName>
    <definedName name="_xlnm.Print_Area" localSheetId="13">'F 15-20'!$A$132:$F$152</definedName>
    <definedName name="_xlnm.Print_Area" localSheetId="3">'F 2 B'!$A$1:$J$37</definedName>
    <definedName name="_xlnm.Print_Area" localSheetId="4">'F 3-4'!$A$29:$R$56</definedName>
    <definedName name="_xlnm.Print_Area" localSheetId="5">'F 3B 4B'!$A$28:$K$68</definedName>
    <definedName name="_xlnm.Print_Area" localSheetId="6">'F 5'!$A$1:$R$27</definedName>
    <definedName name="_xlnm.Print_Area" localSheetId="7">'F 5B'!$A$1:$J$44</definedName>
    <definedName name="_xlnm.Print_Area" localSheetId="11">'F11-12'!$A$1:$F$70</definedName>
    <definedName name="_xlnm.Print_Area" localSheetId="12">'F13-14'!$A$1:$F$42</definedName>
    <definedName name="_xlnm.Print_Area" localSheetId="8">'F6-7'!$A$1:$P$76</definedName>
    <definedName name="_xlnm.Print_Area" localSheetId="9">'F8-10'!$A$36:$F$56</definedName>
    <definedName name="_xlnm.Print_Area" localSheetId="15">Fire!$C$1:$O$39</definedName>
    <definedName name="_xlnm.Print_Area" localSheetId="10">'Meters &amp; Services'!$B$23:$AF$56</definedName>
    <definedName name="_xlnm.Print_Area" localSheetId="20">'Sch G'!$C$7:$L$55</definedName>
    <definedName name="_xlnm.Print_Area" localSheetId="17">'SCH-A'!$B$6:$R$38</definedName>
    <definedName name="_xlnm.Print_Area" localSheetId="14">'SCH-D'!$B$1:$P$40</definedName>
    <definedName name="_xlnm.Print_Area" localSheetId="16">ServiceCharges!$A$4:$K$48</definedName>
    <definedName name="_xlnm.Print_Titles" localSheetId="1">'COS 1'!$1:$9</definedName>
  </definedNames>
  <calcPr calcId="145621" iterate="1" concurrentCalc="0"/>
</workbook>
</file>

<file path=xl/calcChain.xml><?xml version="1.0" encoding="utf-8"?>
<calcChain xmlns="http://schemas.openxmlformats.org/spreadsheetml/2006/main">
  <c r="E18" i="35" l="1"/>
  <c r="E16" i="35"/>
  <c r="E14" i="35"/>
  <c r="P12" i="5"/>
  <c r="P14" i="5"/>
  <c r="A39" i="36"/>
  <c r="L33" i="34"/>
  <c r="L34" i="34"/>
  <c r="L35" i="34"/>
  <c r="L36" i="34"/>
  <c r="L32" i="34"/>
  <c r="L16" i="6"/>
  <c r="J36" i="7"/>
  <c r="P12" i="28"/>
  <c r="P14" i="28"/>
  <c r="P16" i="28"/>
  <c r="AH11" i="31"/>
  <c r="F11" i="31"/>
  <c r="H11" i="31"/>
  <c r="AM11" i="31"/>
  <c r="J11" i="31"/>
  <c r="L11" i="31"/>
  <c r="AR11" i="31"/>
  <c r="N11" i="31"/>
  <c r="P11" i="31"/>
  <c r="AS11" i="31"/>
  <c r="R11" i="31"/>
  <c r="T11" i="31"/>
  <c r="AT11" i="31"/>
  <c r="V11" i="31"/>
  <c r="X11" i="31"/>
  <c r="P15" i="16"/>
  <c r="K15" i="16"/>
  <c r="Z39" i="31"/>
  <c r="P17" i="16"/>
  <c r="K17" i="16"/>
  <c r="Z41" i="31"/>
  <c r="P18" i="16"/>
  <c r="K18" i="16"/>
  <c r="Z43" i="31"/>
  <c r="P19" i="16"/>
  <c r="K19" i="16"/>
  <c r="Z45" i="31"/>
  <c r="P20" i="16"/>
  <c r="K20" i="16"/>
  <c r="Z47" i="31"/>
  <c r="P21" i="16"/>
  <c r="K21" i="16"/>
  <c r="Z49" i="31"/>
  <c r="P23" i="16"/>
  <c r="K23" i="16"/>
  <c r="Z51" i="31"/>
  <c r="Z53" i="31"/>
  <c r="Z11" i="31"/>
  <c r="AB11" i="31"/>
  <c r="AF11" i="31"/>
  <c r="AH12" i="31"/>
  <c r="F12" i="31"/>
  <c r="H12" i="31"/>
  <c r="AM12" i="31"/>
  <c r="J12" i="31"/>
  <c r="L12" i="31"/>
  <c r="AR12" i="31"/>
  <c r="N12" i="31"/>
  <c r="P12" i="31"/>
  <c r="AS12" i="31"/>
  <c r="R12" i="31"/>
  <c r="T12" i="31"/>
  <c r="AT12" i="31"/>
  <c r="V12" i="31"/>
  <c r="X12" i="31"/>
  <c r="AF12" i="31"/>
  <c r="AH13" i="31"/>
  <c r="F13" i="31"/>
  <c r="H13" i="31"/>
  <c r="AM13" i="31"/>
  <c r="J13" i="31"/>
  <c r="L13" i="31"/>
  <c r="AR13" i="31"/>
  <c r="N13" i="31"/>
  <c r="P13" i="31"/>
  <c r="AS13" i="31"/>
  <c r="R13" i="31"/>
  <c r="T13" i="31"/>
  <c r="AT13" i="31"/>
  <c r="V13" i="31"/>
  <c r="X13" i="31"/>
  <c r="AF13" i="31"/>
  <c r="AH14" i="31"/>
  <c r="F14" i="31"/>
  <c r="H14" i="31"/>
  <c r="AM14" i="31"/>
  <c r="J14" i="31"/>
  <c r="L14" i="31"/>
  <c r="AR14" i="31"/>
  <c r="N14" i="31"/>
  <c r="P14" i="31"/>
  <c r="AS14" i="31"/>
  <c r="R14" i="31"/>
  <c r="T14" i="31"/>
  <c r="AT14" i="31"/>
  <c r="V14" i="31"/>
  <c r="X14" i="31"/>
  <c r="AF14" i="31"/>
  <c r="AH15" i="31"/>
  <c r="F15" i="31"/>
  <c r="H15" i="31"/>
  <c r="AM15" i="31"/>
  <c r="J15" i="31"/>
  <c r="L15" i="31"/>
  <c r="AR15" i="31"/>
  <c r="N15" i="31"/>
  <c r="P15" i="31"/>
  <c r="AS15" i="31"/>
  <c r="R15" i="31"/>
  <c r="T15" i="31"/>
  <c r="AT15" i="31"/>
  <c r="V15" i="31"/>
  <c r="X15" i="31"/>
  <c r="AF15" i="31"/>
  <c r="AH16" i="31"/>
  <c r="F16" i="31"/>
  <c r="H16" i="31"/>
  <c r="AM16" i="31"/>
  <c r="J16" i="31"/>
  <c r="L16" i="31"/>
  <c r="AR16" i="31"/>
  <c r="N16" i="31"/>
  <c r="P16" i="31"/>
  <c r="AS16" i="31"/>
  <c r="R16" i="31"/>
  <c r="T16" i="31"/>
  <c r="AT16" i="31"/>
  <c r="V16" i="31"/>
  <c r="X16" i="31"/>
  <c r="AF16" i="31"/>
  <c r="AH17" i="31"/>
  <c r="F17" i="31"/>
  <c r="H17" i="31"/>
  <c r="AM17" i="31"/>
  <c r="J17" i="31"/>
  <c r="L17" i="31"/>
  <c r="AR17" i="31"/>
  <c r="N17" i="31"/>
  <c r="P17" i="31"/>
  <c r="AS17" i="31"/>
  <c r="R17" i="31"/>
  <c r="T17" i="31"/>
  <c r="AT17" i="31"/>
  <c r="V17" i="31"/>
  <c r="X17" i="31"/>
  <c r="AF17" i="31"/>
  <c r="AH18" i="31"/>
  <c r="F18" i="31"/>
  <c r="H18" i="31"/>
  <c r="AM18" i="31"/>
  <c r="J18" i="31"/>
  <c r="L18" i="31"/>
  <c r="AR18" i="31"/>
  <c r="N18" i="31"/>
  <c r="P18" i="31"/>
  <c r="AS18" i="31"/>
  <c r="R18" i="31"/>
  <c r="T18" i="31"/>
  <c r="AT18" i="31"/>
  <c r="V18" i="31"/>
  <c r="X18" i="31"/>
  <c r="AF18" i="31"/>
  <c r="AH19" i="31"/>
  <c r="F19" i="31"/>
  <c r="H19" i="31"/>
  <c r="AM19" i="31"/>
  <c r="J19" i="31"/>
  <c r="L19" i="31"/>
  <c r="AR19" i="31"/>
  <c r="N19" i="31"/>
  <c r="P19" i="31"/>
  <c r="AS19" i="31"/>
  <c r="R19" i="31"/>
  <c r="T19" i="31"/>
  <c r="AT19" i="31"/>
  <c r="V19" i="31"/>
  <c r="X19" i="31"/>
  <c r="AF19" i="31"/>
  <c r="AF21" i="31"/>
  <c r="AB21" i="31"/>
  <c r="E20" i="35"/>
  <c r="G13" i="5"/>
  <c r="G15" i="5"/>
  <c r="G17" i="5"/>
  <c r="G21" i="5"/>
  <c r="I13" i="5"/>
  <c r="F15" i="4"/>
  <c r="R19" i="1"/>
  <c r="R20" i="1"/>
  <c r="R22" i="1"/>
  <c r="M15" i="16"/>
  <c r="K16" i="16"/>
  <c r="M16" i="16"/>
  <c r="M17" i="16"/>
  <c r="M18" i="16"/>
  <c r="M19" i="16"/>
  <c r="M20" i="16"/>
  <c r="M21" i="16"/>
  <c r="P22" i="16"/>
  <c r="K22" i="16"/>
  <c r="M22" i="16"/>
  <c r="M23" i="16"/>
  <c r="P24" i="16"/>
  <c r="K24" i="16"/>
  <c r="M24" i="16"/>
  <c r="M26" i="16"/>
  <c r="K30" i="16"/>
  <c r="M30" i="16"/>
  <c r="M33" i="16"/>
  <c r="M35" i="16"/>
  <c r="O26" i="16"/>
  <c r="G20" i="1"/>
  <c r="O33" i="16"/>
  <c r="G21" i="1"/>
  <c r="O15" i="1"/>
  <c r="G15" i="1"/>
  <c r="O16" i="1"/>
  <c r="G16" i="1"/>
  <c r="O17" i="1"/>
  <c r="G17" i="1"/>
  <c r="O18" i="1"/>
  <c r="G18" i="1"/>
  <c r="O19" i="1"/>
  <c r="G19" i="1"/>
  <c r="G23" i="1"/>
  <c r="K20" i="1"/>
  <c r="D22" i="4"/>
  <c r="F22" i="4"/>
  <c r="K21" i="1"/>
  <c r="D23" i="4"/>
  <c r="F23" i="4"/>
  <c r="W55" i="8"/>
  <c r="H72" i="8"/>
  <c r="H74" i="8"/>
  <c r="H76" i="8"/>
  <c r="N72" i="8"/>
  <c r="H54" i="8"/>
  <c r="X55" i="8"/>
  <c r="E43" i="1"/>
  <c r="G43" i="1"/>
  <c r="AW386" i="19"/>
  <c r="E44" i="1"/>
  <c r="G44" i="1"/>
  <c r="M44" i="1"/>
  <c r="AY386" i="19"/>
  <c r="AI386" i="19"/>
  <c r="AI281" i="19"/>
  <c r="AI282" i="19"/>
  <c r="AI283" i="19"/>
  <c r="AW385" i="19"/>
  <c r="AY385" i="19"/>
  <c r="AI385" i="19"/>
  <c r="AI284" i="19"/>
  <c r="AI285" i="19"/>
  <c r="AI286" i="19"/>
  <c r="AI287" i="19"/>
  <c r="W16" i="8"/>
  <c r="H32" i="8"/>
  <c r="H34" i="8"/>
  <c r="H36" i="8"/>
  <c r="H38" i="8"/>
  <c r="L32" i="8"/>
  <c r="F14" i="8"/>
  <c r="X16" i="8"/>
  <c r="Y16" i="8"/>
  <c r="L34" i="8"/>
  <c r="J14" i="8"/>
  <c r="Z16" i="8"/>
  <c r="G40" i="5"/>
  <c r="G42" i="5"/>
  <c r="G44" i="5"/>
  <c r="G48" i="5"/>
  <c r="I40" i="5"/>
  <c r="H43" i="4"/>
  <c r="D50" i="4"/>
  <c r="D51" i="4"/>
  <c r="D45" i="4"/>
  <c r="D46" i="4"/>
  <c r="D47" i="4"/>
  <c r="D48" i="4"/>
  <c r="D49" i="4"/>
  <c r="D53" i="4"/>
  <c r="F50" i="4"/>
  <c r="H50" i="4"/>
  <c r="F51" i="4"/>
  <c r="H51" i="4"/>
  <c r="AA16" i="8"/>
  <c r="L36" i="8"/>
  <c r="N14" i="8"/>
  <c r="AB16" i="8"/>
  <c r="AC16" i="8"/>
  <c r="AI390" i="19"/>
  <c r="AI288" i="19"/>
  <c r="AI289" i="19"/>
  <c r="AI290" i="19"/>
  <c r="AI291" i="19"/>
  <c r="AI292" i="19"/>
  <c r="AI293" i="19"/>
  <c r="AI294" i="19"/>
  <c r="AI295" i="19"/>
  <c r="AI296" i="19"/>
  <c r="AI297" i="19"/>
  <c r="AI298" i="19"/>
  <c r="AI299" i="19"/>
  <c r="Y55" i="8"/>
  <c r="N74" i="8"/>
  <c r="L54" i="8"/>
  <c r="Z55" i="8"/>
  <c r="AC55" i="8"/>
  <c r="AI391" i="19"/>
  <c r="AI300" i="19"/>
  <c r="AI301" i="19"/>
  <c r="AI302" i="19"/>
  <c r="D21" i="6"/>
  <c r="D22" i="6"/>
  <c r="D16" i="6"/>
  <c r="D17" i="6"/>
  <c r="D18" i="6"/>
  <c r="D19" i="6"/>
  <c r="D20" i="6"/>
  <c r="D24" i="6"/>
  <c r="F21" i="6"/>
  <c r="H21" i="6"/>
  <c r="F22" i="6"/>
  <c r="H22" i="6"/>
  <c r="AI389" i="19"/>
  <c r="AI303" i="19"/>
  <c r="AI388" i="19"/>
  <c r="C305" i="19"/>
  <c r="J305" i="19"/>
  <c r="AG305" i="19"/>
  <c r="AI305" i="19"/>
  <c r="C306" i="19"/>
  <c r="J306" i="19"/>
  <c r="AG306" i="19"/>
  <c r="AI306" i="19"/>
  <c r="C307" i="19"/>
  <c r="J307" i="19"/>
  <c r="AG307" i="19"/>
  <c r="AI307" i="19"/>
  <c r="AI387" i="19"/>
  <c r="C308" i="19"/>
  <c r="J308" i="19"/>
  <c r="AG308" i="19"/>
  <c r="AI308" i="19"/>
  <c r="C309" i="19"/>
  <c r="J309" i="19"/>
  <c r="AG309" i="19"/>
  <c r="AI309" i="19"/>
  <c r="AI310" i="19"/>
  <c r="AI311" i="19"/>
  <c r="AI312" i="19"/>
  <c r="AI313" i="19"/>
  <c r="L44" i="36"/>
  <c r="C14" i="19"/>
  <c r="J14" i="19"/>
  <c r="AG14" i="19"/>
  <c r="AI14" i="19"/>
  <c r="L47" i="36"/>
  <c r="C15" i="19"/>
  <c r="J15" i="19"/>
  <c r="AG15" i="19"/>
  <c r="AI15" i="19"/>
  <c r="L179" i="36"/>
  <c r="L184" i="36"/>
  <c r="L217" i="36"/>
  <c r="L226" i="36"/>
  <c r="L238" i="36"/>
  <c r="L264" i="36"/>
  <c r="L265" i="36"/>
  <c r="L270" i="36"/>
  <c r="C16" i="19"/>
  <c r="J16" i="19"/>
  <c r="AG16" i="19"/>
  <c r="AI16" i="19"/>
  <c r="L161" i="36"/>
  <c r="L164" i="36"/>
  <c r="C17" i="19"/>
  <c r="J17" i="19"/>
  <c r="AG17" i="19"/>
  <c r="AI17" i="19"/>
  <c r="L197" i="36"/>
  <c r="C18" i="19"/>
  <c r="J18" i="19"/>
  <c r="AG18" i="19"/>
  <c r="AI18" i="19"/>
  <c r="L206" i="36"/>
  <c r="C19" i="19"/>
  <c r="J19" i="19"/>
  <c r="AG19" i="19"/>
  <c r="AI19" i="19"/>
  <c r="AI21" i="19"/>
  <c r="J24" i="19"/>
  <c r="AG24" i="19"/>
  <c r="AI24" i="19"/>
  <c r="L356" i="36"/>
  <c r="L360" i="36"/>
  <c r="L374" i="36"/>
  <c r="C25" i="19"/>
  <c r="J25" i="19"/>
  <c r="AG25" i="19"/>
  <c r="AI25" i="19"/>
  <c r="AI27" i="19"/>
  <c r="AI29" i="19"/>
  <c r="L75" i="36"/>
  <c r="L96" i="36"/>
  <c r="C36" i="19"/>
  <c r="J36" i="19"/>
  <c r="AG36" i="19"/>
  <c r="AI36" i="19"/>
  <c r="AI38" i="19"/>
  <c r="L48" i="36"/>
  <c r="C32" i="19"/>
  <c r="J32" i="19"/>
  <c r="AG32" i="19"/>
  <c r="AI32" i="19"/>
  <c r="AI34" i="19"/>
  <c r="AI40" i="19"/>
  <c r="J67" i="19"/>
  <c r="AG67" i="19"/>
  <c r="AI67" i="19"/>
  <c r="L76" i="36"/>
  <c r="L97" i="36"/>
  <c r="C68" i="19"/>
  <c r="J68" i="19"/>
  <c r="AG68" i="19"/>
  <c r="AI68" i="19"/>
  <c r="L361" i="36"/>
  <c r="L314" i="36"/>
  <c r="L318" i="36"/>
  <c r="L185" i="36"/>
  <c r="C69" i="19"/>
  <c r="J69" i="19"/>
  <c r="AG69" i="19"/>
  <c r="AI69" i="19"/>
  <c r="L357" i="36"/>
  <c r="L376" i="36"/>
  <c r="C70" i="19"/>
  <c r="J70" i="19"/>
  <c r="AG70" i="19"/>
  <c r="AI70" i="19"/>
  <c r="L368" i="36"/>
  <c r="C71" i="19"/>
  <c r="J71" i="19"/>
  <c r="AG71" i="19"/>
  <c r="AI71" i="19"/>
  <c r="AI73" i="19"/>
  <c r="L65" i="36"/>
  <c r="C45" i="19"/>
  <c r="J45" i="19"/>
  <c r="AG45" i="19"/>
  <c r="AI45" i="19"/>
  <c r="L64" i="36"/>
  <c r="L87" i="36"/>
  <c r="L105" i="36"/>
  <c r="C46" i="19"/>
  <c r="J46" i="19"/>
  <c r="AG46" i="19"/>
  <c r="AI46" i="19"/>
  <c r="L55" i="36"/>
  <c r="C47" i="19"/>
  <c r="J47" i="19"/>
  <c r="AG47" i="19"/>
  <c r="AI47" i="19"/>
  <c r="L49" i="36"/>
  <c r="C48" i="19"/>
  <c r="J48" i="19"/>
  <c r="AG48" i="19"/>
  <c r="AI48" i="19"/>
  <c r="L266" i="36"/>
  <c r="C49" i="19"/>
  <c r="J49" i="19"/>
  <c r="AG49" i="19"/>
  <c r="AI49" i="19"/>
  <c r="L165" i="36"/>
  <c r="C50" i="19"/>
  <c r="J50" i="19"/>
  <c r="AG50" i="19"/>
  <c r="AI50" i="19"/>
  <c r="L171" i="36"/>
  <c r="C51" i="19"/>
  <c r="J51" i="19"/>
  <c r="AG51" i="19"/>
  <c r="AI51" i="19"/>
  <c r="L245" i="36"/>
  <c r="L271" i="36"/>
  <c r="L189" i="36"/>
  <c r="L130" i="36"/>
  <c r="C52" i="19"/>
  <c r="J52" i="19"/>
  <c r="AG52" i="19"/>
  <c r="AI52" i="19"/>
  <c r="L294" i="36"/>
  <c r="C53" i="19"/>
  <c r="J53" i="19"/>
  <c r="AG53" i="19"/>
  <c r="AI53" i="19"/>
  <c r="L59" i="36"/>
  <c r="C54" i="19"/>
  <c r="J54" i="19"/>
  <c r="AG54" i="19"/>
  <c r="AI54" i="19"/>
  <c r="L227" i="36"/>
  <c r="C55" i="19"/>
  <c r="J55" i="19"/>
  <c r="AG55" i="19"/>
  <c r="AI55" i="19"/>
  <c r="L239" i="36"/>
  <c r="L250" i="36"/>
  <c r="C56" i="19"/>
  <c r="J56" i="19"/>
  <c r="AG56" i="19"/>
  <c r="AI56" i="19"/>
  <c r="L180" i="36"/>
  <c r="C57" i="19"/>
  <c r="J57" i="19"/>
  <c r="AG57" i="19"/>
  <c r="AI57" i="19"/>
  <c r="L193" i="36"/>
  <c r="C58" i="19"/>
  <c r="J58" i="19"/>
  <c r="AG58" i="19"/>
  <c r="AI58" i="19"/>
  <c r="L202" i="36"/>
  <c r="C59" i="19"/>
  <c r="J59" i="19"/>
  <c r="AG59" i="19"/>
  <c r="AI59" i="19"/>
  <c r="L302" i="36"/>
  <c r="C60" i="19"/>
  <c r="J60" i="19"/>
  <c r="AG60" i="19"/>
  <c r="AI60" i="19"/>
  <c r="L212" i="36"/>
  <c r="C61" i="19"/>
  <c r="J61" i="19"/>
  <c r="AG61" i="19"/>
  <c r="AI61" i="19"/>
  <c r="L218" i="36"/>
  <c r="C62" i="19"/>
  <c r="J62" i="19"/>
  <c r="AG62" i="19"/>
  <c r="AI62" i="19"/>
  <c r="AI64" i="19"/>
  <c r="AI75" i="19"/>
  <c r="J102" i="19"/>
  <c r="AG102" i="19"/>
  <c r="AI102" i="19"/>
  <c r="L79" i="36"/>
  <c r="L99" i="36"/>
  <c r="C103" i="19"/>
  <c r="J103" i="19"/>
  <c r="AG103" i="19"/>
  <c r="AI103" i="19"/>
  <c r="L81" i="36"/>
  <c r="L100" i="36"/>
  <c r="C104" i="19"/>
  <c r="J104" i="19"/>
  <c r="AG104" i="19"/>
  <c r="AI104" i="19"/>
  <c r="L82" i="36"/>
  <c r="L101" i="36"/>
  <c r="C105" i="19"/>
  <c r="J105" i="19"/>
  <c r="AG105" i="19"/>
  <c r="AI105" i="19"/>
  <c r="L83" i="36"/>
  <c r="L102" i="36"/>
  <c r="C106" i="19"/>
  <c r="J106" i="19"/>
  <c r="AG106" i="19"/>
  <c r="AI106" i="19"/>
  <c r="L370" i="36"/>
  <c r="C110" i="19"/>
  <c r="J110" i="19"/>
  <c r="AG110" i="19"/>
  <c r="AI110" i="19"/>
  <c r="AI362" i="19"/>
  <c r="J362" i="19"/>
  <c r="AI363" i="19"/>
  <c r="AI396" i="19"/>
  <c r="L77" i="36"/>
  <c r="L98" i="36"/>
  <c r="C100" i="19"/>
  <c r="J100" i="19"/>
  <c r="AG100" i="19"/>
  <c r="AI100" i="19"/>
  <c r="L78" i="36"/>
  <c r="C101" i="19"/>
  <c r="J101" i="19"/>
  <c r="AG101" i="19"/>
  <c r="AI101" i="19"/>
  <c r="L358" i="36"/>
  <c r="L377" i="36"/>
  <c r="L364" i="36"/>
  <c r="C107" i="19"/>
  <c r="J107" i="19"/>
  <c r="AG107" i="19"/>
  <c r="AI107" i="19"/>
  <c r="L362" i="36"/>
  <c r="C108" i="19"/>
  <c r="J108" i="19"/>
  <c r="AG108" i="19"/>
  <c r="AI108" i="19"/>
  <c r="L369" i="36"/>
  <c r="C109" i="19"/>
  <c r="J109" i="19"/>
  <c r="AG109" i="19"/>
  <c r="AI109" i="19"/>
  <c r="AI112" i="19"/>
  <c r="L68" i="36"/>
  <c r="L90" i="36"/>
  <c r="C82" i="19"/>
  <c r="J82" i="19"/>
  <c r="AG82" i="19"/>
  <c r="AI82" i="19"/>
  <c r="L69" i="36"/>
  <c r="L91" i="36"/>
  <c r="C83" i="19"/>
  <c r="J83" i="19"/>
  <c r="AG83" i="19"/>
  <c r="AI83" i="19"/>
  <c r="J84" i="19"/>
  <c r="AG84" i="19"/>
  <c r="AI84" i="19"/>
  <c r="AI360" i="19"/>
  <c r="J360" i="19"/>
  <c r="AI361" i="19"/>
  <c r="AI395" i="19"/>
  <c r="L67" i="36"/>
  <c r="C79" i="19"/>
  <c r="J79" i="19"/>
  <c r="AG79" i="19"/>
  <c r="AI79" i="19"/>
  <c r="L66" i="36"/>
  <c r="L88" i="36"/>
  <c r="C80" i="19"/>
  <c r="J80" i="19"/>
  <c r="AG80" i="19"/>
  <c r="AI80" i="19"/>
  <c r="L50" i="36"/>
  <c r="C81" i="19"/>
  <c r="J81" i="19"/>
  <c r="AG81" i="19"/>
  <c r="AI81" i="19"/>
  <c r="L267" i="36"/>
  <c r="L198" i="36"/>
  <c r="L186" i="36"/>
  <c r="C85" i="19"/>
  <c r="J85" i="19"/>
  <c r="AG85" i="19"/>
  <c r="AI85" i="19"/>
  <c r="L166" i="36"/>
  <c r="C86" i="19"/>
  <c r="J86" i="19"/>
  <c r="AG86" i="19"/>
  <c r="AI86" i="19"/>
  <c r="L315" i="36"/>
  <c r="L319" i="36"/>
  <c r="C87" i="19"/>
  <c r="J87" i="19"/>
  <c r="AG87" i="19"/>
  <c r="AI87" i="19"/>
  <c r="L228" i="36"/>
  <c r="L246" i="36"/>
  <c r="L240" i="36"/>
  <c r="C88" i="19"/>
  <c r="J88" i="19"/>
  <c r="AG88" i="19"/>
  <c r="AI88" i="19"/>
  <c r="L272" i="36"/>
  <c r="L131" i="36"/>
  <c r="C89" i="19"/>
  <c r="J89" i="19"/>
  <c r="AG89" i="19"/>
  <c r="AI89" i="19"/>
  <c r="L181" i="36"/>
  <c r="C90" i="19"/>
  <c r="J90" i="19"/>
  <c r="AG90" i="19"/>
  <c r="AI90" i="19"/>
  <c r="L190" i="36"/>
  <c r="C91" i="19"/>
  <c r="J91" i="19"/>
  <c r="AG91" i="19"/>
  <c r="AI91" i="19"/>
  <c r="L203" i="36"/>
  <c r="L194" i="36"/>
  <c r="C92" i="19"/>
  <c r="J92" i="19"/>
  <c r="AG92" i="19"/>
  <c r="AI92" i="19"/>
  <c r="L213" i="36"/>
  <c r="L219" i="36"/>
  <c r="C93" i="19"/>
  <c r="J93" i="19"/>
  <c r="AG93" i="19"/>
  <c r="AI93" i="19"/>
  <c r="L305" i="36"/>
  <c r="L307" i="36"/>
  <c r="C94" i="19"/>
  <c r="J94" i="19"/>
  <c r="AG94" i="19"/>
  <c r="AI94" i="19"/>
  <c r="AI96" i="19"/>
  <c r="AI114" i="19"/>
  <c r="L71" i="36"/>
  <c r="L93" i="36"/>
  <c r="C117" i="19"/>
  <c r="J117" i="19"/>
  <c r="AG117" i="19"/>
  <c r="AI117" i="19"/>
  <c r="L167" i="36"/>
  <c r="C118" i="19"/>
  <c r="J118" i="19"/>
  <c r="AG118" i="19"/>
  <c r="AI118" i="19"/>
  <c r="L70" i="36"/>
  <c r="L73" i="36"/>
  <c r="L92" i="36"/>
  <c r="L94" i="36"/>
  <c r="C119" i="19"/>
  <c r="J119" i="19"/>
  <c r="AG119" i="19"/>
  <c r="AI119" i="19"/>
  <c r="L331" i="36"/>
  <c r="M331" i="36"/>
  <c r="C120" i="19"/>
  <c r="J120" i="19"/>
  <c r="AG120" i="19"/>
  <c r="AI120" i="19"/>
  <c r="J121" i="19"/>
  <c r="AG121" i="19"/>
  <c r="AI121" i="19"/>
  <c r="L214" i="36"/>
  <c r="C122" i="19"/>
  <c r="J122" i="19"/>
  <c r="AG122" i="19"/>
  <c r="AI122" i="19"/>
  <c r="L334" i="36"/>
  <c r="C123" i="19"/>
  <c r="J123" i="19"/>
  <c r="AG123" i="19"/>
  <c r="AI123" i="19"/>
  <c r="L335" i="36"/>
  <c r="L278" i="36"/>
  <c r="L279" i="36"/>
  <c r="L280" i="36"/>
  <c r="L281" i="36"/>
  <c r="L282" i="36"/>
  <c r="L283" i="36"/>
  <c r="C124" i="19"/>
  <c r="J124" i="19"/>
  <c r="AG124" i="19"/>
  <c r="AI124" i="19"/>
  <c r="L241" i="36"/>
  <c r="C125" i="19"/>
  <c r="J125" i="19"/>
  <c r="AG125" i="19"/>
  <c r="AI125" i="19"/>
  <c r="L336" i="36"/>
  <c r="C126" i="19"/>
  <c r="J126" i="19"/>
  <c r="AG126" i="19"/>
  <c r="AI126" i="19"/>
  <c r="L337" i="36"/>
  <c r="C127" i="19"/>
  <c r="J127" i="19"/>
  <c r="AG127" i="19"/>
  <c r="AI127" i="19"/>
  <c r="L338" i="36"/>
  <c r="C128" i="19"/>
  <c r="J128" i="19"/>
  <c r="AG128" i="19"/>
  <c r="AI128" i="19"/>
  <c r="L220" i="36"/>
  <c r="C129" i="19"/>
  <c r="J129" i="19"/>
  <c r="AG129" i="19"/>
  <c r="AI129" i="19"/>
  <c r="L333" i="36"/>
  <c r="L132" i="36"/>
  <c r="C130" i="19"/>
  <c r="J130" i="19"/>
  <c r="AG130" i="19"/>
  <c r="AI130" i="19"/>
  <c r="AI132" i="19"/>
  <c r="AI364" i="19"/>
  <c r="J21" i="19"/>
  <c r="J27" i="19"/>
  <c r="J29" i="19"/>
  <c r="J38" i="19"/>
  <c r="J34" i="19"/>
  <c r="J40" i="19"/>
  <c r="J64" i="19"/>
  <c r="J73" i="19"/>
  <c r="J75" i="19"/>
  <c r="J112" i="19"/>
  <c r="J96" i="19"/>
  <c r="J114" i="19"/>
  <c r="J132" i="19"/>
  <c r="J364" i="19"/>
  <c r="AI365" i="19"/>
  <c r="AI399" i="19"/>
  <c r="AI314" i="19"/>
  <c r="AI315" i="19"/>
  <c r="AI316" i="19"/>
  <c r="C317" i="19"/>
  <c r="J317" i="19"/>
  <c r="AG317" i="19"/>
  <c r="AI317" i="19"/>
  <c r="J318" i="19"/>
  <c r="AG318" i="19"/>
  <c r="AI318" i="19"/>
  <c r="AI319" i="19"/>
  <c r="AI320" i="19"/>
  <c r="AI321" i="19"/>
  <c r="AI322" i="19"/>
  <c r="AI323" i="19"/>
  <c r="AI324" i="19"/>
  <c r="AI325" i="19"/>
  <c r="AI326" i="19"/>
  <c r="AI333" i="19"/>
  <c r="AI334" i="19"/>
  <c r="AI335" i="19"/>
  <c r="AI336" i="19"/>
  <c r="AI337" i="19"/>
  <c r="AI338" i="19"/>
  <c r="AI339" i="19"/>
  <c r="AI340" i="19"/>
  <c r="AI341" i="19"/>
  <c r="AI370" i="19"/>
  <c r="J370" i="19"/>
  <c r="AI371" i="19"/>
  <c r="F144" i="12"/>
  <c r="I531" i="36"/>
  <c r="I530" i="36"/>
  <c r="I529" i="36"/>
  <c r="I528" i="36"/>
  <c r="L24" i="27"/>
  <c r="L18" i="27"/>
  <c r="L20" i="27"/>
  <c r="L22" i="27"/>
  <c r="L26" i="27"/>
  <c r="L28" i="27"/>
  <c r="L30" i="27"/>
  <c r="L32" i="27"/>
  <c r="N24" i="27"/>
  <c r="K15" i="1"/>
  <c r="E38" i="1"/>
  <c r="G38" i="1"/>
  <c r="D14" i="2"/>
  <c r="H14" i="2"/>
  <c r="D15" i="2"/>
  <c r="H15" i="2"/>
  <c r="D16" i="2"/>
  <c r="H16" i="2"/>
  <c r="D17" i="2"/>
  <c r="H17" i="2"/>
  <c r="D18" i="2"/>
  <c r="H18" i="2"/>
  <c r="H20" i="2"/>
  <c r="J14" i="2"/>
  <c r="I38" i="1"/>
  <c r="K38" i="1"/>
  <c r="M38" i="1"/>
  <c r="L386" i="19"/>
  <c r="L281" i="19"/>
  <c r="L282" i="19"/>
  <c r="L283" i="19"/>
  <c r="L385" i="19"/>
  <c r="L284" i="19"/>
  <c r="L285" i="19"/>
  <c r="L286" i="19"/>
  <c r="L287" i="19"/>
  <c r="F45" i="4"/>
  <c r="H45" i="4"/>
  <c r="E58" i="5"/>
  <c r="I58" i="5"/>
  <c r="E59" i="5"/>
  <c r="I59" i="5"/>
  <c r="E60" i="5"/>
  <c r="I60" i="5"/>
  <c r="E61" i="5"/>
  <c r="I61" i="5"/>
  <c r="E62" i="5"/>
  <c r="I62" i="5"/>
  <c r="I64" i="5"/>
  <c r="K58" i="5"/>
  <c r="J45" i="4"/>
  <c r="I42" i="5"/>
  <c r="L43" i="4"/>
  <c r="L45" i="4"/>
  <c r="R45" i="4"/>
  <c r="L16" i="8"/>
  <c r="N16" i="8"/>
  <c r="D16" i="8"/>
  <c r="F16" i="8"/>
  <c r="H17" i="4"/>
  <c r="I15" i="5"/>
  <c r="J15" i="4"/>
  <c r="J17" i="4"/>
  <c r="D17" i="4"/>
  <c r="F17" i="4"/>
  <c r="P17" i="4"/>
  <c r="H16" i="8"/>
  <c r="J16" i="8"/>
  <c r="P16" i="8"/>
  <c r="L390" i="19"/>
  <c r="L288" i="19"/>
  <c r="L289" i="19"/>
  <c r="L290" i="19"/>
  <c r="L291" i="19"/>
  <c r="L292" i="19"/>
  <c r="L293" i="19"/>
  <c r="L294" i="19"/>
  <c r="L295" i="19"/>
  <c r="L296" i="19"/>
  <c r="L297" i="19"/>
  <c r="L298" i="19"/>
  <c r="L299" i="19"/>
  <c r="F56" i="8"/>
  <c r="H56" i="8"/>
  <c r="J56" i="8"/>
  <c r="L56" i="8"/>
  <c r="N56" i="8"/>
  <c r="L391" i="19"/>
  <c r="L300" i="19"/>
  <c r="L301" i="19"/>
  <c r="L302" i="19"/>
  <c r="F16" i="6"/>
  <c r="H16" i="6"/>
  <c r="D36" i="7"/>
  <c r="H36" i="7"/>
  <c r="D37" i="7"/>
  <c r="H37" i="7"/>
  <c r="D38" i="7"/>
  <c r="H38" i="7"/>
  <c r="D39" i="7"/>
  <c r="H39" i="7"/>
  <c r="D40" i="7"/>
  <c r="H40" i="7"/>
  <c r="H42" i="7"/>
  <c r="J16" i="6"/>
  <c r="R16" i="6"/>
  <c r="L389" i="19"/>
  <c r="L303" i="19"/>
  <c r="L388" i="19"/>
  <c r="L305" i="19"/>
  <c r="L306" i="19"/>
  <c r="L307" i="19"/>
  <c r="L387" i="19"/>
  <c r="L308" i="19"/>
  <c r="L309" i="19"/>
  <c r="F33" i="31"/>
  <c r="H33" i="31"/>
  <c r="F35" i="31"/>
  <c r="H35" i="31"/>
  <c r="F37" i="31"/>
  <c r="H37" i="31"/>
  <c r="F39" i="31"/>
  <c r="H39" i="31"/>
  <c r="F41" i="31"/>
  <c r="H41" i="31"/>
  <c r="F43" i="31"/>
  <c r="H43" i="31"/>
  <c r="F45" i="31"/>
  <c r="H45" i="31"/>
  <c r="H53" i="31"/>
  <c r="D48" i="9"/>
  <c r="J33" i="31"/>
  <c r="L33" i="31"/>
  <c r="J35" i="31"/>
  <c r="L35" i="31"/>
  <c r="J37" i="31"/>
  <c r="L37" i="31"/>
  <c r="J39" i="31"/>
  <c r="L39" i="31"/>
  <c r="J41" i="31"/>
  <c r="L41" i="31"/>
  <c r="J43" i="31"/>
  <c r="L43" i="31"/>
  <c r="J45" i="31"/>
  <c r="L45" i="31"/>
  <c r="L53" i="31"/>
  <c r="D49" i="9"/>
  <c r="N33" i="31"/>
  <c r="P33" i="31"/>
  <c r="N35" i="31"/>
  <c r="P35" i="31"/>
  <c r="N37" i="31"/>
  <c r="P37" i="31"/>
  <c r="N39" i="31"/>
  <c r="P39" i="31"/>
  <c r="N41" i="31"/>
  <c r="P41" i="31"/>
  <c r="N43" i="31"/>
  <c r="P43" i="31"/>
  <c r="N45" i="31"/>
  <c r="P45" i="31"/>
  <c r="P53" i="31"/>
  <c r="D50" i="9"/>
  <c r="R33" i="31"/>
  <c r="T33" i="31"/>
  <c r="R35" i="31"/>
  <c r="T35" i="31"/>
  <c r="R37" i="31"/>
  <c r="T37" i="31"/>
  <c r="R39" i="31"/>
  <c r="T39" i="31"/>
  <c r="R41" i="31"/>
  <c r="T41" i="31"/>
  <c r="R43" i="31"/>
  <c r="T43" i="31"/>
  <c r="R45" i="31"/>
  <c r="T45" i="31"/>
  <c r="T53" i="31"/>
  <c r="D51" i="9"/>
  <c r="V33" i="31"/>
  <c r="X33" i="31"/>
  <c r="V35" i="31"/>
  <c r="X35" i="31"/>
  <c r="V37" i="31"/>
  <c r="X37" i="31"/>
  <c r="V39" i="31"/>
  <c r="X39" i="31"/>
  <c r="V41" i="31"/>
  <c r="X41" i="31"/>
  <c r="V43" i="31"/>
  <c r="X43" i="31"/>
  <c r="V45" i="31"/>
  <c r="X45" i="31"/>
  <c r="X53" i="31"/>
  <c r="D52" i="9"/>
  <c r="AB39" i="31"/>
  <c r="AB41" i="31"/>
  <c r="AB43" i="31"/>
  <c r="AB45" i="31"/>
  <c r="AB47" i="31"/>
  <c r="AB49" i="31"/>
  <c r="AB51" i="31"/>
  <c r="AB53" i="31"/>
  <c r="D53" i="9"/>
  <c r="D55" i="9"/>
  <c r="F48" i="9"/>
  <c r="L394" i="19"/>
  <c r="L310" i="19"/>
  <c r="H21" i="31"/>
  <c r="D27" i="9"/>
  <c r="L21" i="31"/>
  <c r="D28" i="9"/>
  <c r="P21" i="31"/>
  <c r="D29" i="9"/>
  <c r="T21" i="31"/>
  <c r="D30" i="9"/>
  <c r="X21" i="31"/>
  <c r="D31" i="9"/>
  <c r="D32" i="9"/>
  <c r="D34" i="9"/>
  <c r="F27" i="9"/>
  <c r="L393" i="19"/>
  <c r="L311" i="19"/>
  <c r="L312" i="19"/>
  <c r="L313" i="19"/>
  <c r="L14" i="19"/>
  <c r="L15" i="19"/>
  <c r="L16" i="19"/>
  <c r="L17" i="19"/>
  <c r="L18" i="19"/>
  <c r="L19" i="19"/>
  <c r="L21" i="19"/>
  <c r="L24" i="19"/>
  <c r="L25" i="19"/>
  <c r="L27" i="19"/>
  <c r="L29" i="19"/>
  <c r="L36" i="19"/>
  <c r="L38" i="19"/>
  <c r="L32" i="19"/>
  <c r="L34" i="19"/>
  <c r="L40" i="19"/>
  <c r="L45" i="19"/>
  <c r="L46" i="19"/>
  <c r="L47" i="19"/>
  <c r="L48" i="19"/>
  <c r="L49" i="19"/>
  <c r="L50" i="19"/>
  <c r="L51" i="19"/>
  <c r="L52" i="19"/>
  <c r="L53" i="19"/>
  <c r="L54" i="19"/>
  <c r="L55" i="19"/>
  <c r="L56" i="19"/>
  <c r="L57" i="19"/>
  <c r="L58" i="19"/>
  <c r="L59" i="19"/>
  <c r="L60" i="19"/>
  <c r="L61" i="19"/>
  <c r="L62" i="19"/>
  <c r="L64" i="19"/>
  <c r="L67" i="19"/>
  <c r="L68" i="19"/>
  <c r="L69" i="19"/>
  <c r="L70" i="19"/>
  <c r="L71" i="19"/>
  <c r="L73" i="19"/>
  <c r="L75" i="19"/>
  <c r="L102" i="19"/>
  <c r="L103" i="19"/>
  <c r="L104" i="19"/>
  <c r="L105" i="19"/>
  <c r="L106" i="19"/>
  <c r="L110" i="19"/>
  <c r="L362" i="19"/>
  <c r="L363" i="19"/>
  <c r="L396" i="19"/>
  <c r="L100" i="19"/>
  <c r="L101" i="19"/>
  <c r="L107" i="19"/>
  <c r="L108" i="19"/>
  <c r="L109" i="19"/>
  <c r="L112" i="19"/>
  <c r="L82" i="19"/>
  <c r="L83" i="19"/>
  <c r="L84" i="19"/>
  <c r="L360" i="19"/>
  <c r="L361" i="19"/>
  <c r="L395" i="19"/>
  <c r="L79" i="19"/>
  <c r="L80" i="19"/>
  <c r="L81" i="19"/>
  <c r="L85" i="19"/>
  <c r="L86" i="19"/>
  <c r="L87" i="19"/>
  <c r="L88" i="19"/>
  <c r="L89" i="19"/>
  <c r="L90" i="19"/>
  <c r="L91" i="19"/>
  <c r="L92" i="19"/>
  <c r="L93" i="19"/>
  <c r="L94" i="19"/>
  <c r="L96" i="19"/>
  <c r="L114" i="19"/>
  <c r="F21" i="31"/>
  <c r="D13" i="10"/>
  <c r="D33" i="10"/>
  <c r="J21" i="31"/>
  <c r="D14" i="10"/>
  <c r="D34" i="10"/>
  <c r="N21" i="31"/>
  <c r="D15" i="10"/>
  <c r="D35" i="10"/>
  <c r="R21" i="31"/>
  <c r="D16" i="10"/>
  <c r="D36" i="10"/>
  <c r="V21" i="31"/>
  <c r="D17" i="10"/>
  <c r="D37" i="10"/>
  <c r="D38" i="10"/>
  <c r="D40" i="10"/>
  <c r="F33" i="10"/>
  <c r="L398" i="19"/>
  <c r="L117" i="19"/>
  <c r="K26" i="16"/>
  <c r="D18" i="10"/>
  <c r="D21" i="10"/>
  <c r="F13" i="10"/>
  <c r="L397" i="19"/>
  <c r="L118" i="19"/>
  <c r="L119" i="19"/>
  <c r="D151" i="12"/>
  <c r="L405" i="19"/>
  <c r="L120" i="19"/>
  <c r="L121" i="19"/>
  <c r="L122" i="19"/>
  <c r="L123" i="19"/>
  <c r="L124" i="19"/>
  <c r="L125" i="19"/>
  <c r="L126" i="19"/>
  <c r="L127" i="19"/>
  <c r="L128" i="19"/>
  <c r="L129" i="19"/>
  <c r="L130" i="19"/>
  <c r="L132" i="19"/>
  <c r="L364" i="19"/>
  <c r="L365" i="19"/>
  <c r="L399" i="19"/>
  <c r="L314" i="19"/>
  <c r="L315" i="19"/>
  <c r="L316" i="19"/>
  <c r="L317" i="19"/>
  <c r="L318" i="19"/>
  <c r="L319" i="19"/>
  <c r="L320" i="19"/>
  <c r="L321" i="19"/>
  <c r="L322" i="19"/>
  <c r="L323" i="19"/>
  <c r="L324" i="19"/>
  <c r="L325" i="19"/>
  <c r="L326" i="19"/>
  <c r="L333" i="19"/>
  <c r="L334" i="19"/>
  <c r="L335" i="19"/>
  <c r="L336" i="19"/>
  <c r="L337" i="19"/>
  <c r="L338" i="19"/>
  <c r="L339" i="19"/>
  <c r="L340" i="19"/>
  <c r="L341" i="19"/>
  <c r="L370" i="19"/>
  <c r="L371" i="19"/>
  <c r="L74" i="36"/>
  <c r="L95" i="36"/>
  <c r="J84" i="36"/>
  <c r="L84" i="36"/>
  <c r="L103" i="36"/>
  <c r="L106" i="36"/>
  <c r="L107" i="36"/>
  <c r="L108" i="36"/>
  <c r="L109" i="36"/>
  <c r="C137" i="19"/>
  <c r="J137" i="19"/>
  <c r="L137" i="19"/>
  <c r="L368" i="19"/>
  <c r="J368" i="19"/>
  <c r="L369" i="19"/>
  <c r="L268" i="36"/>
  <c r="L273" i="36"/>
  <c r="L277" i="36"/>
  <c r="C138" i="19"/>
  <c r="J138" i="19"/>
  <c r="L138" i="19"/>
  <c r="I533" i="36"/>
  <c r="L158" i="36"/>
  <c r="C139" i="19"/>
  <c r="J533" i="36"/>
  <c r="J529" i="36"/>
  <c r="J140" i="19"/>
  <c r="L140" i="19"/>
  <c r="L401" i="19"/>
  <c r="J530" i="36"/>
  <c r="J141" i="19"/>
  <c r="L141" i="19"/>
  <c r="J531" i="36"/>
  <c r="J142" i="19"/>
  <c r="L142" i="19"/>
  <c r="J528" i="36"/>
  <c r="J143" i="19"/>
  <c r="L143" i="19"/>
  <c r="L162" i="36"/>
  <c r="L168" i="36"/>
  <c r="L169" i="36"/>
  <c r="L170" i="36"/>
  <c r="L172" i="36"/>
  <c r="L173" i="36"/>
  <c r="L174" i="36"/>
  <c r="L175" i="36"/>
  <c r="C144" i="19"/>
  <c r="J144" i="19"/>
  <c r="L144" i="19"/>
  <c r="L308" i="36"/>
  <c r="C145" i="19"/>
  <c r="J145" i="19"/>
  <c r="L145" i="19"/>
  <c r="L317" i="36"/>
  <c r="L320" i="36"/>
  <c r="L321" i="36"/>
  <c r="L322" i="36"/>
  <c r="L323" i="36"/>
  <c r="L324" i="36"/>
  <c r="L325" i="36"/>
  <c r="C146" i="19"/>
  <c r="J146" i="19"/>
  <c r="L146" i="19"/>
  <c r="L349" i="36"/>
  <c r="L350" i="36"/>
  <c r="L351" i="36"/>
  <c r="C148" i="19"/>
  <c r="L354" i="36"/>
  <c r="C147" i="19"/>
  <c r="J147" i="19"/>
  <c r="L147" i="19"/>
  <c r="J148" i="19"/>
  <c r="L148" i="19"/>
  <c r="L114" i="36"/>
  <c r="L120" i="36"/>
  <c r="L122" i="36"/>
  <c r="L123" i="36"/>
  <c r="L124" i="36"/>
  <c r="L125" i="36"/>
  <c r="L126" i="36"/>
  <c r="L127" i="36"/>
  <c r="L128" i="36"/>
  <c r="L129" i="36"/>
  <c r="L133" i="36"/>
  <c r="L134" i="36"/>
  <c r="L135" i="36"/>
  <c r="L136" i="36"/>
  <c r="L137" i="36"/>
  <c r="L138" i="36"/>
  <c r="L139" i="36"/>
  <c r="C149" i="19"/>
  <c r="J149" i="19"/>
  <c r="L149" i="19"/>
  <c r="L182" i="36"/>
  <c r="C151" i="19"/>
  <c r="J151" i="19"/>
  <c r="L151" i="19"/>
  <c r="L191" i="36"/>
  <c r="C152" i="19"/>
  <c r="J152" i="19"/>
  <c r="L152" i="19"/>
  <c r="L195" i="36"/>
  <c r="C153" i="19"/>
  <c r="J153" i="19"/>
  <c r="L153" i="19"/>
  <c r="L199" i="36"/>
  <c r="L200" i="36"/>
  <c r="C154" i="19"/>
  <c r="J154" i="19"/>
  <c r="L154" i="19"/>
  <c r="L208" i="36"/>
  <c r="C155" i="19"/>
  <c r="J155" i="19"/>
  <c r="L155" i="19"/>
  <c r="L215" i="36"/>
  <c r="C156" i="19"/>
  <c r="J156" i="19"/>
  <c r="L156" i="19"/>
  <c r="L221" i="36"/>
  <c r="L222" i="36"/>
  <c r="C157" i="19"/>
  <c r="J157" i="19"/>
  <c r="L157" i="19"/>
  <c r="L229" i="36"/>
  <c r="L231" i="36"/>
  <c r="L232" i="36"/>
  <c r="L234" i="36"/>
  <c r="C158" i="19"/>
  <c r="J158" i="19"/>
  <c r="L158" i="19"/>
  <c r="L187" i="36"/>
  <c r="L290" i="36"/>
  <c r="L293" i="36"/>
  <c r="L296" i="36"/>
  <c r="L297" i="36"/>
  <c r="L298" i="36"/>
  <c r="L299" i="36"/>
  <c r="L300" i="36"/>
  <c r="L235" i="36"/>
  <c r="C160" i="19"/>
  <c r="J160" i="19"/>
  <c r="L160" i="19"/>
  <c r="L284" i="36"/>
  <c r="L285" i="36"/>
  <c r="L286" i="36"/>
  <c r="L274" i="36"/>
  <c r="L275" i="36"/>
  <c r="L276" i="36"/>
  <c r="C161" i="19"/>
  <c r="J161" i="19"/>
  <c r="L161" i="19"/>
  <c r="L292" i="36"/>
  <c r="C162" i="19"/>
  <c r="J162" i="19"/>
  <c r="L162" i="19"/>
  <c r="L260" i="36"/>
  <c r="L287" i="36"/>
  <c r="L288" i="36"/>
  <c r="L289" i="36"/>
  <c r="L291" i="36"/>
  <c r="C163" i="19"/>
  <c r="J163" i="19"/>
  <c r="L163" i="19"/>
  <c r="L243" i="36"/>
  <c r="C164" i="19"/>
  <c r="J164" i="19"/>
  <c r="L164" i="19"/>
  <c r="L242" i="36"/>
  <c r="L236" i="36"/>
  <c r="L247" i="36"/>
  <c r="C165" i="19"/>
  <c r="J165" i="19"/>
  <c r="L165" i="19"/>
  <c r="L204" i="36"/>
  <c r="C166" i="19"/>
  <c r="J166" i="19"/>
  <c r="L166" i="19"/>
  <c r="L359" i="36"/>
  <c r="L365" i="36"/>
  <c r="L372" i="36"/>
  <c r="L378" i="36"/>
  <c r="L366" i="36"/>
  <c r="L367" i="36"/>
  <c r="C167" i="19"/>
  <c r="J167" i="19"/>
  <c r="L167" i="19"/>
  <c r="L402" i="19"/>
  <c r="G484" i="36"/>
  <c r="J484" i="36"/>
  <c r="L484" i="36"/>
  <c r="G485" i="36"/>
  <c r="J485" i="36"/>
  <c r="L485" i="36"/>
  <c r="C177" i="19"/>
  <c r="J177" i="19"/>
  <c r="L177" i="19"/>
  <c r="J178" i="19"/>
  <c r="L178" i="19"/>
  <c r="G444" i="36"/>
  <c r="J444" i="36"/>
  <c r="L444" i="36"/>
  <c r="C179" i="19"/>
  <c r="J179" i="19"/>
  <c r="L179" i="19"/>
  <c r="G453" i="36"/>
  <c r="J453" i="36"/>
  <c r="L453" i="36"/>
  <c r="C180" i="19"/>
  <c r="J180" i="19"/>
  <c r="L180" i="19"/>
  <c r="G454" i="36"/>
  <c r="J454" i="36"/>
  <c r="L454" i="36"/>
  <c r="C181" i="19"/>
  <c r="J181" i="19"/>
  <c r="L181" i="19"/>
  <c r="G461" i="36"/>
  <c r="J461" i="36"/>
  <c r="L461" i="36"/>
  <c r="C182" i="19"/>
  <c r="J182" i="19"/>
  <c r="L182" i="19"/>
  <c r="G462" i="36"/>
  <c r="J462" i="36"/>
  <c r="L462" i="36"/>
  <c r="C183" i="19"/>
  <c r="J183" i="19"/>
  <c r="L183" i="19"/>
  <c r="G455" i="36"/>
  <c r="J455" i="36"/>
  <c r="L455" i="36"/>
  <c r="C184" i="19"/>
  <c r="J184" i="19"/>
  <c r="L184" i="19"/>
  <c r="G445" i="36"/>
  <c r="J445" i="36"/>
  <c r="L445" i="36"/>
  <c r="C185" i="19"/>
  <c r="J185" i="19"/>
  <c r="L185" i="19"/>
  <c r="G456" i="36"/>
  <c r="J456" i="36"/>
  <c r="L456" i="36"/>
  <c r="C186" i="19"/>
  <c r="J186" i="19"/>
  <c r="L186" i="19"/>
  <c r="G457" i="36"/>
  <c r="J457" i="36"/>
  <c r="L457" i="36"/>
  <c r="C187" i="19"/>
  <c r="J187" i="19"/>
  <c r="L187" i="19"/>
  <c r="G458" i="36"/>
  <c r="J458" i="36"/>
  <c r="L458" i="36"/>
  <c r="C188" i="19"/>
  <c r="J188" i="19"/>
  <c r="L188" i="19"/>
  <c r="G459" i="36"/>
  <c r="J459" i="36"/>
  <c r="L459" i="36"/>
  <c r="C189" i="19"/>
  <c r="J189" i="19"/>
  <c r="L189" i="19"/>
  <c r="G460" i="36"/>
  <c r="J460" i="36"/>
  <c r="L460" i="36"/>
  <c r="C190" i="19"/>
  <c r="J190" i="19"/>
  <c r="L190" i="19"/>
  <c r="J191" i="19"/>
  <c r="L191" i="19"/>
  <c r="G446" i="36"/>
  <c r="J446" i="36"/>
  <c r="L446" i="36"/>
  <c r="C192" i="19"/>
  <c r="J192" i="19"/>
  <c r="L192" i="19"/>
  <c r="G464" i="36"/>
  <c r="J464" i="36"/>
  <c r="L464" i="36"/>
  <c r="C193" i="19"/>
  <c r="J193" i="19"/>
  <c r="L193" i="19"/>
  <c r="G465" i="36"/>
  <c r="J465" i="36"/>
  <c r="L465" i="36"/>
  <c r="C194" i="19"/>
  <c r="J194" i="19"/>
  <c r="L194" i="19"/>
  <c r="G447" i="36"/>
  <c r="J447" i="36"/>
  <c r="L447" i="36"/>
  <c r="C195" i="19"/>
  <c r="J195" i="19"/>
  <c r="L195" i="19"/>
  <c r="G463" i="36"/>
  <c r="J463" i="36"/>
  <c r="L463" i="36"/>
  <c r="C196" i="19"/>
  <c r="J196" i="19"/>
  <c r="L196" i="19"/>
  <c r="G466" i="36"/>
  <c r="J466" i="36"/>
  <c r="L466" i="36"/>
  <c r="G467" i="36"/>
  <c r="J467" i="36"/>
  <c r="L467" i="36"/>
  <c r="G468" i="36"/>
  <c r="J468" i="36"/>
  <c r="L468" i="36"/>
  <c r="G469" i="36"/>
  <c r="J469" i="36"/>
  <c r="L469" i="36"/>
  <c r="C197" i="19"/>
  <c r="J197" i="19"/>
  <c r="L197" i="19"/>
  <c r="G470" i="36"/>
  <c r="J470" i="36"/>
  <c r="L470" i="36"/>
  <c r="C199" i="19"/>
  <c r="G471" i="36"/>
  <c r="J471" i="36"/>
  <c r="L471" i="36"/>
  <c r="C200" i="19"/>
  <c r="G472" i="36"/>
  <c r="I514" i="36"/>
  <c r="E518" i="36"/>
  <c r="E519" i="36"/>
  <c r="E520" i="36"/>
  <c r="E521" i="36"/>
  <c r="E523" i="36"/>
  <c r="F518" i="36"/>
  <c r="I472" i="36"/>
  <c r="J472" i="36"/>
  <c r="L472" i="36"/>
  <c r="C201" i="19"/>
  <c r="G473" i="36"/>
  <c r="J473" i="36"/>
  <c r="L473" i="36"/>
  <c r="C202" i="19"/>
  <c r="G474" i="36"/>
  <c r="J474" i="36"/>
  <c r="L474" i="36"/>
  <c r="C203" i="19"/>
  <c r="B199" i="19"/>
  <c r="B309" i="19"/>
  <c r="B200" i="19"/>
  <c r="J199" i="19"/>
  <c r="L199" i="19"/>
  <c r="J200" i="19"/>
  <c r="L200" i="19"/>
  <c r="J201" i="19"/>
  <c r="L201" i="19"/>
  <c r="J202" i="19"/>
  <c r="L202" i="19"/>
  <c r="J203" i="19"/>
  <c r="L203" i="19"/>
  <c r="G475" i="36"/>
  <c r="F519" i="36"/>
  <c r="I475" i="36"/>
  <c r="J475" i="36"/>
  <c r="L475" i="36"/>
  <c r="C204" i="19"/>
  <c r="J204" i="19"/>
  <c r="L204" i="19"/>
  <c r="G476" i="36"/>
  <c r="F520" i="36"/>
  <c r="I476" i="36"/>
  <c r="J476" i="36"/>
  <c r="L476" i="36"/>
  <c r="G477" i="36"/>
  <c r="J477" i="36"/>
  <c r="L477" i="36"/>
  <c r="G478" i="36"/>
  <c r="J478" i="36"/>
  <c r="L478" i="36"/>
  <c r="G479" i="36"/>
  <c r="J479" i="36"/>
  <c r="L479" i="36"/>
  <c r="G480" i="36"/>
  <c r="J480" i="36"/>
  <c r="L480" i="36"/>
  <c r="C205" i="19"/>
  <c r="J205" i="19"/>
  <c r="L205" i="19"/>
  <c r="G481" i="36"/>
  <c r="J481" i="36"/>
  <c r="L481" i="36"/>
  <c r="G482" i="36"/>
  <c r="J482" i="36"/>
  <c r="L482" i="36"/>
  <c r="C206" i="19"/>
  <c r="J206" i="19"/>
  <c r="L206" i="19"/>
  <c r="G483" i="36"/>
  <c r="F521" i="36"/>
  <c r="I483" i="36"/>
  <c r="J483" i="36"/>
  <c r="L483" i="36"/>
  <c r="C207" i="19"/>
  <c r="J207" i="19"/>
  <c r="L207" i="19"/>
  <c r="G448" i="36"/>
  <c r="J448" i="36"/>
  <c r="L448" i="36"/>
  <c r="G450" i="36"/>
  <c r="J450" i="36"/>
  <c r="L450" i="36"/>
  <c r="C208" i="19"/>
  <c r="J208" i="19"/>
  <c r="L208" i="19"/>
  <c r="G449" i="36"/>
  <c r="J449" i="36"/>
  <c r="L449" i="36"/>
  <c r="C209" i="19"/>
  <c r="J209" i="19"/>
  <c r="L209" i="19"/>
  <c r="G451" i="36"/>
  <c r="J451" i="36"/>
  <c r="L451" i="36"/>
  <c r="C210" i="19"/>
  <c r="J210" i="19"/>
  <c r="L210" i="19"/>
  <c r="G452" i="36"/>
  <c r="J452" i="36"/>
  <c r="L452" i="36"/>
  <c r="C211" i="19"/>
  <c r="J211" i="19"/>
  <c r="L211" i="19"/>
  <c r="G486" i="36"/>
  <c r="J486" i="36"/>
  <c r="L486" i="36"/>
  <c r="C212" i="19"/>
  <c r="J212" i="19"/>
  <c r="L212" i="19"/>
  <c r="G487" i="36"/>
  <c r="J487" i="36"/>
  <c r="L487" i="36"/>
  <c r="C213" i="19"/>
  <c r="J213" i="19"/>
  <c r="L213" i="19"/>
  <c r="G488" i="36"/>
  <c r="J488" i="36"/>
  <c r="L488" i="36"/>
  <c r="C214" i="19"/>
  <c r="J214" i="19"/>
  <c r="L214" i="19"/>
  <c r="G489" i="36"/>
  <c r="J489" i="36"/>
  <c r="L489" i="36"/>
  <c r="C215" i="19"/>
  <c r="J215" i="19"/>
  <c r="L215" i="19"/>
  <c r="G491" i="36"/>
  <c r="J491" i="36"/>
  <c r="L491" i="36"/>
  <c r="C216" i="19"/>
  <c r="J216" i="19"/>
  <c r="L216" i="19"/>
  <c r="G492" i="36"/>
  <c r="J492" i="36"/>
  <c r="L492" i="36"/>
  <c r="C217" i="19"/>
  <c r="J217" i="19"/>
  <c r="L217" i="19"/>
  <c r="G511" i="36"/>
  <c r="L511" i="36"/>
  <c r="B218" i="19"/>
  <c r="C218" i="19"/>
  <c r="J218" i="19"/>
  <c r="L218" i="19"/>
  <c r="C219" i="19"/>
  <c r="J219" i="19"/>
  <c r="L219" i="19"/>
  <c r="G494" i="36"/>
  <c r="J494" i="36"/>
  <c r="L494" i="36"/>
  <c r="G495" i="36"/>
  <c r="J495" i="36"/>
  <c r="L495" i="36"/>
  <c r="C220" i="19"/>
  <c r="J220" i="19"/>
  <c r="L220" i="19"/>
  <c r="G496" i="36"/>
  <c r="J496" i="36"/>
  <c r="L496" i="36"/>
  <c r="C221" i="19"/>
  <c r="J221" i="19"/>
  <c r="L221" i="19"/>
  <c r="G497" i="36"/>
  <c r="J497" i="36"/>
  <c r="L497" i="36"/>
  <c r="C222" i="19"/>
  <c r="J222" i="19"/>
  <c r="L222" i="19"/>
  <c r="G498" i="36"/>
  <c r="J498" i="36"/>
  <c r="L498" i="36"/>
  <c r="C223" i="19"/>
  <c r="J223" i="19"/>
  <c r="L223" i="19"/>
  <c r="G499" i="36"/>
  <c r="J499" i="36"/>
  <c r="L499" i="36"/>
  <c r="C224" i="19"/>
  <c r="J224" i="19"/>
  <c r="L224" i="19"/>
  <c r="G500" i="36"/>
  <c r="J500" i="36"/>
  <c r="L500" i="36"/>
  <c r="C225" i="19"/>
  <c r="J225" i="19"/>
  <c r="L225" i="19"/>
  <c r="G501" i="36"/>
  <c r="J501" i="36"/>
  <c r="L501" i="36"/>
  <c r="C226" i="19"/>
  <c r="J226" i="19"/>
  <c r="L226" i="19"/>
  <c r="G502" i="36"/>
  <c r="J502" i="36"/>
  <c r="L502" i="36"/>
  <c r="C227" i="19"/>
  <c r="J227" i="19"/>
  <c r="L227" i="19"/>
  <c r="G503" i="36"/>
  <c r="J503" i="36"/>
  <c r="L503" i="36"/>
  <c r="C228" i="19"/>
  <c r="J228" i="19"/>
  <c r="L228" i="19"/>
  <c r="G504" i="36"/>
  <c r="J504" i="36"/>
  <c r="L504" i="36"/>
  <c r="C229" i="19"/>
  <c r="J229" i="19"/>
  <c r="L229" i="19"/>
  <c r="G505" i="36"/>
  <c r="J505" i="36"/>
  <c r="L505" i="36"/>
  <c r="C230" i="19"/>
  <c r="J230" i="19"/>
  <c r="L230" i="19"/>
  <c r="G506" i="36"/>
  <c r="J506" i="36"/>
  <c r="L506" i="36"/>
  <c r="C231" i="19"/>
  <c r="J231" i="19"/>
  <c r="L231" i="19"/>
  <c r="G507" i="36"/>
  <c r="J507" i="36"/>
  <c r="L507" i="36"/>
  <c r="C232" i="19"/>
  <c r="J232" i="19"/>
  <c r="L232" i="19"/>
  <c r="G508" i="36"/>
  <c r="J508" i="36"/>
  <c r="L508" i="36"/>
  <c r="C233" i="19"/>
  <c r="J233" i="19"/>
  <c r="L233" i="19"/>
  <c r="G509" i="36"/>
  <c r="J509" i="36"/>
  <c r="L509" i="36"/>
  <c r="C234" i="19"/>
  <c r="J234" i="19"/>
  <c r="L234" i="19"/>
  <c r="L236" i="19"/>
  <c r="L278" i="19"/>
  <c r="L279" i="19"/>
  <c r="L280" i="19"/>
  <c r="L329" i="19"/>
  <c r="L332" i="19"/>
  <c r="B258" i="19"/>
  <c r="C258" i="19"/>
  <c r="N30" i="27"/>
  <c r="N18" i="27"/>
  <c r="N22" i="27"/>
  <c r="H18" i="27"/>
  <c r="H20" i="27"/>
  <c r="H22" i="27"/>
  <c r="H24" i="27"/>
  <c r="H26" i="27"/>
  <c r="H28" i="27"/>
  <c r="H30" i="27"/>
  <c r="H32" i="27"/>
  <c r="J18" i="27"/>
  <c r="J20" i="27"/>
  <c r="V385" i="19"/>
  <c r="V14" i="19"/>
  <c r="V15" i="19"/>
  <c r="M43" i="1"/>
  <c r="V386" i="19"/>
  <c r="V16" i="19"/>
  <c r="V17" i="19"/>
  <c r="V18" i="19"/>
  <c r="V19" i="19"/>
  <c r="V21" i="19"/>
  <c r="V24" i="19"/>
  <c r="V25" i="19"/>
  <c r="V27" i="19"/>
  <c r="V29" i="19"/>
  <c r="N50" i="4"/>
  <c r="I46" i="5"/>
  <c r="P43" i="4"/>
  <c r="P50" i="4"/>
  <c r="R50" i="4"/>
  <c r="L21" i="8"/>
  <c r="N21" i="8"/>
  <c r="D21" i="8"/>
  <c r="F21" i="8"/>
  <c r="L22" i="4"/>
  <c r="I19" i="5"/>
  <c r="N15" i="4"/>
  <c r="N22" i="4"/>
  <c r="P22" i="4"/>
  <c r="H21" i="8"/>
  <c r="J21" i="8"/>
  <c r="P21" i="8"/>
  <c r="V390" i="19"/>
  <c r="V36" i="19"/>
  <c r="V38" i="19"/>
  <c r="V32" i="19"/>
  <c r="V34" i="19"/>
  <c r="V40" i="19"/>
  <c r="V45" i="19"/>
  <c r="V46" i="19"/>
  <c r="V47" i="19"/>
  <c r="V48" i="19"/>
  <c r="V49" i="19"/>
  <c r="V50" i="19"/>
  <c r="V51" i="19"/>
  <c r="V52" i="19"/>
  <c r="V53" i="19"/>
  <c r="V54" i="19"/>
  <c r="V55" i="19"/>
  <c r="V56" i="19"/>
  <c r="V57" i="19"/>
  <c r="V58" i="19"/>
  <c r="V59" i="19"/>
  <c r="V60" i="19"/>
  <c r="V61" i="19"/>
  <c r="V62" i="19"/>
  <c r="V64" i="19"/>
  <c r="V67" i="19"/>
  <c r="V68" i="19"/>
  <c r="V69" i="19"/>
  <c r="V70" i="19"/>
  <c r="V71" i="19"/>
  <c r="V73" i="19"/>
  <c r="V75" i="19"/>
  <c r="N21" i="6"/>
  <c r="P21" i="6"/>
  <c r="R21" i="6"/>
  <c r="V389" i="19"/>
  <c r="V102" i="19"/>
  <c r="F61" i="8"/>
  <c r="H61" i="8"/>
  <c r="J61" i="8"/>
  <c r="L61" i="8"/>
  <c r="N61" i="8"/>
  <c r="V391" i="19"/>
  <c r="V103" i="19"/>
  <c r="F53" i="9"/>
  <c r="V394" i="19"/>
  <c r="V104" i="19"/>
  <c r="F32" i="9"/>
  <c r="V393" i="19"/>
  <c r="V105" i="19"/>
  <c r="V106" i="19"/>
  <c r="V110" i="19"/>
  <c r="V362" i="19"/>
  <c r="V363" i="19"/>
  <c r="V396" i="19"/>
  <c r="V100" i="19"/>
  <c r="V101" i="19"/>
  <c r="V107" i="19"/>
  <c r="V108" i="19"/>
  <c r="V109" i="19"/>
  <c r="V112" i="19"/>
  <c r="V82" i="19"/>
  <c r="V83" i="19"/>
  <c r="V84" i="19"/>
  <c r="V360" i="19"/>
  <c r="V361" i="19"/>
  <c r="V395" i="19"/>
  <c r="V79" i="19"/>
  <c r="V80" i="19"/>
  <c r="V81" i="19"/>
  <c r="V85" i="19"/>
  <c r="V86" i="19"/>
  <c r="V87" i="19"/>
  <c r="V88" i="19"/>
  <c r="V89" i="19"/>
  <c r="V90" i="19"/>
  <c r="V91" i="19"/>
  <c r="V92" i="19"/>
  <c r="V93" i="19"/>
  <c r="V94" i="19"/>
  <c r="V96" i="19"/>
  <c r="V114" i="19"/>
  <c r="F38" i="10"/>
  <c r="V398" i="19"/>
  <c r="V117" i="19"/>
  <c r="F18" i="10"/>
  <c r="V397" i="19"/>
  <c r="V118" i="19"/>
  <c r="V119" i="19"/>
  <c r="F149" i="12"/>
  <c r="V405" i="19"/>
  <c r="V120" i="19"/>
  <c r="V121" i="19"/>
  <c r="V122" i="19"/>
  <c r="V123" i="19"/>
  <c r="V124" i="19"/>
  <c r="V125" i="19"/>
  <c r="V126" i="19"/>
  <c r="V127" i="19"/>
  <c r="V128" i="19"/>
  <c r="V129" i="19"/>
  <c r="V130" i="19"/>
  <c r="V132" i="19"/>
  <c r="V364" i="19"/>
  <c r="V365" i="19"/>
  <c r="V399" i="19"/>
  <c r="V137" i="19"/>
  <c r="V138" i="19"/>
  <c r="V140" i="19"/>
  <c r="V368" i="19"/>
  <c r="V369" i="19"/>
  <c r="V401" i="19"/>
  <c r="V141" i="19"/>
  <c r="V142" i="19"/>
  <c r="V143" i="19"/>
  <c r="V144" i="19"/>
  <c r="V145" i="19"/>
  <c r="V146" i="19"/>
  <c r="V147" i="19"/>
  <c r="V148" i="19"/>
  <c r="V149" i="19"/>
  <c r="V151" i="19"/>
  <c r="V152" i="19"/>
  <c r="V153" i="19"/>
  <c r="V154" i="19"/>
  <c r="V155" i="19"/>
  <c r="V156" i="19"/>
  <c r="V157" i="19"/>
  <c r="V158" i="19"/>
  <c r="V160" i="19"/>
  <c r="V161" i="19"/>
  <c r="V162" i="19"/>
  <c r="V163" i="19"/>
  <c r="V164" i="19"/>
  <c r="V165" i="19"/>
  <c r="V166" i="19"/>
  <c r="V167" i="19"/>
  <c r="V281" i="19"/>
  <c r="V282" i="19"/>
  <c r="V283" i="19"/>
  <c r="V284" i="19"/>
  <c r="V285" i="19"/>
  <c r="V286" i="19"/>
  <c r="V287" i="19"/>
  <c r="V288" i="19"/>
  <c r="V289" i="19"/>
  <c r="V290" i="19"/>
  <c r="V291" i="19"/>
  <c r="V292" i="19"/>
  <c r="V293" i="19"/>
  <c r="V294" i="19"/>
  <c r="V295" i="19"/>
  <c r="V296" i="19"/>
  <c r="V297" i="19"/>
  <c r="V298" i="19"/>
  <c r="V299" i="19"/>
  <c r="V300" i="19"/>
  <c r="V301" i="19"/>
  <c r="V302" i="19"/>
  <c r="V303" i="19"/>
  <c r="V388" i="19"/>
  <c r="V305" i="19"/>
  <c r="V306" i="19"/>
  <c r="V307" i="19"/>
  <c r="V387" i="19"/>
  <c r="V308" i="19"/>
  <c r="V309" i="19"/>
  <c r="V310" i="19"/>
  <c r="V311" i="19"/>
  <c r="V312" i="19"/>
  <c r="V313" i="19"/>
  <c r="V314" i="19"/>
  <c r="V315" i="19"/>
  <c r="V316" i="19"/>
  <c r="V317" i="19"/>
  <c r="V318" i="19"/>
  <c r="V319" i="19"/>
  <c r="V320" i="19"/>
  <c r="V321" i="19"/>
  <c r="V322" i="19"/>
  <c r="V323" i="19"/>
  <c r="V324" i="19"/>
  <c r="V325" i="19"/>
  <c r="V326" i="19"/>
  <c r="V333" i="19"/>
  <c r="V334" i="19"/>
  <c r="V335" i="19"/>
  <c r="V336" i="19"/>
  <c r="V337" i="19"/>
  <c r="V338" i="19"/>
  <c r="V339" i="19"/>
  <c r="V340" i="19"/>
  <c r="V341" i="19"/>
  <c r="V370" i="19"/>
  <c r="V371" i="19"/>
  <c r="V402" i="19"/>
  <c r="V177" i="19"/>
  <c r="V178" i="19"/>
  <c r="V179" i="19"/>
  <c r="V180" i="19"/>
  <c r="V181" i="19"/>
  <c r="V182" i="19"/>
  <c r="V183" i="19"/>
  <c r="V184" i="19"/>
  <c r="V185" i="19"/>
  <c r="V186" i="19"/>
  <c r="V187" i="19"/>
  <c r="V188" i="19"/>
  <c r="V189" i="19"/>
  <c r="V190" i="19"/>
  <c r="V191" i="19"/>
  <c r="V192" i="19"/>
  <c r="V193" i="19"/>
  <c r="V194" i="19"/>
  <c r="V195" i="19"/>
  <c r="V196" i="19"/>
  <c r="V197" i="19"/>
  <c r="V199" i="19"/>
  <c r="V200" i="19"/>
  <c r="V201" i="19"/>
  <c r="V202" i="19"/>
  <c r="V203" i="19"/>
  <c r="V204" i="19"/>
  <c r="V205" i="19"/>
  <c r="V206" i="19"/>
  <c r="V207" i="19"/>
  <c r="V208" i="19"/>
  <c r="V209" i="19"/>
  <c r="V210" i="19"/>
  <c r="V211" i="19"/>
  <c r="V212" i="19"/>
  <c r="V213" i="19"/>
  <c r="V214" i="19"/>
  <c r="V215" i="19"/>
  <c r="V216" i="19"/>
  <c r="V217" i="19"/>
  <c r="V218" i="19"/>
  <c r="V219" i="19"/>
  <c r="V220" i="19"/>
  <c r="V221" i="19"/>
  <c r="V222" i="19"/>
  <c r="V223" i="19"/>
  <c r="V224" i="19"/>
  <c r="V225" i="19"/>
  <c r="V226" i="19"/>
  <c r="V227" i="19"/>
  <c r="V228" i="19"/>
  <c r="V229" i="19"/>
  <c r="V230" i="19"/>
  <c r="V231" i="19"/>
  <c r="V232" i="19"/>
  <c r="V233" i="19"/>
  <c r="V234" i="19"/>
  <c r="V236" i="19"/>
  <c r="V278" i="19"/>
  <c r="V279" i="19"/>
  <c r="V280" i="19"/>
  <c r="V329" i="19"/>
  <c r="V332" i="19"/>
  <c r="V246" i="19"/>
  <c r="V343" i="19"/>
  <c r="V344" i="19"/>
  <c r="V345" i="19"/>
  <c r="V346" i="19"/>
  <c r="V347" i="19"/>
  <c r="V348" i="19"/>
  <c r="L392" i="36"/>
  <c r="C241" i="19"/>
  <c r="J241" i="19"/>
  <c r="V241" i="19"/>
  <c r="J258" i="19"/>
  <c r="L295" i="36"/>
  <c r="C159" i="19"/>
  <c r="J159" i="19"/>
  <c r="J236" i="19"/>
  <c r="L390" i="36"/>
  <c r="C239" i="19"/>
  <c r="J239" i="19"/>
  <c r="J243" i="19"/>
  <c r="J374" i="19"/>
  <c r="C262" i="19"/>
  <c r="J262" i="19"/>
  <c r="C263" i="19"/>
  <c r="J263" i="19"/>
  <c r="C264" i="19"/>
  <c r="J264" i="19"/>
  <c r="C265" i="19"/>
  <c r="J265" i="19"/>
  <c r="V265" i="19"/>
  <c r="C266" i="19"/>
  <c r="J266" i="19"/>
  <c r="V266" i="19"/>
  <c r="C267" i="19"/>
  <c r="J267" i="19"/>
  <c r="V267" i="19"/>
  <c r="C268" i="19"/>
  <c r="J268" i="19"/>
  <c r="V268" i="19"/>
  <c r="C269" i="19"/>
  <c r="J269" i="19"/>
  <c r="V269" i="19"/>
  <c r="X385" i="19"/>
  <c r="X14" i="19"/>
  <c r="X15" i="19"/>
  <c r="X386" i="19"/>
  <c r="X16" i="19"/>
  <c r="X17" i="19"/>
  <c r="X18" i="19"/>
  <c r="X19" i="19"/>
  <c r="X21" i="19"/>
  <c r="X24" i="19"/>
  <c r="X25" i="19"/>
  <c r="X27" i="19"/>
  <c r="X29" i="19"/>
  <c r="N51" i="4"/>
  <c r="P51" i="4"/>
  <c r="R51" i="4"/>
  <c r="L22" i="8"/>
  <c r="N22" i="8"/>
  <c r="D22" i="8"/>
  <c r="F22" i="8"/>
  <c r="L23" i="4"/>
  <c r="N23" i="4"/>
  <c r="P23" i="4"/>
  <c r="H22" i="8"/>
  <c r="J22" i="8"/>
  <c r="P22" i="8"/>
  <c r="X390" i="19"/>
  <c r="X36" i="19"/>
  <c r="X38" i="19"/>
  <c r="X32" i="19"/>
  <c r="X34" i="19"/>
  <c r="X40" i="19"/>
  <c r="X45" i="19"/>
  <c r="X46" i="19"/>
  <c r="X47" i="19"/>
  <c r="X48" i="19"/>
  <c r="X49" i="19"/>
  <c r="X50" i="19"/>
  <c r="X51" i="19"/>
  <c r="X52" i="19"/>
  <c r="X53" i="19"/>
  <c r="X54" i="19"/>
  <c r="X55" i="19"/>
  <c r="X56" i="19"/>
  <c r="X57" i="19"/>
  <c r="X58" i="19"/>
  <c r="X59" i="19"/>
  <c r="X60" i="19"/>
  <c r="X61" i="19"/>
  <c r="X62" i="19"/>
  <c r="X64" i="19"/>
  <c r="X67" i="19"/>
  <c r="X68" i="19"/>
  <c r="X69" i="19"/>
  <c r="X70" i="19"/>
  <c r="X71" i="19"/>
  <c r="X73" i="19"/>
  <c r="X75" i="19"/>
  <c r="N22" i="6"/>
  <c r="P22" i="6"/>
  <c r="R22" i="6"/>
  <c r="X389" i="19"/>
  <c r="X102" i="19"/>
  <c r="F62" i="8"/>
  <c r="H62" i="8"/>
  <c r="J62" i="8"/>
  <c r="L62" i="8"/>
  <c r="N62" i="8"/>
  <c r="X391" i="19"/>
  <c r="X103" i="19"/>
  <c r="X104" i="19"/>
  <c r="X105" i="19"/>
  <c r="X106" i="19"/>
  <c r="X110" i="19"/>
  <c r="X362" i="19"/>
  <c r="X363" i="19"/>
  <c r="X396" i="19"/>
  <c r="X100" i="19"/>
  <c r="X101" i="19"/>
  <c r="X107" i="19"/>
  <c r="X108" i="19"/>
  <c r="X109" i="19"/>
  <c r="X112" i="19"/>
  <c r="X82" i="19"/>
  <c r="X83" i="19"/>
  <c r="X84" i="19"/>
  <c r="X360" i="19"/>
  <c r="X361" i="19"/>
  <c r="X395" i="19"/>
  <c r="X79" i="19"/>
  <c r="X80" i="19"/>
  <c r="X81" i="19"/>
  <c r="X85" i="19"/>
  <c r="X86" i="19"/>
  <c r="X87" i="19"/>
  <c r="X88" i="19"/>
  <c r="X89" i="19"/>
  <c r="X90" i="19"/>
  <c r="X91" i="19"/>
  <c r="X92" i="19"/>
  <c r="X93" i="19"/>
  <c r="X94" i="19"/>
  <c r="X96" i="19"/>
  <c r="X114" i="19"/>
  <c r="X117" i="19"/>
  <c r="F19" i="10"/>
  <c r="X397" i="19"/>
  <c r="X118" i="19"/>
  <c r="X119" i="19"/>
  <c r="X120" i="19"/>
  <c r="X121" i="19"/>
  <c r="X122" i="19"/>
  <c r="X123" i="19"/>
  <c r="X124" i="19"/>
  <c r="X125" i="19"/>
  <c r="X126" i="19"/>
  <c r="X127" i="19"/>
  <c r="X128" i="19"/>
  <c r="X129" i="19"/>
  <c r="X130" i="19"/>
  <c r="X132" i="19"/>
  <c r="X364" i="19"/>
  <c r="X365" i="19"/>
  <c r="X399" i="19"/>
  <c r="X137" i="19"/>
  <c r="X138" i="19"/>
  <c r="X140" i="19"/>
  <c r="X368" i="19"/>
  <c r="X369" i="19"/>
  <c r="X401" i="19"/>
  <c r="X141" i="19"/>
  <c r="X142" i="19"/>
  <c r="X143" i="19"/>
  <c r="X144" i="19"/>
  <c r="X145" i="19"/>
  <c r="X146" i="19"/>
  <c r="X147" i="19"/>
  <c r="X148" i="19"/>
  <c r="X149" i="19"/>
  <c r="X151" i="19"/>
  <c r="X152" i="19"/>
  <c r="X153" i="19"/>
  <c r="X154" i="19"/>
  <c r="X155" i="19"/>
  <c r="X156" i="19"/>
  <c r="X157" i="19"/>
  <c r="X158" i="19"/>
  <c r="X160" i="19"/>
  <c r="X161" i="19"/>
  <c r="X162" i="19"/>
  <c r="X163" i="19"/>
  <c r="X164" i="19"/>
  <c r="X165" i="19"/>
  <c r="X166" i="19"/>
  <c r="X167" i="19"/>
  <c r="X281" i="19"/>
  <c r="X282" i="19"/>
  <c r="X283" i="19"/>
  <c r="X284" i="19"/>
  <c r="X285" i="19"/>
  <c r="X286" i="19"/>
  <c r="X287" i="19"/>
  <c r="X288" i="19"/>
  <c r="X289" i="19"/>
  <c r="X290" i="19"/>
  <c r="X291" i="19"/>
  <c r="X292" i="19"/>
  <c r="X293" i="19"/>
  <c r="X294" i="19"/>
  <c r="X295" i="19"/>
  <c r="X296" i="19"/>
  <c r="X297" i="19"/>
  <c r="X298" i="19"/>
  <c r="X299" i="19"/>
  <c r="X300" i="19"/>
  <c r="X301" i="19"/>
  <c r="X302" i="19"/>
  <c r="X303" i="19"/>
  <c r="X388" i="19"/>
  <c r="X305" i="19"/>
  <c r="X306" i="19"/>
  <c r="X307" i="19"/>
  <c r="X387" i="19"/>
  <c r="X308" i="19"/>
  <c r="X309" i="19"/>
  <c r="X310" i="19"/>
  <c r="X311" i="19"/>
  <c r="X312" i="19"/>
  <c r="X313" i="19"/>
  <c r="X314" i="19"/>
  <c r="X315" i="19"/>
  <c r="X316" i="19"/>
  <c r="X317" i="19"/>
  <c r="X318" i="19"/>
  <c r="X319" i="19"/>
  <c r="X320" i="19"/>
  <c r="X321" i="19"/>
  <c r="X322" i="19"/>
  <c r="X323" i="19"/>
  <c r="X324" i="19"/>
  <c r="X325" i="19"/>
  <c r="X326" i="19"/>
  <c r="X333" i="19"/>
  <c r="X334" i="19"/>
  <c r="X335" i="19"/>
  <c r="X336" i="19"/>
  <c r="X337" i="19"/>
  <c r="X338" i="19"/>
  <c r="X339" i="19"/>
  <c r="X340" i="19"/>
  <c r="X341" i="19"/>
  <c r="X370" i="19"/>
  <c r="X371" i="19"/>
  <c r="X402" i="19"/>
  <c r="X177" i="19"/>
  <c r="X178" i="19"/>
  <c r="X179" i="19"/>
  <c r="X180" i="19"/>
  <c r="X181" i="19"/>
  <c r="X182" i="19"/>
  <c r="X183" i="19"/>
  <c r="X184" i="19"/>
  <c r="X185" i="19"/>
  <c r="X186" i="19"/>
  <c r="X187" i="19"/>
  <c r="X188" i="19"/>
  <c r="X189" i="19"/>
  <c r="X190" i="19"/>
  <c r="X191" i="19"/>
  <c r="X192" i="19"/>
  <c r="X193" i="19"/>
  <c r="X194" i="19"/>
  <c r="X195" i="19"/>
  <c r="X196" i="19"/>
  <c r="X197" i="19"/>
  <c r="X199" i="19"/>
  <c r="X200" i="19"/>
  <c r="X201" i="19"/>
  <c r="X202" i="19"/>
  <c r="X203" i="19"/>
  <c r="X204" i="19"/>
  <c r="X205" i="19"/>
  <c r="X206" i="19"/>
  <c r="X207" i="19"/>
  <c r="X208" i="19"/>
  <c r="X209" i="19"/>
  <c r="X210" i="19"/>
  <c r="X211" i="19"/>
  <c r="X212" i="19"/>
  <c r="X213" i="19"/>
  <c r="X214" i="19"/>
  <c r="X215" i="19"/>
  <c r="X216" i="19"/>
  <c r="X217" i="19"/>
  <c r="X218" i="19"/>
  <c r="X219" i="19"/>
  <c r="X220" i="19"/>
  <c r="X221" i="19"/>
  <c r="X222" i="19"/>
  <c r="X223" i="19"/>
  <c r="X224" i="19"/>
  <c r="X225" i="19"/>
  <c r="X226" i="19"/>
  <c r="X227" i="19"/>
  <c r="X228" i="19"/>
  <c r="X229" i="19"/>
  <c r="X230" i="19"/>
  <c r="X231" i="19"/>
  <c r="X232" i="19"/>
  <c r="X233" i="19"/>
  <c r="X234" i="19"/>
  <c r="X236" i="19"/>
  <c r="X278" i="19"/>
  <c r="X279" i="19"/>
  <c r="X280" i="19"/>
  <c r="X329" i="19"/>
  <c r="X332" i="19"/>
  <c r="X246" i="19"/>
  <c r="X343" i="19"/>
  <c r="X344" i="19"/>
  <c r="X345" i="19"/>
  <c r="X346" i="19"/>
  <c r="X347" i="19"/>
  <c r="X348" i="19"/>
  <c r="X241" i="19"/>
  <c r="X265" i="19"/>
  <c r="X266" i="19"/>
  <c r="X267" i="19"/>
  <c r="X268" i="19"/>
  <c r="X269" i="19"/>
  <c r="J55" i="34"/>
  <c r="J53" i="34"/>
  <c r="J47" i="34"/>
  <c r="J48" i="34"/>
  <c r="J49" i="34"/>
  <c r="J50" i="34"/>
  <c r="J51" i="34"/>
  <c r="J52" i="34"/>
  <c r="J46" i="34"/>
  <c r="J45" i="34"/>
  <c r="H55" i="34"/>
  <c r="H53" i="34"/>
  <c r="H47" i="34"/>
  <c r="H48" i="34"/>
  <c r="H49" i="34"/>
  <c r="H50" i="34"/>
  <c r="H51" i="34"/>
  <c r="H52" i="34"/>
  <c r="H46" i="34"/>
  <c r="H45" i="34"/>
  <c r="H36" i="34"/>
  <c r="H35" i="34"/>
  <c r="H34" i="34"/>
  <c r="H33" i="34"/>
  <c r="H32" i="34"/>
  <c r="F36" i="34"/>
  <c r="F35" i="34"/>
  <c r="F34" i="34"/>
  <c r="F33" i="34"/>
  <c r="F32" i="34"/>
  <c r="J20" i="34"/>
  <c r="J21" i="34"/>
  <c r="J22" i="34"/>
  <c r="J23" i="34"/>
  <c r="J24" i="34"/>
  <c r="J25" i="34"/>
  <c r="J26" i="34"/>
  <c r="J19" i="34"/>
  <c r="J18" i="34"/>
  <c r="H20" i="34"/>
  <c r="H21" i="34"/>
  <c r="H22" i="34"/>
  <c r="H23" i="34"/>
  <c r="H24" i="34"/>
  <c r="H25" i="34"/>
  <c r="H26" i="34"/>
  <c r="H19" i="34"/>
  <c r="H18" i="34"/>
  <c r="D10" i="32"/>
  <c r="H10" i="32"/>
  <c r="C282" i="19"/>
  <c r="J282" i="19"/>
  <c r="D11" i="32"/>
  <c r="E11" i="32"/>
  <c r="H11" i="32"/>
  <c r="C283" i="19"/>
  <c r="J283" i="19"/>
  <c r="D12" i="32"/>
  <c r="E12" i="32"/>
  <c r="H12" i="32"/>
  <c r="C284" i="19"/>
  <c r="J284" i="19"/>
  <c r="D13" i="32"/>
  <c r="E13" i="32"/>
  <c r="H13" i="32"/>
  <c r="C285" i="19"/>
  <c r="J285" i="19"/>
  <c r="D15" i="32"/>
  <c r="E15" i="32"/>
  <c r="H15" i="32"/>
  <c r="C286" i="19"/>
  <c r="J286" i="19"/>
  <c r="D23" i="32"/>
  <c r="E23" i="32"/>
  <c r="H23" i="32"/>
  <c r="C287" i="19"/>
  <c r="J287" i="19"/>
  <c r="D16" i="32"/>
  <c r="E16" i="32"/>
  <c r="H16" i="32"/>
  <c r="C288" i="19"/>
  <c r="J288" i="19"/>
  <c r="D17" i="32"/>
  <c r="E17" i="32"/>
  <c r="H17" i="32"/>
  <c r="C289" i="19"/>
  <c r="J289" i="19"/>
  <c r="D18" i="32"/>
  <c r="E18" i="32"/>
  <c r="H18" i="32"/>
  <c r="C290" i="19"/>
  <c r="J290" i="19"/>
  <c r="D19" i="32"/>
  <c r="E19" i="32"/>
  <c r="H19" i="32"/>
  <c r="C291" i="19"/>
  <c r="J291" i="19"/>
  <c r="D20" i="32"/>
  <c r="E20" i="32"/>
  <c r="H20" i="32"/>
  <c r="C292" i="19"/>
  <c r="J292" i="19"/>
  <c r="D21" i="32"/>
  <c r="E21" i="32"/>
  <c r="H21" i="32"/>
  <c r="C293" i="19"/>
  <c r="J293" i="19"/>
  <c r="D22" i="32"/>
  <c r="E22" i="32"/>
  <c r="H22" i="32"/>
  <c r="C294" i="19"/>
  <c r="J294" i="19"/>
  <c r="D26" i="32"/>
  <c r="E26" i="32"/>
  <c r="H26" i="32"/>
  <c r="C295" i="19"/>
  <c r="J295" i="19"/>
  <c r="D27" i="32"/>
  <c r="E27" i="32"/>
  <c r="H27" i="32"/>
  <c r="C296" i="19"/>
  <c r="J296" i="19"/>
  <c r="E24" i="32"/>
  <c r="H24" i="32"/>
  <c r="C297" i="19"/>
  <c r="J297" i="19"/>
  <c r="D28" i="32"/>
  <c r="E28" i="32"/>
  <c r="H28" i="32"/>
  <c r="C298" i="19"/>
  <c r="J298" i="19"/>
  <c r="D30" i="32"/>
  <c r="E30" i="32"/>
  <c r="H30" i="32"/>
  <c r="C299" i="19"/>
  <c r="J299" i="19"/>
  <c r="D31" i="32"/>
  <c r="E31" i="32"/>
  <c r="H31" i="32"/>
  <c r="C300" i="19"/>
  <c r="J300" i="19"/>
  <c r="D32" i="32"/>
  <c r="E32" i="32"/>
  <c r="H32" i="32"/>
  <c r="C301" i="19"/>
  <c r="J301" i="19"/>
  <c r="D25" i="32"/>
  <c r="E25" i="32"/>
  <c r="H25" i="32"/>
  <c r="C302" i="19"/>
  <c r="J302" i="19"/>
  <c r="D33" i="32"/>
  <c r="E33" i="32"/>
  <c r="H33" i="32"/>
  <c r="D34" i="32"/>
  <c r="E34" i="32"/>
  <c r="H34" i="32"/>
  <c r="D35" i="32"/>
  <c r="E35" i="32"/>
  <c r="H35" i="32"/>
  <c r="D36" i="32"/>
  <c r="E36" i="32"/>
  <c r="H36" i="32"/>
  <c r="C303" i="19"/>
  <c r="J303" i="19"/>
  <c r="D37" i="32"/>
  <c r="E37" i="32"/>
  <c r="G37" i="32"/>
  <c r="H37" i="32"/>
  <c r="D38" i="32"/>
  <c r="E38" i="32"/>
  <c r="H38" i="32"/>
  <c r="D39" i="32"/>
  <c r="E39" i="32"/>
  <c r="H39" i="32"/>
  <c r="D40" i="32"/>
  <c r="E40" i="32"/>
  <c r="H40" i="32"/>
  <c r="D41" i="32"/>
  <c r="E41" i="32"/>
  <c r="H41" i="32"/>
  <c r="J36" i="32"/>
  <c r="D42" i="32"/>
  <c r="E42" i="32"/>
  <c r="H42" i="32"/>
  <c r="C310" i="19"/>
  <c r="J310" i="19"/>
  <c r="D43" i="32"/>
  <c r="E43" i="32"/>
  <c r="H43" i="32"/>
  <c r="D44" i="32"/>
  <c r="E44" i="32"/>
  <c r="H44" i="32"/>
  <c r="D45" i="32"/>
  <c r="E45" i="32"/>
  <c r="H45" i="32"/>
  <c r="D46" i="32"/>
  <c r="E46" i="32"/>
  <c r="H46" i="32"/>
  <c r="D47" i="32"/>
  <c r="E47" i="32"/>
  <c r="H47" i="32"/>
  <c r="C311" i="19"/>
  <c r="J311" i="19"/>
  <c r="D49" i="32"/>
  <c r="E49" i="32"/>
  <c r="H49" i="32"/>
  <c r="D48" i="32"/>
  <c r="E48" i="32"/>
  <c r="H48" i="32"/>
  <c r="C312" i="19"/>
  <c r="J312" i="19"/>
  <c r="D50" i="32"/>
  <c r="E50" i="32"/>
  <c r="H50" i="32"/>
  <c r="C313" i="19"/>
  <c r="J313" i="19"/>
  <c r="D51" i="32"/>
  <c r="E51" i="32"/>
  <c r="H51" i="32"/>
  <c r="D52" i="32"/>
  <c r="E52" i="32"/>
  <c r="H52" i="32"/>
  <c r="D53" i="32"/>
  <c r="E53" i="32"/>
  <c r="H53" i="32"/>
  <c r="D54" i="32"/>
  <c r="E54" i="32"/>
  <c r="H54" i="32"/>
  <c r="C314" i="19"/>
  <c r="J314" i="19"/>
  <c r="D55" i="32"/>
  <c r="E55" i="32"/>
  <c r="H55" i="32"/>
  <c r="D64" i="32"/>
  <c r="E64" i="32"/>
  <c r="H64" i="32"/>
  <c r="C315" i="19"/>
  <c r="J315" i="19"/>
  <c r="D56" i="32"/>
  <c r="E56" i="32"/>
  <c r="H56" i="32"/>
  <c r="D57" i="32"/>
  <c r="E57" i="32"/>
  <c r="H57" i="32"/>
  <c r="D58" i="32"/>
  <c r="E58" i="32"/>
  <c r="H58" i="32"/>
  <c r="D59" i="32"/>
  <c r="E59" i="32"/>
  <c r="H59" i="32"/>
  <c r="D60" i="32"/>
  <c r="E60" i="32"/>
  <c r="H60" i="32"/>
  <c r="D61" i="32"/>
  <c r="E61" i="32"/>
  <c r="H61" i="32"/>
  <c r="D62" i="32"/>
  <c r="E62" i="32"/>
  <c r="H62" i="32"/>
  <c r="D63" i="32"/>
  <c r="E63" i="32"/>
  <c r="H63" i="32"/>
  <c r="C316" i="19"/>
  <c r="J316" i="19"/>
  <c r="B317" i="19"/>
  <c r="D65" i="32"/>
  <c r="E65" i="32"/>
  <c r="H65" i="32"/>
  <c r="D66" i="32"/>
  <c r="E66" i="32"/>
  <c r="H66" i="32"/>
  <c r="D67" i="32"/>
  <c r="E67" i="32"/>
  <c r="H67" i="32"/>
  <c r="D68" i="32"/>
  <c r="E68" i="32"/>
  <c r="H68" i="32"/>
  <c r="C319" i="19"/>
  <c r="J319" i="19"/>
  <c r="D69" i="32"/>
  <c r="E69" i="32"/>
  <c r="H69" i="32"/>
  <c r="C320" i="19"/>
  <c r="J320" i="19"/>
  <c r="D70" i="32"/>
  <c r="E70" i="32"/>
  <c r="H70" i="32"/>
  <c r="C321" i="19"/>
  <c r="J321" i="19"/>
  <c r="D71" i="32"/>
  <c r="E71" i="32"/>
  <c r="H71" i="32"/>
  <c r="C322" i="19"/>
  <c r="J322" i="19"/>
  <c r="D72" i="32"/>
  <c r="E72" i="32"/>
  <c r="H72" i="32"/>
  <c r="C323" i="19"/>
  <c r="J323" i="19"/>
  <c r="D73" i="32"/>
  <c r="E73" i="32"/>
  <c r="H73" i="32"/>
  <c r="D74" i="32"/>
  <c r="E74" i="32"/>
  <c r="H74" i="32"/>
  <c r="D75" i="32"/>
  <c r="E75" i="32"/>
  <c r="H75" i="32"/>
  <c r="C324" i="19"/>
  <c r="J324" i="19"/>
  <c r="D76" i="32"/>
  <c r="E76" i="32"/>
  <c r="H76" i="32"/>
  <c r="C325" i="19"/>
  <c r="J325" i="19"/>
  <c r="D77" i="32"/>
  <c r="E77" i="32"/>
  <c r="H77" i="32"/>
  <c r="C326" i="19"/>
  <c r="J326" i="19"/>
  <c r="J270" i="19"/>
  <c r="H34" i="27"/>
  <c r="L34" i="27"/>
  <c r="K35" i="35"/>
  <c r="K37" i="35"/>
  <c r="K39" i="35"/>
  <c r="K41" i="35"/>
  <c r="K43" i="35"/>
  <c r="K45" i="35"/>
  <c r="K47" i="35"/>
  <c r="K33" i="35"/>
  <c r="M33" i="35"/>
  <c r="M35" i="35"/>
  <c r="M37" i="35"/>
  <c r="M39" i="35"/>
  <c r="M41" i="35"/>
  <c r="M43" i="35"/>
  <c r="M45" i="35"/>
  <c r="M47" i="35"/>
  <c r="E64" i="5"/>
  <c r="D20" i="2"/>
  <c r="J272" i="19"/>
  <c r="D34" i="27"/>
  <c r="J343" i="19"/>
  <c r="C344" i="19"/>
  <c r="J344" i="19"/>
  <c r="C345" i="19"/>
  <c r="J345" i="19"/>
  <c r="C346" i="19"/>
  <c r="J346" i="19"/>
  <c r="C347" i="19"/>
  <c r="J347" i="19"/>
  <c r="C348" i="19"/>
  <c r="J348" i="19"/>
  <c r="C342" i="19"/>
  <c r="J342" i="19"/>
  <c r="C334" i="19"/>
  <c r="J334" i="19"/>
  <c r="C335" i="19"/>
  <c r="J335" i="19"/>
  <c r="C336" i="19"/>
  <c r="J336" i="19"/>
  <c r="C337" i="19"/>
  <c r="J337" i="19"/>
  <c r="C338" i="19"/>
  <c r="J338" i="19"/>
  <c r="C339" i="19"/>
  <c r="J339" i="19"/>
  <c r="C340" i="19"/>
  <c r="J340" i="19"/>
  <c r="C341" i="19"/>
  <c r="J341" i="19"/>
  <c r="C333" i="19"/>
  <c r="J333" i="19"/>
  <c r="L430" i="36"/>
  <c r="B249" i="19"/>
  <c r="C249" i="19"/>
  <c r="B246" i="19"/>
  <c r="C246" i="19"/>
  <c r="B247" i="19"/>
  <c r="C247" i="19"/>
  <c r="B248" i="19"/>
  <c r="C248" i="19"/>
  <c r="C252" i="19"/>
  <c r="B252" i="19"/>
  <c r="L72" i="36"/>
  <c r="L80" i="36"/>
  <c r="F37" i="32"/>
  <c r="B203" i="19"/>
  <c r="J42" i="32"/>
  <c r="F50" i="32"/>
  <c r="F43" i="32"/>
  <c r="F42" i="32"/>
  <c r="G438" i="36"/>
  <c r="J438" i="36"/>
  <c r="L438" i="36"/>
  <c r="G439" i="36"/>
  <c r="J439" i="36"/>
  <c r="L439" i="36"/>
  <c r="G440" i="36"/>
  <c r="J440" i="36"/>
  <c r="L440" i="36"/>
  <c r="G441" i="36"/>
  <c r="J441" i="36"/>
  <c r="L441" i="36"/>
  <c r="G442" i="36"/>
  <c r="J442" i="36"/>
  <c r="L442" i="36"/>
  <c r="G443" i="36"/>
  <c r="J443" i="36"/>
  <c r="L443" i="36"/>
  <c r="G490" i="36"/>
  <c r="J490" i="36"/>
  <c r="L490" i="36"/>
  <c r="G493" i="36"/>
  <c r="J493" i="36"/>
  <c r="L493" i="36"/>
  <c r="G512" i="36"/>
  <c r="L512" i="36"/>
  <c r="L510" i="36"/>
  <c r="L513" i="36"/>
  <c r="C236" i="19"/>
  <c r="M495" i="36"/>
  <c r="M480" i="36"/>
  <c r="M482" i="36"/>
  <c r="M467" i="36"/>
  <c r="M485" i="36"/>
  <c r="B253" i="19"/>
  <c r="C253" i="19"/>
  <c r="L343" i="36"/>
  <c r="C150" i="19"/>
  <c r="J150" i="19"/>
  <c r="J169" i="19"/>
  <c r="L207" i="36"/>
  <c r="L422" i="36"/>
  <c r="L423" i="36"/>
  <c r="L424" i="36"/>
  <c r="L425" i="36"/>
  <c r="L426" i="36"/>
  <c r="L427" i="36"/>
  <c r="J246" i="19"/>
  <c r="L420" i="36"/>
  <c r="J247" i="19"/>
  <c r="L428" i="36"/>
  <c r="J248" i="19"/>
  <c r="J249" i="19"/>
  <c r="J250" i="19"/>
  <c r="J253" i="19"/>
  <c r="J240" i="19"/>
  <c r="C255" i="19"/>
  <c r="J255" i="19"/>
  <c r="C260" i="19"/>
  <c r="B255" i="19"/>
  <c r="B121" i="19"/>
  <c r="J513" i="36"/>
  <c r="AE150" i="19"/>
  <c r="AE151" i="19"/>
  <c r="F80" i="32"/>
  <c r="D5" i="32"/>
  <c r="D6" i="32"/>
  <c r="D7" i="32"/>
  <c r="D79" i="32"/>
  <c r="D80" i="32"/>
  <c r="D81" i="32"/>
  <c r="E7" i="32"/>
  <c r="E79" i="32"/>
  <c r="E80" i="32"/>
  <c r="E81" i="32"/>
  <c r="G36" i="1"/>
  <c r="K36" i="1"/>
  <c r="L400" i="36"/>
  <c r="F36" i="7"/>
  <c r="F37" i="7"/>
  <c r="K16" i="1"/>
  <c r="E39" i="1"/>
  <c r="G39" i="1"/>
  <c r="J15" i="2"/>
  <c r="I39" i="1"/>
  <c r="K39" i="1"/>
  <c r="M39" i="1"/>
  <c r="N386" i="19"/>
  <c r="N24" i="19"/>
  <c r="N67" i="19"/>
  <c r="N68" i="19"/>
  <c r="H18" i="4"/>
  <c r="J18" i="4"/>
  <c r="D18" i="4"/>
  <c r="F18" i="4"/>
  <c r="P18" i="4"/>
  <c r="F57" i="8"/>
  <c r="H57" i="8"/>
  <c r="F46" i="4"/>
  <c r="H46" i="4"/>
  <c r="K59" i="5"/>
  <c r="J46" i="4"/>
  <c r="L46" i="4"/>
  <c r="R46" i="4"/>
  <c r="J57" i="8"/>
  <c r="L57" i="8"/>
  <c r="N57" i="8"/>
  <c r="N391" i="19"/>
  <c r="N82" i="19"/>
  <c r="F28" i="9"/>
  <c r="N393" i="19"/>
  <c r="N83" i="19"/>
  <c r="F49" i="9"/>
  <c r="N394" i="19"/>
  <c r="N84" i="19"/>
  <c r="N360" i="19"/>
  <c r="N361" i="19"/>
  <c r="N395" i="19"/>
  <c r="F17" i="6"/>
  <c r="H17" i="6"/>
  <c r="J37" i="7"/>
  <c r="J17" i="6"/>
  <c r="L17" i="6"/>
  <c r="R17" i="6"/>
  <c r="N389" i="19"/>
  <c r="N102" i="19"/>
  <c r="N103" i="19"/>
  <c r="N104" i="19"/>
  <c r="N105" i="19"/>
  <c r="N106" i="19"/>
  <c r="N110" i="19"/>
  <c r="N362" i="19"/>
  <c r="N363" i="19"/>
  <c r="N396" i="19"/>
  <c r="N100" i="19"/>
  <c r="F34" i="10"/>
  <c r="N398" i="19"/>
  <c r="N117" i="19"/>
  <c r="F14" i="10"/>
  <c r="N397" i="19"/>
  <c r="N119" i="19"/>
  <c r="N385" i="19"/>
  <c r="N14" i="19"/>
  <c r="N15" i="19"/>
  <c r="N16" i="19"/>
  <c r="N17" i="19"/>
  <c r="N18" i="19"/>
  <c r="N19" i="19"/>
  <c r="N21" i="19"/>
  <c r="N25" i="19"/>
  <c r="N27" i="19"/>
  <c r="N29" i="19"/>
  <c r="L17" i="8"/>
  <c r="N17" i="8"/>
  <c r="D17" i="8"/>
  <c r="F17" i="8"/>
  <c r="H17" i="8"/>
  <c r="J17" i="8"/>
  <c r="P17" i="8"/>
  <c r="N390" i="19"/>
  <c r="N36" i="19"/>
  <c r="N38" i="19"/>
  <c r="N32" i="19"/>
  <c r="N34" i="19"/>
  <c r="N40" i="19"/>
  <c r="N47" i="19"/>
  <c r="N48" i="19"/>
  <c r="N49" i="19"/>
  <c r="N50" i="19"/>
  <c r="N51" i="19"/>
  <c r="N52" i="19"/>
  <c r="N53" i="19"/>
  <c r="N54" i="19"/>
  <c r="N55" i="19"/>
  <c r="N56" i="19"/>
  <c r="N57" i="19"/>
  <c r="N58" i="19"/>
  <c r="N59" i="19"/>
  <c r="N60" i="19"/>
  <c r="N61" i="19"/>
  <c r="N62" i="19"/>
  <c r="N69" i="19"/>
  <c r="N70" i="19"/>
  <c r="N71" i="19"/>
  <c r="N73" i="19"/>
  <c r="N101" i="19"/>
  <c r="N107" i="19"/>
  <c r="N108" i="19"/>
  <c r="N109" i="19"/>
  <c r="N112" i="19"/>
  <c r="N81" i="19"/>
  <c r="N85" i="19"/>
  <c r="N86" i="19"/>
  <c r="N87" i="19"/>
  <c r="N88" i="19"/>
  <c r="N89" i="19"/>
  <c r="N90" i="19"/>
  <c r="N91" i="19"/>
  <c r="N92" i="19"/>
  <c r="N93" i="19"/>
  <c r="N94" i="19"/>
  <c r="N118" i="19"/>
  <c r="F145" i="12"/>
  <c r="N405" i="19"/>
  <c r="N120" i="19"/>
  <c r="N121" i="19"/>
  <c r="N122" i="19"/>
  <c r="N123" i="19"/>
  <c r="N124" i="19"/>
  <c r="N125" i="19"/>
  <c r="N126" i="19"/>
  <c r="N127" i="19"/>
  <c r="N128" i="19"/>
  <c r="N129" i="19"/>
  <c r="N130" i="19"/>
  <c r="N132" i="19"/>
  <c r="K17" i="1"/>
  <c r="E40" i="1"/>
  <c r="G40" i="1"/>
  <c r="J16" i="2"/>
  <c r="I40" i="1"/>
  <c r="K40" i="1"/>
  <c r="M40" i="1"/>
  <c r="P386" i="19"/>
  <c r="P24" i="19"/>
  <c r="P67" i="19"/>
  <c r="P68" i="19"/>
  <c r="H19" i="4"/>
  <c r="J19" i="4"/>
  <c r="D19" i="4"/>
  <c r="F19" i="4"/>
  <c r="P19" i="4"/>
  <c r="F58" i="8"/>
  <c r="H58" i="8"/>
  <c r="F47" i="4"/>
  <c r="H47" i="4"/>
  <c r="K60" i="5"/>
  <c r="J47" i="4"/>
  <c r="L47" i="4"/>
  <c r="R47" i="4"/>
  <c r="J58" i="8"/>
  <c r="L58" i="8"/>
  <c r="N58" i="8"/>
  <c r="P391" i="19"/>
  <c r="P82" i="19"/>
  <c r="F29" i="9"/>
  <c r="P393" i="19"/>
  <c r="P83" i="19"/>
  <c r="F50" i="9"/>
  <c r="P394" i="19"/>
  <c r="P84" i="19"/>
  <c r="P360" i="19"/>
  <c r="P361" i="19"/>
  <c r="P395" i="19"/>
  <c r="F18" i="6"/>
  <c r="H18" i="6"/>
  <c r="J38" i="7"/>
  <c r="J18" i="6"/>
  <c r="L18" i="6"/>
  <c r="R18" i="6"/>
  <c r="P389" i="19"/>
  <c r="P102" i="19"/>
  <c r="P103" i="19"/>
  <c r="P104" i="19"/>
  <c r="P105" i="19"/>
  <c r="P106" i="19"/>
  <c r="P110" i="19"/>
  <c r="P362" i="19"/>
  <c r="P363" i="19"/>
  <c r="P396" i="19"/>
  <c r="P100" i="19"/>
  <c r="F35" i="10"/>
  <c r="P398" i="19"/>
  <c r="P117" i="19"/>
  <c r="F15" i="10"/>
  <c r="P397" i="19"/>
  <c r="P119" i="19"/>
  <c r="P385" i="19"/>
  <c r="P14" i="19"/>
  <c r="P15" i="19"/>
  <c r="P16" i="19"/>
  <c r="P17" i="19"/>
  <c r="P18" i="19"/>
  <c r="P19" i="19"/>
  <c r="P21" i="19"/>
  <c r="P25" i="19"/>
  <c r="P27" i="19"/>
  <c r="P29" i="19"/>
  <c r="L18" i="8"/>
  <c r="N18" i="8"/>
  <c r="D18" i="8"/>
  <c r="F18" i="8"/>
  <c r="H18" i="8"/>
  <c r="J18" i="8"/>
  <c r="P18" i="8"/>
  <c r="P390" i="19"/>
  <c r="P36" i="19"/>
  <c r="P38" i="19"/>
  <c r="P32" i="19"/>
  <c r="P34" i="19"/>
  <c r="P40" i="19"/>
  <c r="P47" i="19"/>
  <c r="P48" i="19"/>
  <c r="P49" i="19"/>
  <c r="P50" i="19"/>
  <c r="P51" i="19"/>
  <c r="P52" i="19"/>
  <c r="P53" i="19"/>
  <c r="P54" i="19"/>
  <c r="P55" i="19"/>
  <c r="P56" i="19"/>
  <c r="P57" i="19"/>
  <c r="P58" i="19"/>
  <c r="P59" i="19"/>
  <c r="P60" i="19"/>
  <c r="P61" i="19"/>
  <c r="P62" i="19"/>
  <c r="P69" i="19"/>
  <c r="P70" i="19"/>
  <c r="P71" i="19"/>
  <c r="P73" i="19"/>
  <c r="P101" i="19"/>
  <c r="P107" i="19"/>
  <c r="P108" i="19"/>
  <c r="P109" i="19"/>
  <c r="P112" i="19"/>
  <c r="P81" i="19"/>
  <c r="P85" i="19"/>
  <c r="P86" i="19"/>
  <c r="P87" i="19"/>
  <c r="P88" i="19"/>
  <c r="P89" i="19"/>
  <c r="P90" i="19"/>
  <c r="P91" i="19"/>
  <c r="P92" i="19"/>
  <c r="P93" i="19"/>
  <c r="P94" i="19"/>
  <c r="P118" i="19"/>
  <c r="F146" i="12"/>
  <c r="P405" i="19"/>
  <c r="P120" i="19"/>
  <c r="P121" i="19"/>
  <c r="P122" i="19"/>
  <c r="P123" i="19"/>
  <c r="P124" i="19"/>
  <c r="P125" i="19"/>
  <c r="P126" i="19"/>
  <c r="P127" i="19"/>
  <c r="P128" i="19"/>
  <c r="P129" i="19"/>
  <c r="P130" i="19"/>
  <c r="P132" i="19"/>
  <c r="K18" i="1"/>
  <c r="E41" i="1"/>
  <c r="G41" i="1"/>
  <c r="J17" i="2"/>
  <c r="I41" i="1"/>
  <c r="K41" i="1"/>
  <c r="M41" i="1"/>
  <c r="R386" i="19"/>
  <c r="R24" i="19"/>
  <c r="R67" i="19"/>
  <c r="R68" i="19"/>
  <c r="H20" i="4"/>
  <c r="J20" i="4"/>
  <c r="D20" i="4"/>
  <c r="F20" i="4"/>
  <c r="P20" i="4"/>
  <c r="F59" i="8"/>
  <c r="H59" i="8"/>
  <c r="F48" i="4"/>
  <c r="H48" i="4"/>
  <c r="K61" i="5"/>
  <c r="J48" i="4"/>
  <c r="L48" i="4"/>
  <c r="R48" i="4"/>
  <c r="J59" i="8"/>
  <c r="L59" i="8"/>
  <c r="N59" i="8"/>
  <c r="R391" i="19"/>
  <c r="R82" i="19"/>
  <c r="F30" i="9"/>
  <c r="R393" i="19"/>
  <c r="R83" i="19"/>
  <c r="F51" i="9"/>
  <c r="R394" i="19"/>
  <c r="R84" i="19"/>
  <c r="R360" i="19"/>
  <c r="R361" i="19"/>
  <c r="R395" i="19"/>
  <c r="F19" i="6"/>
  <c r="H19" i="6"/>
  <c r="J39" i="7"/>
  <c r="J19" i="6"/>
  <c r="L19" i="6"/>
  <c r="R19" i="6"/>
  <c r="R389" i="19"/>
  <c r="R102" i="19"/>
  <c r="R103" i="19"/>
  <c r="R104" i="19"/>
  <c r="R105" i="19"/>
  <c r="R106" i="19"/>
  <c r="R110" i="19"/>
  <c r="R362" i="19"/>
  <c r="R363" i="19"/>
  <c r="R396" i="19"/>
  <c r="R100" i="19"/>
  <c r="F36" i="10"/>
  <c r="R398" i="19"/>
  <c r="R117" i="19"/>
  <c r="F16" i="10"/>
  <c r="R397" i="19"/>
  <c r="R119" i="19"/>
  <c r="R385" i="19"/>
  <c r="R14" i="19"/>
  <c r="R15" i="19"/>
  <c r="R16" i="19"/>
  <c r="R17" i="19"/>
  <c r="R18" i="19"/>
  <c r="R19" i="19"/>
  <c r="R21" i="19"/>
  <c r="R25" i="19"/>
  <c r="R27" i="19"/>
  <c r="R29" i="19"/>
  <c r="L19" i="8"/>
  <c r="N19" i="8"/>
  <c r="D19" i="8"/>
  <c r="F19" i="8"/>
  <c r="H19" i="8"/>
  <c r="J19" i="8"/>
  <c r="P19" i="8"/>
  <c r="R390" i="19"/>
  <c r="R36" i="19"/>
  <c r="R38" i="19"/>
  <c r="R32" i="19"/>
  <c r="R34" i="19"/>
  <c r="R40" i="19"/>
  <c r="R47" i="19"/>
  <c r="R48" i="19"/>
  <c r="R49" i="19"/>
  <c r="R50" i="19"/>
  <c r="R51" i="19"/>
  <c r="R52" i="19"/>
  <c r="R53" i="19"/>
  <c r="R54" i="19"/>
  <c r="R55" i="19"/>
  <c r="R56" i="19"/>
  <c r="R57" i="19"/>
  <c r="R58" i="19"/>
  <c r="R59" i="19"/>
  <c r="R60" i="19"/>
  <c r="R61" i="19"/>
  <c r="R62" i="19"/>
  <c r="R69" i="19"/>
  <c r="R70" i="19"/>
  <c r="R71" i="19"/>
  <c r="R73" i="19"/>
  <c r="R101" i="19"/>
  <c r="R107" i="19"/>
  <c r="R108" i="19"/>
  <c r="R109" i="19"/>
  <c r="R112" i="19"/>
  <c r="R81" i="19"/>
  <c r="R85" i="19"/>
  <c r="R86" i="19"/>
  <c r="R87" i="19"/>
  <c r="R88" i="19"/>
  <c r="R89" i="19"/>
  <c r="R90" i="19"/>
  <c r="R91" i="19"/>
  <c r="R92" i="19"/>
  <c r="R93" i="19"/>
  <c r="R94" i="19"/>
  <c r="R118" i="19"/>
  <c r="F147" i="12"/>
  <c r="R405" i="19"/>
  <c r="R120" i="19"/>
  <c r="R121" i="19"/>
  <c r="R122" i="19"/>
  <c r="R123" i="19"/>
  <c r="R124" i="19"/>
  <c r="R125" i="19"/>
  <c r="R126" i="19"/>
  <c r="R127" i="19"/>
  <c r="R128" i="19"/>
  <c r="R129" i="19"/>
  <c r="R130" i="19"/>
  <c r="R132" i="19"/>
  <c r="K19" i="1"/>
  <c r="E42" i="1"/>
  <c r="G42" i="1"/>
  <c r="J18" i="2"/>
  <c r="I42" i="1"/>
  <c r="K42" i="1"/>
  <c r="M42" i="1"/>
  <c r="T386" i="19"/>
  <c r="T24" i="19"/>
  <c r="T67" i="19"/>
  <c r="T68" i="19"/>
  <c r="H21" i="4"/>
  <c r="J21" i="4"/>
  <c r="D21" i="4"/>
  <c r="F21" i="4"/>
  <c r="P21" i="4"/>
  <c r="F60" i="8"/>
  <c r="H60" i="8"/>
  <c r="F49" i="4"/>
  <c r="H49" i="4"/>
  <c r="K62" i="5"/>
  <c r="J49" i="4"/>
  <c r="L49" i="4"/>
  <c r="R49" i="4"/>
  <c r="J60" i="8"/>
  <c r="L60" i="8"/>
  <c r="N60" i="8"/>
  <c r="T391" i="19"/>
  <c r="T82" i="19"/>
  <c r="F31" i="9"/>
  <c r="T393" i="19"/>
  <c r="T83" i="19"/>
  <c r="F52" i="9"/>
  <c r="T394" i="19"/>
  <c r="T84" i="19"/>
  <c r="T360" i="19"/>
  <c r="T361" i="19"/>
  <c r="T395" i="19"/>
  <c r="F20" i="6"/>
  <c r="H20" i="6"/>
  <c r="J40" i="7"/>
  <c r="J20" i="6"/>
  <c r="L20" i="6"/>
  <c r="R20" i="6"/>
  <c r="T389" i="19"/>
  <c r="T102" i="19"/>
  <c r="T103" i="19"/>
  <c r="T104" i="19"/>
  <c r="T105" i="19"/>
  <c r="T106" i="19"/>
  <c r="T110" i="19"/>
  <c r="T362" i="19"/>
  <c r="T363" i="19"/>
  <c r="T396" i="19"/>
  <c r="T100" i="19"/>
  <c r="F37" i="10"/>
  <c r="T398" i="19"/>
  <c r="T117" i="19"/>
  <c r="F17" i="10"/>
  <c r="T397" i="19"/>
  <c r="T119" i="19"/>
  <c r="T385" i="19"/>
  <c r="T14" i="19"/>
  <c r="T15" i="19"/>
  <c r="T16" i="19"/>
  <c r="T17" i="19"/>
  <c r="T18" i="19"/>
  <c r="T19" i="19"/>
  <c r="T21" i="19"/>
  <c r="T25" i="19"/>
  <c r="T27" i="19"/>
  <c r="T29" i="19"/>
  <c r="L20" i="8"/>
  <c r="N20" i="8"/>
  <c r="D20" i="8"/>
  <c r="F20" i="8"/>
  <c r="H20" i="8"/>
  <c r="J20" i="8"/>
  <c r="P20" i="8"/>
  <c r="T390" i="19"/>
  <c r="T36" i="19"/>
  <c r="T38" i="19"/>
  <c r="T32" i="19"/>
  <c r="T34" i="19"/>
  <c r="T40" i="19"/>
  <c r="T47" i="19"/>
  <c r="T48" i="19"/>
  <c r="T49" i="19"/>
  <c r="T50" i="19"/>
  <c r="T51" i="19"/>
  <c r="T52" i="19"/>
  <c r="T53" i="19"/>
  <c r="T54" i="19"/>
  <c r="T55" i="19"/>
  <c r="T56" i="19"/>
  <c r="T57" i="19"/>
  <c r="T58" i="19"/>
  <c r="T59" i="19"/>
  <c r="T60" i="19"/>
  <c r="T61" i="19"/>
  <c r="T62" i="19"/>
  <c r="T69" i="19"/>
  <c r="T70" i="19"/>
  <c r="T71" i="19"/>
  <c r="T73" i="19"/>
  <c r="T101" i="19"/>
  <c r="T107" i="19"/>
  <c r="T108" i="19"/>
  <c r="T109" i="19"/>
  <c r="T112" i="19"/>
  <c r="T81" i="19"/>
  <c r="T85" i="19"/>
  <c r="T86" i="19"/>
  <c r="T87" i="19"/>
  <c r="T88" i="19"/>
  <c r="T89" i="19"/>
  <c r="T90" i="19"/>
  <c r="T91" i="19"/>
  <c r="T92" i="19"/>
  <c r="T93" i="19"/>
  <c r="T94" i="19"/>
  <c r="T118" i="19"/>
  <c r="F148" i="12"/>
  <c r="T405" i="19"/>
  <c r="T120" i="19"/>
  <c r="T121" i="19"/>
  <c r="T122" i="19"/>
  <c r="T123" i="19"/>
  <c r="T124" i="19"/>
  <c r="T125" i="19"/>
  <c r="T126" i="19"/>
  <c r="T127" i="19"/>
  <c r="T128" i="19"/>
  <c r="T129" i="19"/>
  <c r="T130" i="19"/>
  <c r="T132" i="19"/>
  <c r="AE161" i="19"/>
  <c r="AG161" i="19"/>
  <c r="AE24" i="19"/>
  <c r="AE67" i="19"/>
  <c r="AE68" i="19"/>
  <c r="AE82" i="19"/>
  <c r="AE83" i="19"/>
  <c r="AE84" i="19"/>
  <c r="AE102" i="19"/>
  <c r="AE103" i="19"/>
  <c r="AE104" i="19"/>
  <c r="AE105" i="19"/>
  <c r="AE106" i="19"/>
  <c r="AE110" i="19"/>
  <c r="AE100" i="19"/>
  <c r="AE117" i="19"/>
  <c r="AE119" i="19"/>
  <c r="AE14" i="19"/>
  <c r="AE15" i="19"/>
  <c r="AE16" i="19"/>
  <c r="AE17" i="19"/>
  <c r="AE18" i="19"/>
  <c r="AE19" i="19"/>
  <c r="AE25" i="19"/>
  <c r="AE36" i="19"/>
  <c r="AE32" i="19"/>
  <c r="AE69" i="19"/>
  <c r="AE70" i="19"/>
  <c r="AE71" i="19"/>
  <c r="AE47" i="19"/>
  <c r="AE48" i="19"/>
  <c r="AE49" i="19"/>
  <c r="AE50" i="19"/>
  <c r="AE51" i="19"/>
  <c r="AE52" i="19"/>
  <c r="AE53" i="19"/>
  <c r="AE54" i="19"/>
  <c r="AE55" i="19"/>
  <c r="AE56" i="19"/>
  <c r="AE57" i="19"/>
  <c r="AE58" i="19"/>
  <c r="AE59" i="19"/>
  <c r="AE60" i="19"/>
  <c r="AE61" i="19"/>
  <c r="AE62" i="19"/>
  <c r="AE101" i="19"/>
  <c r="AE107" i="19"/>
  <c r="AE108" i="19"/>
  <c r="AE109" i="19"/>
  <c r="AE81" i="19"/>
  <c r="AE85" i="19"/>
  <c r="AE86" i="19"/>
  <c r="AE87" i="19"/>
  <c r="AE88" i="19"/>
  <c r="AE89" i="19"/>
  <c r="AE90" i="19"/>
  <c r="AE91" i="19"/>
  <c r="AE92" i="19"/>
  <c r="AE93" i="19"/>
  <c r="AE94" i="19"/>
  <c r="AE118" i="19"/>
  <c r="AE120" i="19"/>
  <c r="AE121" i="19"/>
  <c r="AE122" i="19"/>
  <c r="AE123" i="19"/>
  <c r="AE124" i="19"/>
  <c r="AE125" i="19"/>
  <c r="AE126" i="19"/>
  <c r="AE127" i="19"/>
  <c r="AE128" i="19"/>
  <c r="AE129" i="19"/>
  <c r="AE130" i="19"/>
  <c r="AG137" i="19"/>
  <c r="AK386" i="19"/>
  <c r="AK24" i="19"/>
  <c r="AK67" i="19"/>
  <c r="AK68" i="19"/>
  <c r="W56" i="8"/>
  <c r="X56" i="8"/>
  <c r="Z56" i="8"/>
  <c r="AC56" i="8"/>
  <c r="AK391" i="19"/>
  <c r="AK82" i="19"/>
  <c r="AK83" i="19"/>
  <c r="AK84" i="19"/>
  <c r="AK360" i="19"/>
  <c r="AK361" i="19"/>
  <c r="AK395" i="19"/>
  <c r="AK102" i="19"/>
  <c r="AK103" i="19"/>
  <c r="AK104" i="19"/>
  <c r="AK105" i="19"/>
  <c r="AK106" i="19"/>
  <c r="AK110" i="19"/>
  <c r="AK362" i="19"/>
  <c r="AK363" i="19"/>
  <c r="AK396" i="19"/>
  <c r="AK100" i="19"/>
  <c r="AK117" i="19"/>
  <c r="AK119" i="19"/>
  <c r="AK14" i="19"/>
  <c r="AK15" i="19"/>
  <c r="AK16" i="19"/>
  <c r="AK17" i="19"/>
  <c r="AK18" i="19"/>
  <c r="AK19" i="19"/>
  <c r="AK21" i="19"/>
  <c r="AK25" i="19"/>
  <c r="AK27" i="19"/>
  <c r="AK29" i="19"/>
  <c r="W17" i="8"/>
  <c r="X17" i="8"/>
  <c r="Y17" i="8"/>
  <c r="Z17" i="8"/>
  <c r="AB17" i="8"/>
  <c r="AC17" i="8"/>
  <c r="AK390" i="19"/>
  <c r="AK36" i="19"/>
  <c r="AK38" i="19"/>
  <c r="AK32" i="19"/>
  <c r="AK34" i="19"/>
  <c r="AK40" i="19"/>
  <c r="AK69" i="19"/>
  <c r="AK70" i="19"/>
  <c r="AK71" i="19"/>
  <c r="AK73" i="19"/>
  <c r="AK47" i="19"/>
  <c r="AK48" i="19"/>
  <c r="AK49" i="19"/>
  <c r="AK50" i="19"/>
  <c r="AK51" i="19"/>
  <c r="AK52" i="19"/>
  <c r="AK53" i="19"/>
  <c r="AK54" i="19"/>
  <c r="AK55" i="19"/>
  <c r="AK56" i="19"/>
  <c r="AK57" i="19"/>
  <c r="AK58" i="19"/>
  <c r="AK59" i="19"/>
  <c r="AK60" i="19"/>
  <c r="AK61" i="19"/>
  <c r="AK62" i="19"/>
  <c r="AK101" i="19"/>
  <c r="AK107" i="19"/>
  <c r="AK108" i="19"/>
  <c r="AK109" i="19"/>
  <c r="AK112" i="19"/>
  <c r="AK81" i="19"/>
  <c r="AK85" i="19"/>
  <c r="AK86" i="19"/>
  <c r="AK87" i="19"/>
  <c r="AK88" i="19"/>
  <c r="AK89" i="19"/>
  <c r="AK90" i="19"/>
  <c r="AK91" i="19"/>
  <c r="AK92" i="19"/>
  <c r="AK93" i="19"/>
  <c r="AK94" i="19"/>
  <c r="AK118" i="19"/>
  <c r="AK120" i="19"/>
  <c r="AK121" i="19"/>
  <c r="AK122" i="19"/>
  <c r="AK123" i="19"/>
  <c r="AK124" i="19"/>
  <c r="AK125" i="19"/>
  <c r="AK126" i="19"/>
  <c r="AK127" i="19"/>
  <c r="AK128" i="19"/>
  <c r="AK129" i="19"/>
  <c r="AK130" i="19"/>
  <c r="AK132" i="19"/>
  <c r="AM24" i="19"/>
  <c r="AM67" i="19"/>
  <c r="AM68" i="19"/>
  <c r="W57" i="8"/>
  <c r="X57" i="8"/>
  <c r="Y57" i="8"/>
  <c r="Z57" i="8"/>
  <c r="AC57" i="8"/>
  <c r="AM391" i="19"/>
  <c r="AM82" i="19"/>
  <c r="AM83" i="19"/>
  <c r="AM84" i="19"/>
  <c r="AM360" i="19"/>
  <c r="AM361" i="19"/>
  <c r="AM395" i="19"/>
  <c r="AM389" i="19"/>
  <c r="AM102" i="19"/>
  <c r="AM103" i="19"/>
  <c r="AM104" i="19"/>
  <c r="AM105" i="19"/>
  <c r="AM106" i="19"/>
  <c r="AM110" i="19"/>
  <c r="AM362" i="19"/>
  <c r="AM363" i="19"/>
  <c r="AM396" i="19"/>
  <c r="AM100" i="19"/>
  <c r="AM117" i="19"/>
  <c r="AM119" i="19"/>
  <c r="AM14" i="19"/>
  <c r="AM15" i="19"/>
  <c r="AM16" i="19"/>
  <c r="AM17" i="19"/>
  <c r="AM18" i="19"/>
  <c r="AM19" i="19"/>
  <c r="AM21" i="19"/>
  <c r="AM25" i="19"/>
  <c r="AM27" i="19"/>
  <c r="AM29" i="19"/>
  <c r="AA18" i="8"/>
  <c r="AB18" i="8"/>
  <c r="Z18" i="8"/>
  <c r="X18" i="8"/>
  <c r="AC18" i="8"/>
  <c r="AM390" i="19"/>
  <c r="AM36" i="19"/>
  <c r="AM38" i="19"/>
  <c r="AM32" i="19"/>
  <c r="AM34" i="19"/>
  <c r="AM40" i="19"/>
  <c r="AM69" i="19"/>
  <c r="AM70" i="19"/>
  <c r="AM71" i="19"/>
  <c r="AM73" i="19"/>
  <c r="AM47" i="19"/>
  <c r="AM48" i="19"/>
  <c r="AM49" i="19"/>
  <c r="AM50" i="19"/>
  <c r="AM51" i="19"/>
  <c r="AM52" i="19"/>
  <c r="AM53" i="19"/>
  <c r="AM54" i="19"/>
  <c r="AM55" i="19"/>
  <c r="AM56" i="19"/>
  <c r="AM57" i="19"/>
  <c r="AM58" i="19"/>
  <c r="AM59" i="19"/>
  <c r="AM60" i="19"/>
  <c r="AM61" i="19"/>
  <c r="AM62" i="19"/>
  <c r="AM101" i="19"/>
  <c r="AM107" i="19"/>
  <c r="AM108" i="19"/>
  <c r="AM109" i="19"/>
  <c r="AM112" i="19"/>
  <c r="AM81" i="19"/>
  <c r="AM85" i="19"/>
  <c r="AM86" i="19"/>
  <c r="AM87" i="19"/>
  <c r="AM88" i="19"/>
  <c r="AM89" i="19"/>
  <c r="AM90" i="19"/>
  <c r="AM91" i="19"/>
  <c r="AM92" i="19"/>
  <c r="AM93" i="19"/>
  <c r="AM94" i="19"/>
  <c r="AM118" i="19"/>
  <c r="AM120" i="19"/>
  <c r="AM121" i="19"/>
  <c r="AM122" i="19"/>
  <c r="AM123" i="19"/>
  <c r="AM124" i="19"/>
  <c r="AM125" i="19"/>
  <c r="AM126" i="19"/>
  <c r="AM127" i="19"/>
  <c r="AM128" i="19"/>
  <c r="AM129" i="19"/>
  <c r="AM130" i="19"/>
  <c r="AM132" i="19"/>
  <c r="AO24" i="19"/>
  <c r="AO67" i="19"/>
  <c r="AO68" i="19"/>
  <c r="AO82" i="19"/>
  <c r="AW393" i="19"/>
  <c r="AO393" i="19"/>
  <c r="AO83" i="19"/>
  <c r="AO84" i="19"/>
  <c r="AO360" i="19"/>
  <c r="AO361" i="19"/>
  <c r="AO395" i="19"/>
  <c r="AO102" i="19"/>
  <c r="AO103" i="19"/>
  <c r="AO104" i="19"/>
  <c r="AO105" i="19"/>
  <c r="AO106" i="19"/>
  <c r="AO110" i="19"/>
  <c r="AO362" i="19"/>
  <c r="AO363" i="19"/>
  <c r="AO396" i="19"/>
  <c r="AO100" i="19"/>
  <c r="AO117" i="19"/>
  <c r="AO119" i="19"/>
  <c r="AO14" i="19"/>
  <c r="AO15" i="19"/>
  <c r="AO16" i="19"/>
  <c r="AO17" i="19"/>
  <c r="AO18" i="19"/>
  <c r="AO19" i="19"/>
  <c r="AO21" i="19"/>
  <c r="AO25" i="19"/>
  <c r="AO27" i="19"/>
  <c r="AO29" i="19"/>
  <c r="AO36" i="19"/>
  <c r="AO38" i="19"/>
  <c r="AO32" i="19"/>
  <c r="AO34" i="19"/>
  <c r="AO40" i="19"/>
  <c r="AO69" i="19"/>
  <c r="AO70" i="19"/>
  <c r="AO71" i="19"/>
  <c r="AO73" i="19"/>
  <c r="AO47" i="19"/>
  <c r="AO48" i="19"/>
  <c r="AO49" i="19"/>
  <c r="AO50" i="19"/>
  <c r="AO51" i="19"/>
  <c r="AO52" i="19"/>
  <c r="AO53" i="19"/>
  <c r="AO54" i="19"/>
  <c r="AO55" i="19"/>
  <c r="AO56" i="19"/>
  <c r="AO57" i="19"/>
  <c r="AO58" i="19"/>
  <c r="AO59" i="19"/>
  <c r="AO60" i="19"/>
  <c r="AO61" i="19"/>
  <c r="AO62" i="19"/>
  <c r="AO101" i="19"/>
  <c r="AO107" i="19"/>
  <c r="AO108" i="19"/>
  <c r="AO109" i="19"/>
  <c r="AO112" i="19"/>
  <c r="AO81" i="19"/>
  <c r="AO85" i="19"/>
  <c r="AO86" i="19"/>
  <c r="AO87" i="19"/>
  <c r="AO88" i="19"/>
  <c r="AO89" i="19"/>
  <c r="AO90" i="19"/>
  <c r="AO91" i="19"/>
  <c r="AO92" i="19"/>
  <c r="AO93" i="19"/>
  <c r="AO94" i="19"/>
  <c r="AO118" i="19"/>
  <c r="AO120" i="19"/>
  <c r="AO121" i="19"/>
  <c r="AO122" i="19"/>
  <c r="AO123" i="19"/>
  <c r="AO124" i="19"/>
  <c r="AO125" i="19"/>
  <c r="AO126" i="19"/>
  <c r="AO127" i="19"/>
  <c r="AO128" i="19"/>
  <c r="AO129" i="19"/>
  <c r="AO130" i="19"/>
  <c r="AO132" i="19"/>
  <c r="AQ24" i="19"/>
  <c r="AQ67" i="19"/>
  <c r="AQ68" i="19"/>
  <c r="AQ82" i="19"/>
  <c r="AQ83" i="19"/>
  <c r="AW394" i="19"/>
  <c r="AQ394" i="19"/>
  <c r="AQ84" i="19"/>
  <c r="AQ360" i="19"/>
  <c r="AQ361" i="19"/>
  <c r="AQ395" i="19"/>
  <c r="AQ102" i="19"/>
  <c r="AQ103" i="19"/>
  <c r="AQ104" i="19"/>
  <c r="AQ105" i="19"/>
  <c r="AQ106" i="19"/>
  <c r="AQ110" i="19"/>
  <c r="AQ362" i="19"/>
  <c r="AQ363" i="19"/>
  <c r="AQ396" i="19"/>
  <c r="AQ100" i="19"/>
  <c r="AQ117" i="19"/>
  <c r="AQ119" i="19"/>
  <c r="AQ14" i="19"/>
  <c r="AQ15" i="19"/>
  <c r="AQ16" i="19"/>
  <c r="AQ17" i="19"/>
  <c r="AQ18" i="19"/>
  <c r="AQ19" i="19"/>
  <c r="AQ21" i="19"/>
  <c r="AQ25" i="19"/>
  <c r="AQ27" i="19"/>
  <c r="AQ29" i="19"/>
  <c r="AQ36" i="19"/>
  <c r="AQ38" i="19"/>
  <c r="AQ32" i="19"/>
  <c r="AQ34" i="19"/>
  <c r="AQ40" i="19"/>
  <c r="AQ69" i="19"/>
  <c r="AQ70" i="19"/>
  <c r="AQ71" i="19"/>
  <c r="AQ73" i="19"/>
  <c r="AQ47" i="19"/>
  <c r="AQ48" i="19"/>
  <c r="AQ49" i="19"/>
  <c r="AQ50" i="19"/>
  <c r="AQ51" i="19"/>
  <c r="AQ52" i="19"/>
  <c r="AQ53" i="19"/>
  <c r="AQ54" i="19"/>
  <c r="AQ55" i="19"/>
  <c r="AQ56" i="19"/>
  <c r="AQ57" i="19"/>
  <c r="AQ58" i="19"/>
  <c r="AQ59" i="19"/>
  <c r="AQ60" i="19"/>
  <c r="AQ61" i="19"/>
  <c r="AQ62" i="19"/>
  <c r="AQ101" i="19"/>
  <c r="AQ107" i="19"/>
  <c r="AQ108" i="19"/>
  <c r="AQ109" i="19"/>
  <c r="AQ112" i="19"/>
  <c r="AQ81" i="19"/>
  <c r="AQ85" i="19"/>
  <c r="AQ86" i="19"/>
  <c r="AQ87" i="19"/>
  <c r="AQ88" i="19"/>
  <c r="AQ89" i="19"/>
  <c r="AQ90" i="19"/>
  <c r="AQ91" i="19"/>
  <c r="AQ92" i="19"/>
  <c r="AQ93" i="19"/>
  <c r="AQ94" i="19"/>
  <c r="AQ118" i="19"/>
  <c r="AQ120" i="19"/>
  <c r="AQ121" i="19"/>
  <c r="AQ122" i="19"/>
  <c r="AQ123" i="19"/>
  <c r="AQ124" i="19"/>
  <c r="AQ125" i="19"/>
  <c r="AQ126" i="19"/>
  <c r="AQ127" i="19"/>
  <c r="AQ128" i="19"/>
  <c r="AQ129" i="19"/>
  <c r="AQ130" i="19"/>
  <c r="AQ132" i="19"/>
  <c r="AS24" i="19"/>
  <c r="AS67" i="19"/>
  <c r="AS68" i="19"/>
  <c r="AS82" i="19"/>
  <c r="AS83" i="19"/>
  <c r="AS84" i="19"/>
  <c r="AS360" i="19"/>
  <c r="AS361" i="19"/>
  <c r="AS395" i="19"/>
  <c r="AS102" i="19"/>
  <c r="AS103" i="19"/>
  <c r="AS104" i="19"/>
  <c r="AS105" i="19"/>
  <c r="AS106" i="19"/>
  <c r="AS110" i="19"/>
  <c r="AS362" i="19"/>
  <c r="AS363" i="19"/>
  <c r="AS396" i="19"/>
  <c r="AS100" i="19"/>
  <c r="AS117" i="19"/>
  <c r="AW397" i="19"/>
  <c r="AY397" i="19"/>
  <c r="AS397" i="19"/>
  <c r="AS119" i="19"/>
  <c r="AS14" i="19"/>
  <c r="AS15" i="19"/>
  <c r="AS16" i="19"/>
  <c r="AS17" i="19"/>
  <c r="AS18" i="19"/>
  <c r="AS19" i="19"/>
  <c r="AS21" i="19"/>
  <c r="AS25" i="19"/>
  <c r="AS27" i="19"/>
  <c r="AS29" i="19"/>
  <c r="AS36" i="19"/>
  <c r="AS38" i="19"/>
  <c r="AS32" i="19"/>
  <c r="AS34" i="19"/>
  <c r="AS40" i="19"/>
  <c r="AS69" i="19"/>
  <c r="AS70" i="19"/>
  <c r="AS71" i="19"/>
  <c r="AS73" i="19"/>
  <c r="AS47" i="19"/>
  <c r="AS48" i="19"/>
  <c r="AS49" i="19"/>
  <c r="AS50" i="19"/>
  <c r="AS51" i="19"/>
  <c r="AS52" i="19"/>
  <c r="AS53" i="19"/>
  <c r="AS54" i="19"/>
  <c r="AS55" i="19"/>
  <c r="AS56" i="19"/>
  <c r="AS57" i="19"/>
  <c r="AS58" i="19"/>
  <c r="AS59" i="19"/>
  <c r="AS60" i="19"/>
  <c r="AS61" i="19"/>
  <c r="AS62" i="19"/>
  <c r="AS101" i="19"/>
  <c r="AS107" i="19"/>
  <c r="AS108" i="19"/>
  <c r="AS109" i="19"/>
  <c r="AS112" i="19"/>
  <c r="AS81" i="19"/>
  <c r="AS85" i="19"/>
  <c r="AS86" i="19"/>
  <c r="AS87" i="19"/>
  <c r="AS88" i="19"/>
  <c r="AS89" i="19"/>
  <c r="AS90" i="19"/>
  <c r="AS91" i="19"/>
  <c r="AS92" i="19"/>
  <c r="AS93" i="19"/>
  <c r="AS94" i="19"/>
  <c r="AS118" i="19"/>
  <c r="AS120" i="19"/>
  <c r="AS121" i="19"/>
  <c r="AS122" i="19"/>
  <c r="AS123" i="19"/>
  <c r="AS124" i="19"/>
  <c r="AS125" i="19"/>
  <c r="AS126" i="19"/>
  <c r="AS127" i="19"/>
  <c r="AS128" i="19"/>
  <c r="AS129" i="19"/>
  <c r="AS130" i="19"/>
  <c r="AS132" i="19"/>
  <c r="AU24" i="19"/>
  <c r="AU67" i="19"/>
  <c r="AU68" i="19"/>
  <c r="AU100" i="19"/>
  <c r="AU117" i="19"/>
  <c r="AU119" i="19"/>
  <c r="AU14" i="19"/>
  <c r="AU15" i="19"/>
  <c r="AU16" i="19"/>
  <c r="AU17" i="19"/>
  <c r="AU18" i="19"/>
  <c r="AU19" i="19"/>
  <c r="AU21" i="19"/>
  <c r="AU25" i="19"/>
  <c r="AU27" i="19"/>
  <c r="AU29" i="19"/>
  <c r="AU36" i="19"/>
  <c r="AU38" i="19"/>
  <c r="AU32" i="19"/>
  <c r="AU34" i="19"/>
  <c r="AU40" i="19"/>
  <c r="AU69" i="19"/>
  <c r="AU70" i="19"/>
  <c r="AU71" i="19"/>
  <c r="AU73" i="19"/>
  <c r="AU47" i="19"/>
  <c r="AU48" i="19"/>
  <c r="AU49" i="19"/>
  <c r="AU50" i="19"/>
  <c r="AU51" i="19"/>
  <c r="AU52" i="19"/>
  <c r="AU53" i="19"/>
  <c r="AU54" i="19"/>
  <c r="AU55" i="19"/>
  <c r="AU56" i="19"/>
  <c r="AU57" i="19"/>
  <c r="AU58" i="19"/>
  <c r="AU59" i="19"/>
  <c r="AU60" i="19"/>
  <c r="AU61" i="19"/>
  <c r="AU62" i="19"/>
  <c r="AU101" i="19"/>
  <c r="AU102" i="19"/>
  <c r="AU103" i="19"/>
  <c r="AU104" i="19"/>
  <c r="AU105" i="19"/>
  <c r="AU106" i="19"/>
  <c r="AU107" i="19"/>
  <c r="AU108" i="19"/>
  <c r="AU109" i="19"/>
  <c r="AU110" i="19"/>
  <c r="AU112" i="19"/>
  <c r="AU81" i="19"/>
  <c r="AU82" i="19"/>
  <c r="AU83" i="19"/>
  <c r="AU84" i="19"/>
  <c r="AU85" i="19"/>
  <c r="AU86" i="19"/>
  <c r="AU87" i="19"/>
  <c r="AU88" i="19"/>
  <c r="AU89" i="19"/>
  <c r="AU90" i="19"/>
  <c r="AU91" i="19"/>
  <c r="AU92" i="19"/>
  <c r="AU93" i="19"/>
  <c r="AU94" i="19"/>
  <c r="AU118" i="19"/>
  <c r="AU120" i="19"/>
  <c r="AU121" i="19"/>
  <c r="AU122" i="19"/>
  <c r="AU123" i="19"/>
  <c r="AU124" i="19"/>
  <c r="AU125" i="19"/>
  <c r="AU126" i="19"/>
  <c r="AU127" i="19"/>
  <c r="AU128" i="19"/>
  <c r="AU129" i="19"/>
  <c r="AU130" i="19"/>
  <c r="AU132" i="19"/>
  <c r="AW24" i="19"/>
  <c r="AW67" i="19"/>
  <c r="AW68" i="19"/>
  <c r="W58" i="8"/>
  <c r="X58" i="8"/>
  <c r="Y58" i="8"/>
  <c r="Z58" i="8"/>
  <c r="AC58" i="8"/>
  <c r="AW391" i="19"/>
  <c r="AW82" i="19"/>
  <c r="AW83" i="19"/>
  <c r="AW84" i="19"/>
  <c r="AW360" i="19"/>
  <c r="AW361" i="19"/>
  <c r="AW395" i="19"/>
  <c r="AW389" i="19"/>
  <c r="AW102" i="19"/>
  <c r="AW103" i="19"/>
  <c r="AW104" i="19"/>
  <c r="AW105" i="19"/>
  <c r="AW106" i="19"/>
  <c r="AW110" i="19"/>
  <c r="AW362" i="19"/>
  <c r="AW363" i="19"/>
  <c r="AW396" i="19"/>
  <c r="AW100" i="19"/>
  <c r="AW117" i="19"/>
  <c r="AW119" i="19"/>
  <c r="AW14" i="19"/>
  <c r="AW15" i="19"/>
  <c r="AW16" i="19"/>
  <c r="AW17" i="19"/>
  <c r="AW18" i="19"/>
  <c r="AW19" i="19"/>
  <c r="AW21" i="19"/>
  <c r="AW25" i="19"/>
  <c r="AW27" i="19"/>
  <c r="AW29" i="19"/>
  <c r="W19" i="8"/>
  <c r="X19" i="8"/>
  <c r="Y19" i="8"/>
  <c r="Z19" i="8"/>
  <c r="AA19" i="8"/>
  <c r="AB19" i="8"/>
  <c r="AC19" i="8"/>
  <c r="AW390" i="19"/>
  <c r="AW36" i="19"/>
  <c r="AW38" i="19"/>
  <c r="AW32" i="19"/>
  <c r="AW34" i="19"/>
  <c r="AW40" i="19"/>
  <c r="AW69" i="19"/>
  <c r="AW70" i="19"/>
  <c r="AW71" i="19"/>
  <c r="AW73" i="19"/>
  <c r="AW47" i="19"/>
  <c r="AW48" i="19"/>
  <c r="AW49" i="19"/>
  <c r="AW50" i="19"/>
  <c r="AW51" i="19"/>
  <c r="AW52" i="19"/>
  <c r="AW53" i="19"/>
  <c r="AW54" i="19"/>
  <c r="AW55" i="19"/>
  <c r="AW56" i="19"/>
  <c r="AW57" i="19"/>
  <c r="AW58" i="19"/>
  <c r="AW59" i="19"/>
  <c r="AW60" i="19"/>
  <c r="AW61" i="19"/>
  <c r="AW62" i="19"/>
  <c r="AW101" i="19"/>
  <c r="AW107" i="19"/>
  <c r="AW108" i="19"/>
  <c r="AW109" i="19"/>
  <c r="AW112" i="19"/>
  <c r="AW81" i="19"/>
  <c r="AW85" i="19"/>
  <c r="AW86" i="19"/>
  <c r="AW87" i="19"/>
  <c r="AW88" i="19"/>
  <c r="AW89" i="19"/>
  <c r="AW90" i="19"/>
  <c r="AW91" i="19"/>
  <c r="AW92" i="19"/>
  <c r="AW93" i="19"/>
  <c r="AW94" i="19"/>
  <c r="AW118" i="19"/>
  <c r="AW120" i="19"/>
  <c r="AW121" i="19"/>
  <c r="AW122" i="19"/>
  <c r="AW123" i="19"/>
  <c r="AW124" i="19"/>
  <c r="AW125" i="19"/>
  <c r="AW126" i="19"/>
  <c r="AW127" i="19"/>
  <c r="AW128" i="19"/>
  <c r="AW129" i="19"/>
  <c r="AW130" i="19"/>
  <c r="AW132" i="19"/>
  <c r="AY24" i="19"/>
  <c r="AY67" i="19"/>
  <c r="AY68" i="19"/>
  <c r="F22" i="11"/>
  <c r="AY395" i="19"/>
  <c r="F68" i="11"/>
  <c r="AY396" i="19"/>
  <c r="AY100" i="19"/>
  <c r="AY117" i="19"/>
  <c r="AY119" i="19"/>
  <c r="AY14" i="19"/>
  <c r="AY15" i="19"/>
  <c r="AY16" i="19"/>
  <c r="AY17" i="19"/>
  <c r="AY18" i="19"/>
  <c r="AY19" i="19"/>
  <c r="AY21" i="19"/>
  <c r="AY25" i="19"/>
  <c r="AY27" i="19"/>
  <c r="AY29" i="19"/>
  <c r="W20" i="8"/>
  <c r="X20" i="8"/>
  <c r="Y20" i="8"/>
  <c r="Z20" i="8"/>
  <c r="AA20" i="8"/>
  <c r="AB20" i="8"/>
  <c r="AC20" i="8"/>
  <c r="AY390" i="19"/>
  <c r="AY36" i="19"/>
  <c r="AY38" i="19"/>
  <c r="AY32" i="19"/>
  <c r="AY34" i="19"/>
  <c r="AY40" i="19"/>
  <c r="AY69" i="19"/>
  <c r="AY70" i="19"/>
  <c r="AY71" i="19"/>
  <c r="AY73" i="19"/>
  <c r="AY47" i="19"/>
  <c r="AY48" i="19"/>
  <c r="AY49" i="19"/>
  <c r="AY50" i="19"/>
  <c r="AY51" i="19"/>
  <c r="AY52" i="19"/>
  <c r="AY53" i="19"/>
  <c r="AY54" i="19"/>
  <c r="AY55" i="19"/>
  <c r="AY56" i="19"/>
  <c r="AY57" i="19"/>
  <c r="AY58" i="19"/>
  <c r="AY59" i="19"/>
  <c r="AY60" i="19"/>
  <c r="AY61" i="19"/>
  <c r="AY62" i="19"/>
  <c r="AY101" i="19"/>
  <c r="AY389" i="19"/>
  <c r="AY102" i="19"/>
  <c r="W59" i="8"/>
  <c r="X59" i="8"/>
  <c r="Y59" i="8"/>
  <c r="Z59" i="8"/>
  <c r="AC59" i="8"/>
  <c r="AY391" i="19"/>
  <c r="AY103" i="19"/>
  <c r="AY104" i="19"/>
  <c r="AY105" i="19"/>
  <c r="AY106" i="19"/>
  <c r="AY107" i="19"/>
  <c r="AY108" i="19"/>
  <c r="AY109" i="19"/>
  <c r="AY110" i="19"/>
  <c r="AY112" i="19"/>
  <c r="AY81" i="19"/>
  <c r="AY82" i="19"/>
  <c r="AY83" i="19"/>
  <c r="AY84" i="19"/>
  <c r="AY85" i="19"/>
  <c r="AY86" i="19"/>
  <c r="AY87" i="19"/>
  <c r="AY88" i="19"/>
  <c r="AY89" i="19"/>
  <c r="AY90" i="19"/>
  <c r="AY91" i="19"/>
  <c r="AY92" i="19"/>
  <c r="AY93" i="19"/>
  <c r="AY94" i="19"/>
  <c r="AY118" i="19"/>
  <c r="AY120" i="19"/>
  <c r="AY121" i="19"/>
  <c r="AY122" i="19"/>
  <c r="AY123" i="19"/>
  <c r="AY124" i="19"/>
  <c r="AY125" i="19"/>
  <c r="AY126" i="19"/>
  <c r="AY127" i="19"/>
  <c r="AY128" i="19"/>
  <c r="AY129" i="19"/>
  <c r="AY130" i="19"/>
  <c r="AY132" i="19"/>
  <c r="L379" i="36"/>
  <c r="L339" i="36"/>
  <c r="L326" i="36"/>
  <c r="L309" i="36"/>
  <c r="L301" i="36"/>
  <c r="L252" i="36"/>
  <c r="L249" i="36"/>
  <c r="L233" i="36"/>
  <c r="L223" i="36"/>
  <c r="L209" i="36"/>
  <c r="L176" i="36"/>
  <c r="L140" i="36"/>
  <c r="L110" i="36"/>
  <c r="L52" i="36"/>
  <c r="M379" i="36"/>
  <c r="C431" i="36"/>
  <c r="E431" i="36"/>
  <c r="G431" i="36"/>
  <c r="I431" i="36"/>
  <c r="L431" i="36"/>
  <c r="C432" i="36"/>
  <c r="E432" i="36"/>
  <c r="G432" i="36"/>
  <c r="I432" i="36"/>
  <c r="L432" i="36"/>
  <c r="C425" i="36"/>
  <c r="E425" i="36"/>
  <c r="G425" i="36"/>
  <c r="I425" i="36"/>
  <c r="C426" i="36"/>
  <c r="E426" i="36"/>
  <c r="G426" i="36"/>
  <c r="I426" i="36"/>
  <c r="C427" i="36"/>
  <c r="E427" i="36"/>
  <c r="G427" i="36"/>
  <c r="I427" i="36"/>
  <c r="C428" i="36"/>
  <c r="E428" i="36"/>
  <c r="G428" i="36"/>
  <c r="I428" i="36"/>
  <c r="C429" i="36"/>
  <c r="E429" i="36"/>
  <c r="G429" i="36"/>
  <c r="I429" i="36"/>
  <c r="L429" i="36"/>
  <c r="C430" i="36"/>
  <c r="E430" i="36"/>
  <c r="G430" i="36"/>
  <c r="I430" i="36"/>
  <c r="C405" i="36"/>
  <c r="E405" i="36"/>
  <c r="G405" i="36"/>
  <c r="I405" i="36"/>
  <c r="L405" i="36"/>
  <c r="C406" i="36"/>
  <c r="E406" i="36"/>
  <c r="G406" i="36"/>
  <c r="I406" i="36"/>
  <c r="L406" i="36"/>
  <c r="C407" i="36"/>
  <c r="E407" i="36"/>
  <c r="G407" i="36"/>
  <c r="I407" i="36"/>
  <c r="L407" i="36"/>
  <c r="C408" i="36"/>
  <c r="E408" i="36"/>
  <c r="G408" i="36"/>
  <c r="I408" i="36"/>
  <c r="L408" i="36"/>
  <c r="C409" i="36"/>
  <c r="E409" i="36"/>
  <c r="G409" i="36"/>
  <c r="I409" i="36"/>
  <c r="L409" i="36"/>
  <c r="C410" i="36"/>
  <c r="E410" i="36"/>
  <c r="G410" i="36"/>
  <c r="I410" i="36"/>
  <c r="L410" i="36"/>
  <c r="C411" i="36"/>
  <c r="E411" i="36"/>
  <c r="G411" i="36"/>
  <c r="I411" i="36"/>
  <c r="L411" i="36"/>
  <c r="C412" i="36"/>
  <c r="E412" i="36"/>
  <c r="G412" i="36"/>
  <c r="I412" i="36"/>
  <c r="L412" i="36"/>
  <c r="C413" i="36"/>
  <c r="E413" i="36"/>
  <c r="G413" i="36"/>
  <c r="I413" i="36"/>
  <c r="L413" i="36"/>
  <c r="C414" i="36"/>
  <c r="E414" i="36"/>
  <c r="G414" i="36"/>
  <c r="I414" i="36"/>
  <c r="L414" i="36"/>
  <c r="C415" i="36"/>
  <c r="E415" i="36"/>
  <c r="G415" i="36"/>
  <c r="I415" i="36"/>
  <c r="L415" i="36"/>
  <c r="C416" i="36"/>
  <c r="E416" i="36"/>
  <c r="G416" i="36"/>
  <c r="I416" i="36"/>
  <c r="L416" i="36"/>
  <c r="C417" i="36"/>
  <c r="E417" i="36"/>
  <c r="G417" i="36"/>
  <c r="I417" i="36"/>
  <c r="L417" i="36"/>
  <c r="C418" i="36"/>
  <c r="E418" i="36"/>
  <c r="G418" i="36"/>
  <c r="I418" i="36"/>
  <c r="L418" i="36"/>
  <c r="C419" i="36"/>
  <c r="E419" i="36"/>
  <c r="G419" i="36"/>
  <c r="I419" i="36"/>
  <c r="L419" i="36"/>
  <c r="C420" i="36"/>
  <c r="E420" i="36"/>
  <c r="G420" i="36"/>
  <c r="I420" i="36"/>
  <c r="C421" i="36"/>
  <c r="E421" i="36"/>
  <c r="G421" i="36"/>
  <c r="I421" i="36"/>
  <c r="L421" i="36"/>
  <c r="C422" i="36"/>
  <c r="E422" i="36"/>
  <c r="G422" i="36"/>
  <c r="I422" i="36"/>
  <c r="C423" i="36"/>
  <c r="E423" i="36"/>
  <c r="G423" i="36"/>
  <c r="I423" i="36"/>
  <c r="C424" i="36"/>
  <c r="E424" i="36"/>
  <c r="G424" i="36"/>
  <c r="I424" i="36"/>
  <c r="C357" i="36"/>
  <c r="E357" i="36"/>
  <c r="G357" i="36"/>
  <c r="I357" i="36"/>
  <c r="C358" i="36"/>
  <c r="E358" i="36"/>
  <c r="G358" i="36"/>
  <c r="I358" i="36"/>
  <c r="C359" i="36"/>
  <c r="E359" i="36"/>
  <c r="G359" i="36"/>
  <c r="I359" i="36"/>
  <c r="C360" i="36"/>
  <c r="E360" i="36"/>
  <c r="G360" i="36"/>
  <c r="I360" i="36"/>
  <c r="C361" i="36"/>
  <c r="E361" i="36"/>
  <c r="G361" i="36"/>
  <c r="I361" i="36"/>
  <c r="C362" i="36"/>
  <c r="E362" i="36"/>
  <c r="G362" i="36"/>
  <c r="I362" i="36"/>
  <c r="C363" i="36"/>
  <c r="E363" i="36"/>
  <c r="G363" i="36"/>
  <c r="I363" i="36"/>
  <c r="L363" i="36"/>
  <c r="C364" i="36"/>
  <c r="E364" i="36"/>
  <c r="G364" i="36"/>
  <c r="I364" i="36"/>
  <c r="C365" i="36"/>
  <c r="E365" i="36"/>
  <c r="G365" i="36"/>
  <c r="I365" i="36"/>
  <c r="C366" i="36"/>
  <c r="E366" i="36"/>
  <c r="G366" i="36"/>
  <c r="I366" i="36"/>
  <c r="C367" i="36"/>
  <c r="E367" i="36"/>
  <c r="G367" i="36"/>
  <c r="I367" i="36"/>
  <c r="C368" i="36"/>
  <c r="E368" i="36"/>
  <c r="G368" i="36"/>
  <c r="I368" i="36"/>
  <c r="C369" i="36"/>
  <c r="E369" i="36"/>
  <c r="G369" i="36"/>
  <c r="I369" i="36"/>
  <c r="C370" i="36"/>
  <c r="E370" i="36"/>
  <c r="G370" i="36"/>
  <c r="I370" i="36"/>
  <c r="C371" i="36"/>
  <c r="E371" i="36"/>
  <c r="G371" i="36"/>
  <c r="I371" i="36"/>
  <c r="L371" i="36"/>
  <c r="C372" i="36"/>
  <c r="E372" i="36"/>
  <c r="G372" i="36"/>
  <c r="I372" i="36"/>
  <c r="C373" i="36"/>
  <c r="E373" i="36"/>
  <c r="G373" i="36"/>
  <c r="I373" i="36"/>
  <c r="L373" i="36"/>
  <c r="C374" i="36"/>
  <c r="E374" i="36"/>
  <c r="G374" i="36"/>
  <c r="I374" i="36"/>
  <c r="C375" i="36"/>
  <c r="E375" i="36"/>
  <c r="G375" i="36"/>
  <c r="I375" i="36"/>
  <c r="L375" i="36"/>
  <c r="C376" i="36"/>
  <c r="E376" i="36"/>
  <c r="G376" i="36"/>
  <c r="I376" i="36"/>
  <c r="C377" i="36"/>
  <c r="E377" i="36"/>
  <c r="G377" i="36"/>
  <c r="I377" i="36"/>
  <c r="C378" i="36"/>
  <c r="E378" i="36"/>
  <c r="G378" i="36"/>
  <c r="I378" i="36"/>
  <c r="C379" i="36"/>
  <c r="E379" i="36"/>
  <c r="G379" i="36"/>
  <c r="I379" i="36"/>
  <c r="C380" i="36"/>
  <c r="E380" i="36"/>
  <c r="G380" i="36"/>
  <c r="I380" i="36"/>
  <c r="L380" i="36"/>
  <c r="C381" i="36"/>
  <c r="E381" i="36"/>
  <c r="G381" i="36"/>
  <c r="I381" i="36"/>
  <c r="L381" i="36"/>
  <c r="C382" i="36"/>
  <c r="E382" i="36"/>
  <c r="G382" i="36"/>
  <c r="I382" i="36"/>
  <c r="L382" i="36"/>
  <c r="C383" i="36"/>
  <c r="E383" i="36"/>
  <c r="G383" i="36"/>
  <c r="I383" i="36"/>
  <c r="L383" i="36"/>
  <c r="C384" i="36"/>
  <c r="E384" i="36"/>
  <c r="G384" i="36"/>
  <c r="I384" i="36"/>
  <c r="L384" i="36"/>
  <c r="C385" i="36"/>
  <c r="E385" i="36"/>
  <c r="G385" i="36"/>
  <c r="I385" i="36"/>
  <c r="L385" i="36"/>
  <c r="C386" i="36"/>
  <c r="E386" i="36"/>
  <c r="G386" i="36"/>
  <c r="I386" i="36"/>
  <c r="L386" i="36"/>
  <c r="C387" i="36"/>
  <c r="E387" i="36"/>
  <c r="G387" i="36"/>
  <c r="I387" i="36"/>
  <c r="L387" i="36"/>
  <c r="C388" i="36"/>
  <c r="E388" i="36"/>
  <c r="G388" i="36"/>
  <c r="I388" i="36"/>
  <c r="L388" i="36"/>
  <c r="C389" i="36"/>
  <c r="E389" i="36"/>
  <c r="G389" i="36"/>
  <c r="I389" i="36"/>
  <c r="L389" i="36"/>
  <c r="C390" i="36"/>
  <c r="E390" i="36"/>
  <c r="G390" i="36"/>
  <c r="I390" i="36"/>
  <c r="C391" i="36"/>
  <c r="E391" i="36"/>
  <c r="G391" i="36"/>
  <c r="I391" i="36"/>
  <c r="L391" i="36"/>
  <c r="C392" i="36"/>
  <c r="E392" i="36"/>
  <c r="G392" i="36"/>
  <c r="I392" i="36"/>
  <c r="C393" i="36"/>
  <c r="E393" i="36"/>
  <c r="G393" i="36"/>
  <c r="I393" i="36"/>
  <c r="L393" i="36"/>
  <c r="C394" i="36"/>
  <c r="E394" i="36"/>
  <c r="G394" i="36"/>
  <c r="I394" i="36"/>
  <c r="L394" i="36"/>
  <c r="C395" i="36"/>
  <c r="E395" i="36"/>
  <c r="G395" i="36"/>
  <c r="I395" i="36"/>
  <c r="L395" i="36"/>
  <c r="C396" i="36"/>
  <c r="E396" i="36"/>
  <c r="G396" i="36"/>
  <c r="I396" i="36"/>
  <c r="L396" i="36"/>
  <c r="C397" i="36"/>
  <c r="E397" i="36"/>
  <c r="G397" i="36"/>
  <c r="I397" i="36"/>
  <c r="L397" i="36"/>
  <c r="C398" i="36"/>
  <c r="E398" i="36"/>
  <c r="G398" i="36"/>
  <c r="I398" i="36"/>
  <c r="L398" i="36"/>
  <c r="C399" i="36"/>
  <c r="E399" i="36"/>
  <c r="G399" i="36"/>
  <c r="I399" i="36"/>
  <c r="L399" i="36"/>
  <c r="C400" i="36"/>
  <c r="E400" i="36"/>
  <c r="G400" i="36"/>
  <c r="I400" i="36"/>
  <c r="C401" i="36"/>
  <c r="E401" i="36"/>
  <c r="G401" i="36"/>
  <c r="I401" i="36"/>
  <c r="L401" i="36"/>
  <c r="C402" i="36"/>
  <c r="E402" i="36"/>
  <c r="G402" i="36"/>
  <c r="I402" i="36"/>
  <c r="L402" i="36"/>
  <c r="C403" i="36"/>
  <c r="E403" i="36"/>
  <c r="G403" i="36"/>
  <c r="I403" i="36"/>
  <c r="L403" i="36"/>
  <c r="C404" i="36"/>
  <c r="E404" i="36"/>
  <c r="G404" i="36"/>
  <c r="I404" i="36"/>
  <c r="L404" i="36"/>
  <c r="C45" i="36"/>
  <c r="E45" i="36"/>
  <c r="G45" i="36"/>
  <c r="I45" i="36"/>
  <c r="L45" i="36"/>
  <c r="C46" i="36"/>
  <c r="E46" i="36"/>
  <c r="G46" i="36"/>
  <c r="I46" i="36"/>
  <c r="L46" i="36"/>
  <c r="C47" i="36"/>
  <c r="E47" i="36"/>
  <c r="G47" i="36"/>
  <c r="I47" i="36"/>
  <c r="C48" i="36"/>
  <c r="E48" i="36"/>
  <c r="G48" i="36"/>
  <c r="I48" i="36"/>
  <c r="C49" i="36"/>
  <c r="E49" i="36"/>
  <c r="G49" i="36"/>
  <c r="I49" i="36"/>
  <c r="C50" i="36"/>
  <c r="E50" i="36"/>
  <c r="G50" i="36"/>
  <c r="I50" i="36"/>
  <c r="C51" i="36"/>
  <c r="E51" i="36"/>
  <c r="G51" i="36"/>
  <c r="I51" i="36"/>
  <c r="L51" i="36"/>
  <c r="C52" i="36"/>
  <c r="E52" i="36"/>
  <c r="G52" i="36"/>
  <c r="I52" i="36"/>
  <c r="C53" i="36"/>
  <c r="E53" i="36"/>
  <c r="G53" i="36"/>
  <c r="I53" i="36"/>
  <c r="L53" i="36"/>
  <c r="C54" i="36"/>
  <c r="E54" i="36"/>
  <c r="G54" i="36"/>
  <c r="I54" i="36"/>
  <c r="L54" i="36"/>
  <c r="C55" i="36"/>
  <c r="E55" i="36"/>
  <c r="G55" i="36"/>
  <c r="I55" i="36"/>
  <c r="C56" i="36"/>
  <c r="E56" i="36"/>
  <c r="G56" i="36"/>
  <c r="I56" i="36"/>
  <c r="L56" i="36"/>
  <c r="C57" i="36"/>
  <c r="E57" i="36"/>
  <c r="G57" i="36"/>
  <c r="I57" i="36"/>
  <c r="L57" i="36"/>
  <c r="C58" i="36"/>
  <c r="E58" i="36"/>
  <c r="G58" i="36"/>
  <c r="I58" i="36"/>
  <c r="L58" i="36"/>
  <c r="C59" i="36"/>
  <c r="E59" i="36"/>
  <c r="G59" i="36"/>
  <c r="I59" i="36"/>
  <c r="C60" i="36"/>
  <c r="E60" i="36"/>
  <c r="G60" i="36"/>
  <c r="I60" i="36"/>
  <c r="L60" i="36"/>
  <c r="C61" i="36"/>
  <c r="E61" i="36"/>
  <c r="G61" i="36"/>
  <c r="I61" i="36"/>
  <c r="L61" i="36"/>
  <c r="C62" i="36"/>
  <c r="E62" i="36"/>
  <c r="G62" i="36"/>
  <c r="I62" i="36"/>
  <c r="L62" i="36"/>
  <c r="C63" i="36"/>
  <c r="E63" i="36"/>
  <c r="G63" i="36"/>
  <c r="I63" i="36"/>
  <c r="L63" i="36"/>
  <c r="C64" i="36"/>
  <c r="E64" i="36"/>
  <c r="G64" i="36"/>
  <c r="I64" i="36"/>
  <c r="C65" i="36"/>
  <c r="E65" i="36"/>
  <c r="G65" i="36"/>
  <c r="I65" i="36"/>
  <c r="C66" i="36"/>
  <c r="E66" i="36"/>
  <c r="G66" i="36"/>
  <c r="I66" i="36"/>
  <c r="C67" i="36"/>
  <c r="E67" i="36"/>
  <c r="G67" i="36"/>
  <c r="I67" i="36"/>
  <c r="C68" i="36"/>
  <c r="E68" i="36"/>
  <c r="G68" i="36"/>
  <c r="I68" i="36"/>
  <c r="C69" i="36"/>
  <c r="E69" i="36"/>
  <c r="G69" i="36"/>
  <c r="I69" i="36"/>
  <c r="C70" i="36"/>
  <c r="E70" i="36"/>
  <c r="G70" i="36"/>
  <c r="I70" i="36"/>
  <c r="C71" i="36"/>
  <c r="E71" i="36"/>
  <c r="G71" i="36"/>
  <c r="I71" i="36"/>
  <c r="C72" i="36"/>
  <c r="E72" i="36"/>
  <c r="G72" i="36"/>
  <c r="I72" i="36"/>
  <c r="C73" i="36"/>
  <c r="E73" i="36"/>
  <c r="G73" i="36"/>
  <c r="I73" i="36"/>
  <c r="C74" i="36"/>
  <c r="E74" i="36"/>
  <c r="G74" i="36"/>
  <c r="I74" i="36"/>
  <c r="C75" i="36"/>
  <c r="E75" i="36"/>
  <c r="G75" i="36"/>
  <c r="I75" i="36"/>
  <c r="C76" i="36"/>
  <c r="E76" i="36"/>
  <c r="G76" i="36"/>
  <c r="I76" i="36"/>
  <c r="C77" i="36"/>
  <c r="E77" i="36"/>
  <c r="G77" i="36"/>
  <c r="I77" i="36"/>
  <c r="C78" i="36"/>
  <c r="E78" i="36"/>
  <c r="G78" i="36"/>
  <c r="I78" i="36"/>
  <c r="C79" i="36"/>
  <c r="E79" i="36"/>
  <c r="G79" i="36"/>
  <c r="I79" i="36"/>
  <c r="C80" i="36"/>
  <c r="E80" i="36"/>
  <c r="G80" i="36"/>
  <c r="I80" i="36"/>
  <c r="C81" i="36"/>
  <c r="E81" i="36"/>
  <c r="G81" i="36"/>
  <c r="I81" i="36"/>
  <c r="C82" i="36"/>
  <c r="E82" i="36"/>
  <c r="G82" i="36"/>
  <c r="I82" i="36"/>
  <c r="C83" i="36"/>
  <c r="E83" i="36"/>
  <c r="G83" i="36"/>
  <c r="I83" i="36"/>
  <c r="C84" i="36"/>
  <c r="E84" i="36"/>
  <c r="G84" i="36"/>
  <c r="I84" i="36"/>
  <c r="C85" i="36"/>
  <c r="E85" i="36"/>
  <c r="G85" i="36"/>
  <c r="I85" i="36"/>
  <c r="L85" i="36"/>
  <c r="C86" i="36"/>
  <c r="E86" i="36"/>
  <c r="G86" i="36"/>
  <c r="I86" i="36"/>
  <c r="L86" i="36"/>
  <c r="C87" i="36"/>
  <c r="E87" i="36"/>
  <c r="G87" i="36"/>
  <c r="I87" i="36"/>
  <c r="C88" i="36"/>
  <c r="E88" i="36"/>
  <c r="G88" i="36"/>
  <c r="I88" i="36"/>
  <c r="C89" i="36"/>
  <c r="E89" i="36"/>
  <c r="G89" i="36"/>
  <c r="I89" i="36"/>
  <c r="L89" i="36"/>
  <c r="C90" i="36"/>
  <c r="E90" i="36"/>
  <c r="G90" i="36"/>
  <c r="I90" i="36"/>
  <c r="C91" i="36"/>
  <c r="E91" i="36"/>
  <c r="G91" i="36"/>
  <c r="I91" i="36"/>
  <c r="C92" i="36"/>
  <c r="E92" i="36"/>
  <c r="G92" i="36"/>
  <c r="I92" i="36"/>
  <c r="C93" i="36"/>
  <c r="E93" i="36"/>
  <c r="G93" i="36"/>
  <c r="I93" i="36"/>
  <c r="C94" i="36"/>
  <c r="E94" i="36"/>
  <c r="G94" i="36"/>
  <c r="I94" i="36"/>
  <c r="C95" i="36"/>
  <c r="E95" i="36"/>
  <c r="G95" i="36"/>
  <c r="I95" i="36"/>
  <c r="C96" i="36"/>
  <c r="E96" i="36"/>
  <c r="G96" i="36"/>
  <c r="I96" i="36"/>
  <c r="C97" i="36"/>
  <c r="E97" i="36"/>
  <c r="G97" i="36"/>
  <c r="I97" i="36"/>
  <c r="C98" i="36"/>
  <c r="E98" i="36"/>
  <c r="G98" i="36"/>
  <c r="I98" i="36"/>
  <c r="C99" i="36"/>
  <c r="E99" i="36"/>
  <c r="G99" i="36"/>
  <c r="I99" i="36"/>
  <c r="C100" i="36"/>
  <c r="E100" i="36"/>
  <c r="G100" i="36"/>
  <c r="I100" i="36"/>
  <c r="C101" i="36"/>
  <c r="E101" i="36"/>
  <c r="G101" i="36"/>
  <c r="I101" i="36"/>
  <c r="C102" i="36"/>
  <c r="E102" i="36"/>
  <c r="G102" i="36"/>
  <c r="I102" i="36"/>
  <c r="C103" i="36"/>
  <c r="E103" i="36"/>
  <c r="G103" i="36"/>
  <c r="I103" i="36"/>
  <c r="C104" i="36"/>
  <c r="E104" i="36"/>
  <c r="G104" i="36"/>
  <c r="I104" i="36"/>
  <c r="L104" i="36"/>
  <c r="C105" i="36"/>
  <c r="E105" i="36"/>
  <c r="G105" i="36"/>
  <c r="I105" i="36"/>
  <c r="C106" i="36"/>
  <c r="E106" i="36"/>
  <c r="G106" i="36"/>
  <c r="I106" i="36"/>
  <c r="C107" i="36"/>
  <c r="E107" i="36"/>
  <c r="G107" i="36"/>
  <c r="I107" i="36"/>
  <c r="C108" i="36"/>
  <c r="E108" i="36"/>
  <c r="G108" i="36"/>
  <c r="I108" i="36"/>
  <c r="C109" i="36"/>
  <c r="E109" i="36"/>
  <c r="G109" i="36"/>
  <c r="I109" i="36"/>
  <c r="C110" i="36"/>
  <c r="E110" i="36"/>
  <c r="G110" i="36"/>
  <c r="I110" i="36"/>
  <c r="C111" i="36"/>
  <c r="E111" i="36"/>
  <c r="G111" i="36"/>
  <c r="I111" i="36"/>
  <c r="L111" i="36"/>
  <c r="C112" i="36"/>
  <c r="E112" i="36"/>
  <c r="G112" i="36"/>
  <c r="I112" i="36"/>
  <c r="L112" i="36"/>
  <c r="C113" i="36"/>
  <c r="E113" i="36"/>
  <c r="G113" i="36"/>
  <c r="I113" i="36"/>
  <c r="L113" i="36"/>
  <c r="C114" i="36"/>
  <c r="E114" i="36"/>
  <c r="G114" i="36"/>
  <c r="I114" i="36"/>
  <c r="C115" i="36"/>
  <c r="E115" i="36"/>
  <c r="G115" i="36"/>
  <c r="I115" i="36"/>
  <c r="L115" i="36"/>
  <c r="C116" i="36"/>
  <c r="E116" i="36"/>
  <c r="G116" i="36"/>
  <c r="I116" i="36"/>
  <c r="L116" i="36"/>
  <c r="C117" i="36"/>
  <c r="E117" i="36"/>
  <c r="G117" i="36"/>
  <c r="I117" i="36"/>
  <c r="L117" i="36"/>
  <c r="C118" i="36"/>
  <c r="E118" i="36"/>
  <c r="G118" i="36"/>
  <c r="I118" i="36"/>
  <c r="L118" i="36"/>
  <c r="C119" i="36"/>
  <c r="E119" i="36"/>
  <c r="G119" i="36"/>
  <c r="I119" i="36"/>
  <c r="L119" i="36"/>
  <c r="C120" i="36"/>
  <c r="E120" i="36"/>
  <c r="G120" i="36"/>
  <c r="I120" i="36"/>
  <c r="C121" i="36"/>
  <c r="E121" i="36"/>
  <c r="G121" i="36"/>
  <c r="I121" i="36"/>
  <c r="L121" i="36"/>
  <c r="C122" i="36"/>
  <c r="E122" i="36"/>
  <c r="G122" i="36"/>
  <c r="I122" i="36"/>
  <c r="C123" i="36"/>
  <c r="E123" i="36"/>
  <c r="G123" i="36"/>
  <c r="I123" i="36"/>
  <c r="C124" i="36"/>
  <c r="E124" i="36"/>
  <c r="G124" i="36"/>
  <c r="I124" i="36"/>
  <c r="C125" i="36"/>
  <c r="E125" i="36"/>
  <c r="G125" i="36"/>
  <c r="I125" i="36"/>
  <c r="C126" i="36"/>
  <c r="E126" i="36"/>
  <c r="G126" i="36"/>
  <c r="I126" i="36"/>
  <c r="C127" i="36"/>
  <c r="E127" i="36"/>
  <c r="G127" i="36"/>
  <c r="I127" i="36"/>
  <c r="C128" i="36"/>
  <c r="E128" i="36"/>
  <c r="G128" i="36"/>
  <c r="I128" i="36"/>
  <c r="C129" i="36"/>
  <c r="E129" i="36"/>
  <c r="G129" i="36"/>
  <c r="I129" i="36"/>
  <c r="C130" i="36"/>
  <c r="E130" i="36"/>
  <c r="G130" i="36"/>
  <c r="I130" i="36"/>
  <c r="C131" i="36"/>
  <c r="E131" i="36"/>
  <c r="G131" i="36"/>
  <c r="I131" i="36"/>
  <c r="C132" i="36"/>
  <c r="E132" i="36"/>
  <c r="G132" i="36"/>
  <c r="I132" i="36"/>
  <c r="C133" i="36"/>
  <c r="E133" i="36"/>
  <c r="G133" i="36"/>
  <c r="I133" i="36"/>
  <c r="C134" i="36"/>
  <c r="E134" i="36"/>
  <c r="G134" i="36"/>
  <c r="I134" i="36"/>
  <c r="C135" i="36"/>
  <c r="E135" i="36"/>
  <c r="G135" i="36"/>
  <c r="I135" i="36"/>
  <c r="C136" i="36"/>
  <c r="E136" i="36"/>
  <c r="G136" i="36"/>
  <c r="I136" i="36"/>
  <c r="C137" i="36"/>
  <c r="E137" i="36"/>
  <c r="G137" i="36"/>
  <c r="I137" i="36"/>
  <c r="C138" i="36"/>
  <c r="E138" i="36"/>
  <c r="G138" i="36"/>
  <c r="I138" i="36"/>
  <c r="C139" i="36"/>
  <c r="E139" i="36"/>
  <c r="G139" i="36"/>
  <c r="I139" i="36"/>
  <c r="C140" i="36"/>
  <c r="E140" i="36"/>
  <c r="G140" i="36"/>
  <c r="I140" i="36"/>
  <c r="C141" i="36"/>
  <c r="E141" i="36"/>
  <c r="G141" i="36"/>
  <c r="I141" i="36"/>
  <c r="L141" i="36"/>
  <c r="C142" i="36"/>
  <c r="E142" i="36"/>
  <c r="G142" i="36"/>
  <c r="I142" i="36"/>
  <c r="L142" i="36"/>
  <c r="C143" i="36"/>
  <c r="E143" i="36"/>
  <c r="G143" i="36"/>
  <c r="I143" i="36"/>
  <c r="L143" i="36"/>
  <c r="C144" i="36"/>
  <c r="E144" i="36"/>
  <c r="G144" i="36"/>
  <c r="I144" i="36"/>
  <c r="L144" i="36"/>
  <c r="C145" i="36"/>
  <c r="E145" i="36"/>
  <c r="G145" i="36"/>
  <c r="I145" i="36"/>
  <c r="L145" i="36"/>
  <c r="C146" i="36"/>
  <c r="E146" i="36"/>
  <c r="G146" i="36"/>
  <c r="I146" i="36"/>
  <c r="L146" i="36"/>
  <c r="C147" i="36"/>
  <c r="E147" i="36"/>
  <c r="G147" i="36"/>
  <c r="I147" i="36"/>
  <c r="L147" i="36"/>
  <c r="C148" i="36"/>
  <c r="E148" i="36"/>
  <c r="G148" i="36"/>
  <c r="I148" i="36"/>
  <c r="L148" i="36"/>
  <c r="C149" i="36"/>
  <c r="E149" i="36"/>
  <c r="G149" i="36"/>
  <c r="I149" i="36"/>
  <c r="L149" i="36"/>
  <c r="C150" i="36"/>
  <c r="E150" i="36"/>
  <c r="G150" i="36"/>
  <c r="I150" i="36"/>
  <c r="L150" i="36"/>
  <c r="C151" i="36"/>
  <c r="E151" i="36"/>
  <c r="G151" i="36"/>
  <c r="I151" i="36"/>
  <c r="L151" i="36"/>
  <c r="C152" i="36"/>
  <c r="E152" i="36"/>
  <c r="G152" i="36"/>
  <c r="I152" i="36"/>
  <c r="L152" i="36"/>
  <c r="C153" i="36"/>
  <c r="E153" i="36"/>
  <c r="G153" i="36"/>
  <c r="I153" i="36"/>
  <c r="L153" i="36"/>
  <c r="C154" i="36"/>
  <c r="E154" i="36"/>
  <c r="G154" i="36"/>
  <c r="I154" i="36"/>
  <c r="L154" i="36"/>
  <c r="C155" i="36"/>
  <c r="E155" i="36"/>
  <c r="G155" i="36"/>
  <c r="I155" i="36"/>
  <c r="L155" i="36"/>
  <c r="C156" i="36"/>
  <c r="E156" i="36"/>
  <c r="G156" i="36"/>
  <c r="I156" i="36"/>
  <c r="L156" i="36"/>
  <c r="C157" i="36"/>
  <c r="E157" i="36"/>
  <c r="G157" i="36"/>
  <c r="I157" i="36"/>
  <c r="L157" i="36"/>
  <c r="C158" i="36"/>
  <c r="E158" i="36"/>
  <c r="G158" i="36"/>
  <c r="I158" i="36"/>
  <c r="C159" i="36"/>
  <c r="E159" i="36"/>
  <c r="G159" i="36"/>
  <c r="I159" i="36"/>
  <c r="L159" i="36"/>
  <c r="C160" i="36"/>
  <c r="E160" i="36"/>
  <c r="G160" i="36"/>
  <c r="I160" i="36"/>
  <c r="L160" i="36"/>
  <c r="C161" i="36"/>
  <c r="E161" i="36"/>
  <c r="G161" i="36"/>
  <c r="I161" i="36"/>
  <c r="C162" i="36"/>
  <c r="E162" i="36"/>
  <c r="G162" i="36"/>
  <c r="I162" i="36"/>
  <c r="C163" i="36"/>
  <c r="E163" i="36"/>
  <c r="G163" i="36"/>
  <c r="I163" i="36"/>
  <c r="L163" i="36"/>
  <c r="C164" i="36"/>
  <c r="E164" i="36"/>
  <c r="G164" i="36"/>
  <c r="I164" i="36"/>
  <c r="C165" i="36"/>
  <c r="E165" i="36"/>
  <c r="G165" i="36"/>
  <c r="I165" i="36"/>
  <c r="C166" i="36"/>
  <c r="E166" i="36"/>
  <c r="G166" i="36"/>
  <c r="I166" i="36"/>
  <c r="C167" i="36"/>
  <c r="E167" i="36"/>
  <c r="G167" i="36"/>
  <c r="I167" i="36"/>
  <c r="C168" i="36"/>
  <c r="E168" i="36"/>
  <c r="G168" i="36"/>
  <c r="I168" i="36"/>
  <c r="C169" i="36"/>
  <c r="E169" i="36"/>
  <c r="G169" i="36"/>
  <c r="I169" i="36"/>
  <c r="C170" i="36"/>
  <c r="E170" i="36"/>
  <c r="G170" i="36"/>
  <c r="I170" i="36"/>
  <c r="C171" i="36"/>
  <c r="E171" i="36"/>
  <c r="G171" i="36"/>
  <c r="I171" i="36"/>
  <c r="C172" i="36"/>
  <c r="E172" i="36"/>
  <c r="G172" i="36"/>
  <c r="I172" i="36"/>
  <c r="C173" i="36"/>
  <c r="E173" i="36"/>
  <c r="G173" i="36"/>
  <c r="I173" i="36"/>
  <c r="C174" i="36"/>
  <c r="E174" i="36"/>
  <c r="G174" i="36"/>
  <c r="I174" i="36"/>
  <c r="C175" i="36"/>
  <c r="E175" i="36"/>
  <c r="G175" i="36"/>
  <c r="I175" i="36"/>
  <c r="C176" i="36"/>
  <c r="E176" i="36"/>
  <c r="G176" i="36"/>
  <c r="I176" i="36"/>
  <c r="C177" i="36"/>
  <c r="E177" i="36"/>
  <c r="G177" i="36"/>
  <c r="I177" i="36"/>
  <c r="L177" i="36"/>
  <c r="C178" i="36"/>
  <c r="E178" i="36"/>
  <c r="G178" i="36"/>
  <c r="I178" i="36"/>
  <c r="L178" i="36"/>
  <c r="C179" i="36"/>
  <c r="E179" i="36"/>
  <c r="G179" i="36"/>
  <c r="I179" i="36"/>
  <c r="C180" i="36"/>
  <c r="E180" i="36"/>
  <c r="G180" i="36"/>
  <c r="I180" i="36"/>
  <c r="C181" i="36"/>
  <c r="E181" i="36"/>
  <c r="G181" i="36"/>
  <c r="I181" i="36"/>
  <c r="C182" i="36"/>
  <c r="E182" i="36"/>
  <c r="G182" i="36"/>
  <c r="I182" i="36"/>
  <c r="C183" i="36"/>
  <c r="E183" i="36"/>
  <c r="G183" i="36"/>
  <c r="I183" i="36"/>
  <c r="L183" i="36"/>
  <c r="C184" i="36"/>
  <c r="E184" i="36"/>
  <c r="G184" i="36"/>
  <c r="I184" i="36"/>
  <c r="C185" i="36"/>
  <c r="E185" i="36"/>
  <c r="G185" i="36"/>
  <c r="I185" i="36"/>
  <c r="C186" i="36"/>
  <c r="E186" i="36"/>
  <c r="G186" i="36"/>
  <c r="I186" i="36"/>
  <c r="C187" i="36"/>
  <c r="E187" i="36"/>
  <c r="G187" i="36"/>
  <c r="I187" i="36"/>
  <c r="C188" i="36"/>
  <c r="E188" i="36"/>
  <c r="G188" i="36"/>
  <c r="I188" i="36"/>
  <c r="L188" i="36"/>
  <c r="C189" i="36"/>
  <c r="E189" i="36"/>
  <c r="G189" i="36"/>
  <c r="I189" i="36"/>
  <c r="C190" i="36"/>
  <c r="E190" i="36"/>
  <c r="G190" i="36"/>
  <c r="I190" i="36"/>
  <c r="C191" i="36"/>
  <c r="E191" i="36"/>
  <c r="G191" i="36"/>
  <c r="I191" i="36"/>
  <c r="C192" i="36"/>
  <c r="E192" i="36"/>
  <c r="G192" i="36"/>
  <c r="I192" i="36"/>
  <c r="L192" i="36"/>
  <c r="C193" i="36"/>
  <c r="E193" i="36"/>
  <c r="G193" i="36"/>
  <c r="I193" i="36"/>
  <c r="C194" i="36"/>
  <c r="E194" i="36"/>
  <c r="G194" i="36"/>
  <c r="I194" i="36"/>
  <c r="C195" i="36"/>
  <c r="E195" i="36"/>
  <c r="G195" i="36"/>
  <c r="I195" i="36"/>
  <c r="C196" i="36"/>
  <c r="E196" i="36"/>
  <c r="G196" i="36"/>
  <c r="I196" i="36"/>
  <c r="L196" i="36"/>
  <c r="C197" i="36"/>
  <c r="E197" i="36"/>
  <c r="G197" i="36"/>
  <c r="I197" i="36"/>
  <c r="C198" i="36"/>
  <c r="E198" i="36"/>
  <c r="G198" i="36"/>
  <c r="I198" i="36"/>
  <c r="C199" i="36"/>
  <c r="E199" i="36"/>
  <c r="G199" i="36"/>
  <c r="I199" i="36"/>
  <c r="C200" i="36"/>
  <c r="E200" i="36"/>
  <c r="G200" i="36"/>
  <c r="I200" i="36"/>
  <c r="C201" i="36"/>
  <c r="E201" i="36"/>
  <c r="G201" i="36"/>
  <c r="I201" i="36"/>
  <c r="L201" i="36"/>
  <c r="C202" i="36"/>
  <c r="E202" i="36"/>
  <c r="G202" i="36"/>
  <c r="I202" i="36"/>
  <c r="C203" i="36"/>
  <c r="E203" i="36"/>
  <c r="G203" i="36"/>
  <c r="I203" i="36"/>
  <c r="C204" i="36"/>
  <c r="E204" i="36"/>
  <c r="G204" i="36"/>
  <c r="I204" i="36"/>
  <c r="C205" i="36"/>
  <c r="E205" i="36"/>
  <c r="G205" i="36"/>
  <c r="I205" i="36"/>
  <c r="L205" i="36"/>
  <c r="C206" i="36"/>
  <c r="E206" i="36"/>
  <c r="G206" i="36"/>
  <c r="I206" i="36"/>
  <c r="C207" i="36"/>
  <c r="E207" i="36"/>
  <c r="G207" i="36"/>
  <c r="I207" i="36"/>
  <c r="C208" i="36"/>
  <c r="E208" i="36"/>
  <c r="G208" i="36"/>
  <c r="I208" i="36"/>
  <c r="C209" i="36"/>
  <c r="E209" i="36"/>
  <c r="G209" i="36"/>
  <c r="I209" i="36"/>
  <c r="C210" i="36"/>
  <c r="E210" i="36"/>
  <c r="G210" i="36"/>
  <c r="I210" i="36"/>
  <c r="L210" i="36"/>
  <c r="C211" i="36"/>
  <c r="E211" i="36"/>
  <c r="G211" i="36"/>
  <c r="I211" i="36"/>
  <c r="L211" i="36"/>
  <c r="C212" i="36"/>
  <c r="E212" i="36"/>
  <c r="G212" i="36"/>
  <c r="I212" i="36"/>
  <c r="C213" i="36"/>
  <c r="E213" i="36"/>
  <c r="G213" i="36"/>
  <c r="I213" i="36"/>
  <c r="C214" i="36"/>
  <c r="E214" i="36"/>
  <c r="G214" i="36"/>
  <c r="I214" i="36"/>
  <c r="C215" i="36"/>
  <c r="E215" i="36"/>
  <c r="G215" i="36"/>
  <c r="I215" i="36"/>
  <c r="C216" i="36"/>
  <c r="E216" i="36"/>
  <c r="G216" i="36"/>
  <c r="I216" i="36"/>
  <c r="L216" i="36"/>
  <c r="C217" i="36"/>
  <c r="E217" i="36"/>
  <c r="G217" i="36"/>
  <c r="I217" i="36"/>
  <c r="C218" i="36"/>
  <c r="E218" i="36"/>
  <c r="G218" i="36"/>
  <c r="I218" i="36"/>
  <c r="C219" i="36"/>
  <c r="E219" i="36"/>
  <c r="G219" i="36"/>
  <c r="I219" i="36"/>
  <c r="C220" i="36"/>
  <c r="E220" i="36"/>
  <c r="G220" i="36"/>
  <c r="I220" i="36"/>
  <c r="C221" i="36"/>
  <c r="E221" i="36"/>
  <c r="G221" i="36"/>
  <c r="I221" i="36"/>
  <c r="C222" i="36"/>
  <c r="E222" i="36"/>
  <c r="G222" i="36"/>
  <c r="I222" i="36"/>
  <c r="C223" i="36"/>
  <c r="E223" i="36"/>
  <c r="G223" i="36"/>
  <c r="I223" i="36"/>
  <c r="C224" i="36"/>
  <c r="E224" i="36"/>
  <c r="G224" i="36"/>
  <c r="I224" i="36"/>
  <c r="L224" i="36"/>
  <c r="C225" i="36"/>
  <c r="E225" i="36"/>
  <c r="G225" i="36"/>
  <c r="I225" i="36"/>
  <c r="L225" i="36"/>
  <c r="C226" i="36"/>
  <c r="E226" i="36"/>
  <c r="G226" i="36"/>
  <c r="I226" i="36"/>
  <c r="C227" i="36"/>
  <c r="E227" i="36"/>
  <c r="G227" i="36"/>
  <c r="I227" i="36"/>
  <c r="C228" i="36"/>
  <c r="E228" i="36"/>
  <c r="G228" i="36"/>
  <c r="I228" i="36"/>
  <c r="C229" i="36"/>
  <c r="E229" i="36"/>
  <c r="G229" i="36"/>
  <c r="I229" i="36"/>
  <c r="C230" i="36"/>
  <c r="E230" i="36"/>
  <c r="G230" i="36"/>
  <c r="I230" i="36"/>
  <c r="L230" i="36"/>
  <c r="C231" i="36"/>
  <c r="E231" i="36"/>
  <c r="G231" i="36"/>
  <c r="I231" i="36"/>
  <c r="C232" i="36"/>
  <c r="E232" i="36"/>
  <c r="G232" i="36"/>
  <c r="I232" i="36"/>
  <c r="C233" i="36"/>
  <c r="E233" i="36"/>
  <c r="G233" i="36"/>
  <c r="I233" i="36"/>
  <c r="C234" i="36"/>
  <c r="E234" i="36"/>
  <c r="G234" i="36"/>
  <c r="I234" i="36"/>
  <c r="C235" i="36"/>
  <c r="E235" i="36"/>
  <c r="G235" i="36"/>
  <c r="I235" i="36"/>
  <c r="C236" i="36"/>
  <c r="E236" i="36"/>
  <c r="G236" i="36"/>
  <c r="I236" i="36"/>
  <c r="C237" i="36"/>
  <c r="E237" i="36"/>
  <c r="G237" i="36"/>
  <c r="I237" i="36"/>
  <c r="L237" i="36"/>
  <c r="C238" i="36"/>
  <c r="E238" i="36"/>
  <c r="G238" i="36"/>
  <c r="I238" i="36"/>
  <c r="C239" i="36"/>
  <c r="E239" i="36"/>
  <c r="G239" i="36"/>
  <c r="I239" i="36"/>
  <c r="C240" i="36"/>
  <c r="E240" i="36"/>
  <c r="G240" i="36"/>
  <c r="I240" i="36"/>
  <c r="C241" i="36"/>
  <c r="E241" i="36"/>
  <c r="G241" i="36"/>
  <c r="I241" i="36"/>
  <c r="C242" i="36"/>
  <c r="E242" i="36"/>
  <c r="G242" i="36"/>
  <c r="I242" i="36"/>
  <c r="C243" i="36"/>
  <c r="E243" i="36"/>
  <c r="G243" i="36"/>
  <c r="I243" i="36"/>
  <c r="C244" i="36"/>
  <c r="E244" i="36"/>
  <c r="G244" i="36"/>
  <c r="I244" i="36"/>
  <c r="L244" i="36"/>
  <c r="C245" i="36"/>
  <c r="E245" i="36"/>
  <c r="G245" i="36"/>
  <c r="I245" i="36"/>
  <c r="C246" i="36"/>
  <c r="E246" i="36"/>
  <c r="G246" i="36"/>
  <c r="I246" i="36"/>
  <c r="C247" i="36"/>
  <c r="E247" i="36"/>
  <c r="G247" i="36"/>
  <c r="I247" i="36"/>
  <c r="C248" i="36"/>
  <c r="E248" i="36"/>
  <c r="G248" i="36"/>
  <c r="I248" i="36"/>
  <c r="L248" i="36"/>
  <c r="C249" i="36"/>
  <c r="E249" i="36"/>
  <c r="G249" i="36"/>
  <c r="I249" i="36"/>
  <c r="C250" i="36"/>
  <c r="E250" i="36"/>
  <c r="G250" i="36"/>
  <c r="I250" i="36"/>
  <c r="C251" i="36"/>
  <c r="E251" i="36"/>
  <c r="G251" i="36"/>
  <c r="I251" i="36"/>
  <c r="L251" i="36"/>
  <c r="C252" i="36"/>
  <c r="E252" i="36"/>
  <c r="G252" i="36"/>
  <c r="I252" i="36"/>
  <c r="C253" i="36"/>
  <c r="E253" i="36"/>
  <c r="G253" i="36"/>
  <c r="I253" i="36"/>
  <c r="L253" i="36"/>
  <c r="C254" i="36"/>
  <c r="E254" i="36"/>
  <c r="G254" i="36"/>
  <c r="I254" i="36"/>
  <c r="L254" i="36"/>
  <c r="C255" i="36"/>
  <c r="E255" i="36"/>
  <c r="G255" i="36"/>
  <c r="I255" i="36"/>
  <c r="L255" i="36"/>
  <c r="C256" i="36"/>
  <c r="E256" i="36"/>
  <c r="G256" i="36"/>
  <c r="I256" i="36"/>
  <c r="L256" i="36"/>
  <c r="C257" i="36"/>
  <c r="E257" i="36"/>
  <c r="G257" i="36"/>
  <c r="I257" i="36"/>
  <c r="L257" i="36"/>
  <c r="C258" i="36"/>
  <c r="E258" i="36"/>
  <c r="G258" i="36"/>
  <c r="I258" i="36"/>
  <c r="L258" i="36"/>
  <c r="C259" i="36"/>
  <c r="E259" i="36"/>
  <c r="G259" i="36"/>
  <c r="I259" i="36"/>
  <c r="L259" i="36"/>
  <c r="C260" i="36"/>
  <c r="E260" i="36"/>
  <c r="G260" i="36"/>
  <c r="I260" i="36"/>
  <c r="C261" i="36"/>
  <c r="E261" i="36"/>
  <c r="G261" i="36"/>
  <c r="I261" i="36"/>
  <c r="L261" i="36"/>
  <c r="C262" i="36"/>
  <c r="E262" i="36"/>
  <c r="G262" i="36"/>
  <c r="I262" i="36"/>
  <c r="L262" i="36"/>
  <c r="C263" i="36"/>
  <c r="E263" i="36"/>
  <c r="G263" i="36"/>
  <c r="I263" i="36"/>
  <c r="L263" i="36"/>
  <c r="C264" i="36"/>
  <c r="E264" i="36"/>
  <c r="G264" i="36"/>
  <c r="I264" i="36"/>
  <c r="C265" i="36"/>
  <c r="E265" i="36"/>
  <c r="G265" i="36"/>
  <c r="I265" i="36"/>
  <c r="C266" i="36"/>
  <c r="E266" i="36"/>
  <c r="G266" i="36"/>
  <c r="I266" i="36"/>
  <c r="C267" i="36"/>
  <c r="E267" i="36"/>
  <c r="G267" i="36"/>
  <c r="I267" i="36"/>
  <c r="C268" i="36"/>
  <c r="E268" i="36"/>
  <c r="G268" i="36"/>
  <c r="I268" i="36"/>
  <c r="C269" i="36"/>
  <c r="E269" i="36"/>
  <c r="G269" i="36"/>
  <c r="I269" i="36"/>
  <c r="L269" i="36"/>
  <c r="C270" i="36"/>
  <c r="E270" i="36"/>
  <c r="G270" i="36"/>
  <c r="I270" i="36"/>
  <c r="C271" i="36"/>
  <c r="E271" i="36"/>
  <c r="G271" i="36"/>
  <c r="I271" i="36"/>
  <c r="C272" i="36"/>
  <c r="E272" i="36"/>
  <c r="G272" i="36"/>
  <c r="I272" i="36"/>
  <c r="C273" i="36"/>
  <c r="E273" i="36"/>
  <c r="G273" i="36"/>
  <c r="I273" i="36"/>
  <c r="C274" i="36"/>
  <c r="E274" i="36"/>
  <c r="G274" i="36"/>
  <c r="I274" i="36"/>
  <c r="C275" i="36"/>
  <c r="E275" i="36"/>
  <c r="G275" i="36"/>
  <c r="I275" i="36"/>
  <c r="C276" i="36"/>
  <c r="E276" i="36"/>
  <c r="G276" i="36"/>
  <c r="I276" i="36"/>
  <c r="C277" i="36"/>
  <c r="E277" i="36"/>
  <c r="G277" i="36"/>
  <c r="I277" i="36"/>
  <c r="C278" i="36"/>
  <c r="E278" i="36"/>
  <c r="G278" i="36"/>
  <c r="I278" i="36"/>
  <c r="C279" i="36"/>
  <c r="E279" i="36"/>
  <c r="G279" i="36"/>
  <c r="I279" i="36"/>
  <c r="C280" i="36"/>
  <c r="E280" i="36"/>
  <c r="G280" i="36"/>
  <c r="I280" i="36"/>
  <c r="C281" i="36"/>
  <c r="E281" i="36"/>
  <c r="G281" i="36"/>
  <c r="I281" i="36"/>
  <c r="C282" i="36"/>
  <c r="E282" i="36"/>
  <c r="G282" i="36"/>
  <c r="I282" i="36"/>
  <c r="C283" i="36"/>
  <c r="E283" i="36"/>
  <c r="G283" i="36"/>
  <c r="I283" i="36"/>
  <c r="C284" i="36"/>
  <c r="E284" i="36"/>
  <c r="G284" i="36"/>
  <c r="I284" i="36"/>
  <c r="C285" i="36"/>
  <c r="E285" i="36"/>
  <c r="G285" i="36"/>
  <c r="I285" i="36"/>
  <c r="C286" i="36"/>
  <c r="E286" i="36"/>
  <c r="G286" i="36"/>
  <c r="I286" i="36"/>
  <c r="C287" i="36"/>
  <c r="E287" i="36"/>
  <c r="G287" i="36"/>
  <c r="I287" i="36"/>
  <c r="C288" i="36"/>
  <c r="E288" i="36"/>
  <c r="G288" i="36"/>
  <c r="I288" i="36"/>
  <c r="C289" i="36"/>
  <c r="E289" i="36"/>
  <c r="G289" i="36"/>
  <c r="I289" i="36"/>
  <c r="C290" i="36"/>
  <c r="E290" i="36"/>
  <c r="G290" i="36"/>
  <c r="I290" i="36"/>
  <c r="C291" i="36"/>
  <c r="E291" i="36"/>
  <c r="G291" i="36"/>
  <c r="I291" i="36"/>
  <c r="C292" i="36"/>
  <c r="E292" i="36"/>
  <c r="G292" i="36"/>
  <c r="I292" i="36"/>
  <c r="C293" i="36"/>
  <c r="E293" i="36"/>
  <c r="G293" i="36"/>
  <c r="I293" i="36"/>
  <c r="C294" i="36"/>
  <c r="E294" i="36"/>
  <c r="G294" i="36"/>
  <c r="I294" i="36"/>
  <c r="C295" i="36"/>
  <c r="E295" i="36"/>
  <c r="G295" i="36"/>
  <c r="I295" i="36"/>
  <c r="C296" i="36"/>
  <c r="E296" i="36"/>
  <c r="G296" i="36"/>
  <c r="I296" i="36"/>
  <c r="C297" i="36"/>
  <c r="E297" i="36"/>
  <c r="G297" i="36"/>
  <c r="I297" i="36"/>
  <c r="C298" i="36"/>
  <c r="E298" i="36"/>
  <c r="G298" i="36"/>
  <c r="I298" i="36"/>
  <c r="C299" i="36"/>
  <c r="E299" i="36"/>
  <c r="G299" i="36"/>
  <c r="I299" i="36"/>
  <c r="C300" i="36"/>
  <c r="E300" i="36"/>
  <c r="G300" i="36"/>
  <c r="I300" i="36"/>
  <c r="C301" i="36"/>
  <c r="E301" i="36"/>
  <c r="G301" i="36"/>
  <c r="I301" i="36"/>
  <c r="C302" i="36"/>
  <c r="E302" i="36"/>
  <c r="G302" i="36"/>
  <c r="I302" i="36"/>
  <c r="C303" i="36"/>
  <c r="E303" i="36"/>
  <c r="G303" i="36"/>
  <c r="I303" i="36"/>
  <c r="L303" i="36"/>
  <c r="C305" i="36"/>
  <c r="E305" i="36"/>
  <c r="G305" i="36"/>
  <c r="I305" i="36"/>
  <c r="C306" i="36"/>
  <c r="E306" i="36"/>
  <c r="G306" i="36"/>
  <c r="I306" i="36"/>
  <c r="L306" i="36"/>
  <c r="C307" i="36"/>
  <c r="E307" i="36"/>
  <c r="G307" i="36"/>
  <c r="I307" i="36"/>
  <c r="C308" i="36"/>
  <c r="E308" i="36"/>
  <c r="G308" i="36"/>
  <c r="I308" i="36"/>
  <c r="C309" i="36"/>
  <c r="E309" i="36"/>
  <c r="G309" i="36"/>
  <c r="I309" i="36"/>
  <c r="C310" i="36"/>
  <c r="E310" i="36"/>
  <c r="G310" i="36"/>
  <c r="I310" i="36"/>
  <c r="L310" i="36"/>
  <c r="C311" i="36"/>
  <c r="E311" i="36"/>
  <c r="G311" i="36"/>
  <c r="I311" i="36"/>
  <c r="L311" i="36"/>
  <c r="C312" i="36"/>
  <c r="E312" i="36"/>
  <c r="G312" i="36"/>
  <c r="I312" i="36"/>
  <c r="L312" i="36"/>
  <c r="C313" i="36"/>
  <c r="E313" i="36"/>
  <c r="G313" i="36"/>
  <c r="I313" i="36"/>
  <c r="L313" i="36"/>
  <c r="C314" i="36"/>
  <c r="E314" i="36"/>
  <c r="G314" i="36"/>
  <c r="I314" i="36"/>
  <c r="C315" i="36"/>
  <c r="E315" i="36"/>
  <c r="G315" i="36"/>
  <c r="I315" i="36"/>
  <c r="C316" i="36"/>
  <c r="E316" i="36"/>
  <c r="G316" i="36"/>
  <c r="I316" i="36"/>
  <c r="L316" i="36"/>
  <c r="C317" i="36"/>
  <c r="E317" i="36"/>
  <c r="G317" i="36"/>
  <c r="I317" i="36"/>
  <c r="C318" i="36"/>
  <c r="E318" i="36"/>
  <c r="G318" i="36"/>
  <c r="I318" i="36"/>
  <c r="C319" i="36"/>
  <c r="E319" i="36"/>
  <c r="G319" i="36"/>
  <c r="I319" i="36"/>
  <c r="C320" i="36"/>
  <c r="E320" i="36"/>
  <c r="G320" i="36"/>
  <c r="I320" i="36"/>
  <c r="C321" i="36"/>
  <c r="E321" i="36"/>
  <c r="G321" i="36"/>
  <c r="I321" i="36"/>
  <c r="C322" i="36"/>
  <c r="E322" i="36"/>
  <c r="G322" i="36"/>
  <c r="I322" i="36"/>
  <c r="C323" i="36"/>
  <c r="E323" i="36"/>
  <c r="G323" i="36"/>
  <c r="I323" i="36"/>
  <c r="C324" i="36"/>
  <c r="E324" i="36"/>
  <c r="G324" i="36"/>
  <c r="I324" i="36"/>
  <c r="C325" i="36"/>
  <c r="E325" i="36"/>
  <c r="G325" i="36"/>
  <c r="I325" i="36"/>
  <c r="C326" i="36"/>
  <c r="E326" i="36"/>
  <c r="G326" i="36"/>
  <c r="I326" i="36"/>
  <c r="C327" i="36"/>
  <c r="E327" i="36"/>
  <c r="G327" i="36"/>
  <c r="I327" i="36"/>
  <c r="L327" i="36"/>
  <c r="C328" i="36"/>
  <c r="E328" i="36"/>
  <c r="G328" i="36"/>
  <c r="I328" i="36"/>
  <c r="L328" i="36"/>
  <c r="C329" i="36"/>
  <c r="E329" i="36"/>
  <c r="G329" i="36"/>
  <c r="I329" i="36"/>
  <c r="L329" i="36"/>
  <c r="C330" i="36"/>
  <c r="E330" i="36"/>
  <c r="G330" i="36"/>
  <c r="I330" i="36"/>
  <c r="L330" i="36"/>
  <c r="C331" i="36"/>
  <c r="E331" i="36"/>
  <c r="G331" i="36"/>
  <c r="I331" i="36"/>
  <c r="C332" i="36"/>
  <c r="E332" i="36"/>
  <c r="G332" i="36"/>
  <c r="I332" i="36"/>
  <c r="L332" i="36"/>
  <c r="C333" i="36"/>
  <c r="E333" i="36"/>
  <c r="G333" i="36"/>
  <c r="I333" i="36"/>
  <c r="C334" i="36"/>
  <c r="E334" i="36"/>
  <c r="G334" i="36"/>
  <c r="I334" i="36"/>
  <c r="C335" i="36"/>
  <c r="E335" i="36"/>
  <c r="G335" i="36"/>
  <c r="I335" i="36"/>
  <c r="C336" i="36"/>
  <c r="E336" i="36"/>
  <c r="G336" i="36"/>
  <c r="I336" i="36"/>
  <c r="C337" i="36"/>
  <c r="E337" i="36"/>
  <c r="G337" i="36"/>
  <c r="I337" i="36"/>
  <c r="C338" i="36"/>
  <c r="E338" i="36"/>
  <c r="G338" i="36"/>
  <c r="I338" i="36"/>
  <c r="C339" i="36"/>
  <c r="E339" i="36"/>
  <c r="G339" i="36"/>
  <c r="I339" i="36"/>
  <c r="C340" i="36"/>
  <c r="E340" i="36"/>
  <c r="G340" i="36"/>
  <c r="I340" i="36"/>
  <c r="L340" i="36"/>
  <c r="C341" i="36"/>
  <c r="E341" i="36"/>
  <c r="G341" i="36"/>
  <c r="I341" i="36"/>
  <c r="L341" i="36"/>
  <c r="C342" i="36"/>
  <c r="E342" i="36"/>
  <c r="G342" i="36"/>
  <c r="I342" i="36"/>
  <c r="L342" i="36"/>
  <c r="C343" i="36"/>
  <c r="E343" i="36"/>
  <c r="G343" i="36"/>
  <c r="I343" i="36"/>
  <c r="C344" i="36"/>
  <c r="E344" i="36"/>
  <c r="G344" i="36"/>
  <c r="I344" i="36"/>
  <c r="L344" i="36"/>
  <c r="C345" i="36"/>
  <c r="E345" i="36"/>
  <c r="G345" i="36"/>
  <c r="I345" i="36"/>
  <c r="L345" i="36"/>
  <c r="C346" i="36"/>
  <c r="E346" i="36"/>
  <c r="G346" i="36"/>
  <c r="I346" i="36"/>
  <c r="L346" i="36"/>
  <c r="C347" i="36"/>
  <c r="E347" i="36"/>
  <c r="G347" i="36"/>
  <c r="I347" i="36"/>
  <c r="L347" i="36"/>
  <c r="C348" i="36"/>
  <c r="E348" i="36"/>
  <c r="G348" i="36"/>
  <c r="I348" i="36"/>
  <c r="L348" i="36"/>
  <c r="C349" i="36"/>
  <c r="E349" i="36"/>
  <c r="G349" i="36"/>
  <c r="I349" i="36"/>
  <c r="C350" i="36"/>
  <c r="E350" i="36"/>
  <c r="G350" i="36"/>
  <c r="I350" i="36"/>
  <c r="C351" i="36"/>
  <c r="E351" i="36"/>
  <c r="G351" i="36"/>
  <c r="I351" i="36"/>
  <c r="C352" i="36"/>
  <c r="E352" i="36"/>
  <c r="G352" i="36"/>
  <c r="I352" i="36"/>
  <c r="L352" i="36"/>
  <c r="C353" i="36"/>
  <c r="E353" i="36"/>
  <c r="G353" i="36"/>
  <c r="I353" i="36"/>
  <c r="L353" i="36"/>
  <c r="C354" i="36"/>
  <c r="E354" i="36"/>
  <c r="G354" i="36"/>
  <c r="I354" i="36"/>
  <c r="C355" i="36"/>
  <c r="E355" i="36"/>
  <c r="G355" i="36"/>
  <c r="I355" i="36"/>
  <c r="L355" i="36"/>
  <c r="C356" i="36"/>
  <c r="E356" i="36"/>
  <c r="G356" i="36"/>
  <c r="I356" i="36"/>
  <c r="C43" i="36"/>
  <c r="E43" i="36"/>
  <c r="G43" i="36"/>
  <c r="I43" i="36"/>
  <c r="L43" i="36"/>
  <c r="C44" i="36"/>
  <c r="E44" i="36"/>
  <c r="G44" i="36"/>
  <c r="I44" i="36"/>
  <c r="L42" i="36"/>
  <c r="E42" i="36"/>
  <c r="G42" i="36"/>
  <c r="I42" i="36"/>
  <c r="C42" i="36"/>
  <c r="AG269" i="19"/>
  <c r="AE269" i="19"/>
  <c r="AI269" i="19"/>
  <c r="AK269" i="19"/>
  <c r="AM269" i="19"/>
  <c r="AO269" i="19"/>
  <c r="AQ269" i="19"/>
  <c r="AS269" i="19"/>
  <c r="AU269" i="19"/>
  <c r="AW269" i="19"/>
  <c r="AY269" i="19"/>
  <c r="BA269" i="19"/>
  <c r="L269" i="19"/>
  <c r="N269" i="19"/>
  <c r="P269" i="19"/>
  <c r="R269" i="19"/>
  <c r="T269" i="19"/>
  <c r="Z269" i="19"/>
  <c r="C272" i="19"/>
  <c r="L12" i="28"/>
  <c r="L14" i="28"/>
  <c r="L16" i="28"/>
  <c r="F12" i="28"/>
  <c r="F14" i="28"/>
  <c r="F16" i="28"/>
  <c r="U40" i="16"/>
  <c r="O22" i="1"/>
  <c r="AI276" i="19"/>
  <c r="P474" i="36"/>
  <c r="P473" i="36"/>
  <c r="P472" i="36"/>
  <c r="P471" i="36"/>
  <c r="P470" i="36"/>
  <c r="I59" i="30"/>
  <c r="D10" i="28"/>
  <c r="F10" i="28"/>
  <c r="O21" i="1"/>
  <c r="P476" i="36"/>
  <c r="Z175" i="19"/>
  <c r="Q470" i="36"/>
  <c r="Q471" i="36"/>
  <c r="Q474" i="36"/>
  <c r="F64" i="31"/>
  <c r="F66" i="31"/>
  <c r="AE219" i="19"/>
  <c r="AE318" i="19"/>
  <c r="AE203" i="19"/>
  <c r="AE202" i="19"/>
  <c r="AE201" i="19"/>
  <c r="AE263" i="19"/>
  <c r="AE264" i="19"/>
  <c r="AE265" i="19"/>
  <c r="AE266" i="19"/>
  <c r="AG265" i="19"/>
  <c r="AG266" i="19"/>
  <c r="AI266" i="19"/>
  <c r="AG263" i="19"/>
  <c r="AG264" i="19"/>
  <c r="AU265" i="19"/>
  <c r="AQ265" i="19"/>
  <c r="AI265" i="19"/>
  <c r="AO265" i="19"/>
  <c r="AM265" i="19"/>
  <c r="AK265" i="19"/>
  <c r="AM266" i="19"/>
  <c r="AU266" i="19"/>
  <c r="AQ266" i="19"/>
  <c r="AK266" i="19"/>
  <c r="AO266" i="19"/>
  <c r="AE158" i="19"/>
  <c r="N119" i="36"/>
  <c r="AE248" i="19"/>
  <c r="AE268" i="19"/>
  <c r="AE200" i="19"/>
  <c r="AE204" i="19"/>
  <c r="AE205" i="19"/>
  <c r="AE206" i="19"/>
  <c r="AE207" i="19"/>
  <c r="AE208" i="19"/>
  <c r="AE209" i="19"/>
  <c r="AE210" i="19"/>
  <c r="AE211" i="19"/>
  <c r="AE212" i="19"/>
  <c r="AE213" i="19"/>
  <c r="AE214" i="19"/>
  <c r="AE215" i="19"/>
  <c r="AE216" i="19"/>
  <c r="AE217" i="19"/>
  <c r="AE218" i="19"/>
  <c r="AE220" i="19"/>
  <c r="AE221" i="19"/>
  <c r="AE222" i="19"/>
  <c r="AE223" i="19"/>
  <c r="AE224" i="19"/>
  <c r="AE225" i="19"/>
  <c r="AE226" i="19"/>
  <c r="AE227" i="19"/>
  <c r="AE228" i="19"/>
  <c r="AE229" i="19"/>
  <c r="AE230" i="19"/>
  <c r="AE231" i="19"/>
  <c r="AE232" i="19"/>
  <c r="AE233" i="19"/>
  <c r="AE279" i="19"/>
  <c r="AE280" i="19"/>
  <c r="AE281" i="19"/>
  <c r="AE282" i="19"/>
  <c r="AE283" i="19"/>
  <c r="AE284" i="19"/>
  <c r="AE285" i="19"/>
  <c r="AE286" i="19"/>
  <c r="AE287" i="19"/>
  <c r="AE288" i="19"/>
  <c r="AE289" i="19"/>
  <c r="AE290" i="19"/>
  <c r="AE291" i="19"/>
  <c r="AE292" i="19"/>
  <c r="AE293" i="19"/>
  <c r="AE294" i="19"/>
  <c r="AE295" i="19"/>
  <c r="AE296" i="19"/>
  <c r="AE297" i="19"/>
  <c r="AE298" i="19"/>
  <c r="AE299" i="19"/>
  <c r="AE300" i="19"/>
  <c r="AE301" i="19"/>
  <c r="AE302" i="19"/>
  <c r="AE303" i="19"/>
  <c r="AE305" i="19"/>
  <c r="AE306" i="19"/>
  <c r="AE307" i="19"/>
  <c r="AE308" i="19"/>
  <c r="AE309" i="19"/>
  <c r="AE310" i="19"/>
  <c r="AE311" i="19"/>
  <c r="AE312" i="19"/>
  <c r="AE313" i="19"/>
  <c r="AE314" i="19"/>
  <c r="AE315" i="19"/>
  <c r="AE316" i="19"/>
  <c r="AE317" i="19"/>
  <c r="AE319" i="19"/>
  <c r="AE320" i="19"/>
  <c r="AE321" i="19"/>
  <c r="AE322" i="19"/>
  <c r="AE323" i="19"/>
  <c r="AE324" i="19"/>
  <c r="AE343" i="19"/>
  <c r="AG345" i="19"/>
  <c r="AG344" i="19"/>
  <c r="AG346" i="19"/>
  <c r="AG343" i="19"/>
  <c r="AG342" i="19"/>
  <c r="U45" i="35"/>
  <c r="U47" i="35"/>
  <c r="U43" i="35"/>
  <c r="U35" i="35"/>
  <c r="U37" i="35"/>
  <c r="U39" i="35"/>
  <c r="U41" i="35"/>
  <c r="U33" i="35"/>
  <c r="U31" i="35"/>
  <c r="Q33" i="35"/>
  <c r="Q35" i="35"/>
  <c r="Q37" i="35"/>
  <c r="Q39" i="35"/>
  <c r="Q41" i="35"/>
  <c r="Q43" i="35"/>
  <c r="Q45" i="35"/>
  <c r="Q47" i="35"/>
  <c r="Q31" i="35"/>
  <c r="H9" i="32"/>
  <c r="H14" i="32"/>
  <c r="H29" i="32"/>
  <c r="Z304" i="19"/>
  <c r="AE337" i="19"/>
  <c r="H8" i="32"/>
  <c r="C281" i="19"/>
  <c r="J281" i="19"/>
  <c r="AG294" i="19"/>
  <c r="AG297" i="19"/>
  <c r="AG337" i="19"/>
  <c r="AU337" i="19"/>
  <c r="AG281" i="19"/>
  <c r="AS281" i="19"/>
  <c r="AG340" i="19"/>
  <c r="AG339" i="19"/>
  <c r="AG335" i="19"/>
  <c r="AG334" i="19"/>
  <c r="AG336" i="19"/>
  <c r="H78" i="32"/>
  <c r="AQ294" i="19"/>
  <c r="AO294" i="19"/>
  <c r="AU294" i="19"/>
  <c r="AS294" i="19"/>
  <c r="AS297" i="19"/>
  <c r="AU297" i="19"/>
  <c r="AM297" i="19"/>
  <c r="AO297" i="19"/>
  <c r="AQ297" i="19"/>
  <c r="H7" i="32"/>
  <c r="H6" i="32"/>
  <c r="H5" i="32"/>
  <c r="AQ281" i="19"/>
  <c r="AS337" i="19"/>
  <c r="AU281" i="19"/>
  <c r="AM281" i="19"/>
  <c r="AO281" i="19"/>
  <c r="AQ337" i="19"/>
  <c r="AG287" i="19"/>
  <c r="AG302" i="19"/>
  <c r="AO302" i="19"/>
  <c r="AO337" i="19"/>
  <c r="AG341" i="19"/>
  <c r="AG338" i="19"/>
  <c r="AG293" i="19"/>
  <c r="AS293" i="19"/>
  <c r="AG333" i="19"/>
  <c r="AU293" i="19"/>
  <c r="AS287" i="19"/>
  <c r="AO287" i="19"/>
  <c r="AU287" i="19"/>
  <c r="AQ287" i="19"/>
  <c r="AM287" i="19"/>
  <c r="AQ293" i="19"/>
  <c r="AU302" i="19"/>
  <c r="AG315" i="19"/>
  <c r="AQ302" i="19"/>
  <c r="AG316" i="19"/>
  <c r="AS302" i="19"/>
  <c r="AO293" i="19"/>
  <c r="AE196" i="19"/>
  <c r="AE182" i="19"/>
  <c r="AE190" i="19"/>
  <c r="AG178" i="19"/>
  <c r="AG183" i="19"/>
  <c r="AG187" i="19"/>
  <c r="B140" i="19"/>
  <c r="BA271" i="19"/>
  <c r="BA273" i="19"/>
  <c r="BA274" i="19"/>
  <c r="BA20" i="19"/>
  <c r="BA22" i="19"/>
  <c r="BA23" i="19"/>
  <c r="BA26" i="19"/>
  <c r="BA28" i="19"/>
  <c r="BA30" i="19"/>
  <c r="BA31" i="19"/>
  <c r="BA33" i="19"/>
  <c r="BA35" i="19"/>
  <c r="BA37" i="19"/>
  <c r="BA39" i="19"/>
  <c r="BA41" i="19"/>
  <c r="BA42" i="19"/>
  <c r="BA43" i="19"/>
  <c r="BA44" i="19"/>
  <c r="BA63" i="19"/>
  <c r="BA65" i="19"/>
  <c r="BA66" i="19"/>
  <c r="BA72" i="19"/>
  <c r="BA74" i="19"/>
  <c r="BA76" i="19"/>
  <c r="BA77" i="19"/>
  <c r="BA78" i="19"/>
  <c r="BA95" i="19"/>
  <c r="BA97" i="19"/>
  <c r="BA98" i="19"/>
  <c r="BA99" i="19"/>
  <c r="BA111" i="19"/>
  <c r="BA113" i="19"/>
  <c r="BA115" i="19"/>
  <c r="BA116" i="19"/>
  <c r="BA131" i="19"/>
  <c r="BA133" i="19"/>
  <c r="BA134" i="19"/>
  <c r="BA135" i="19"/>
  <c r="BA136" i="19"/>
  <c r="BA139" i="19"/>
  <c r="BA168" i="19"/>
  <c r="BA170" i="19"/>
  <c r="BA171" i="19"/>
  <c r="BA172" i="19"/>
  <c r="BA174" i="19"/>
  <c r="BA175" i="19"/>
  <c r="BA176" i="19"/>
  <c r="BA235" i="19"/>
  <c r="BA237" i="19"/>
  <c r="BA238" i="19"/>
  <c r="BA242" i="19"/>
  <c r="BA244" i="19"/>
  <c r="BA245" i="19"/>
  <c r="BA251" i="19"/>
  <c r="BA252" i="19"/>
  <c r="BA254" i="19"/>
  <c r="BA256" i="19"/>
  <c r="BA257" i="19"/>
  <c r="BA259" i="19"/>
  <c r="AE80" i="19"/>
  <c r="AE247" i="19"/>
  <c r="AE249" i="19"/>
  <c r="AE250" i="19"/>
  <c r="AE240" i="19"/>
  <c r="AE167" i="19"/>
  <c r="AE166" i="19"/>
  <c r="AE165" i="19"/>
  <c r="AE164" i="19"/>
  <c r="AE163" i="19"/>
  <c r="AE162" i="19"/>
  <c r="AE160" i="19"/>
  <c r="AE159" i="19"/>
  <c r="AE157" i="19"/>
  <c r="AE156" i="19"/>
  <c r="AE155" i="19"/>
  <c r="AE154" i="19"/>
  <c r="AE153" i="19"/>
  <c r="AE152" i="19"/>
  <c r="AE149" i="19"/>
  <c r="AE148" i="19"/>
  <c r="AE147" i="19"/>
  <c r="AE146" i="19"/>
  <c r="AE145" i="19"/>
  <c r="AE144" i="19"/>
  <c r="AE143" i="19"/>
  <c r="AE142" i="19"/>
  <c r="AE141" i="19"/>
  <c r="AE140" i="19"/>
  <c r="AE138" i="19"/>
  <c r="AE137" i="19"/>
  <c r="AE46" i="19"/>
  <c r="AG250" i="19"/>
  <c r="AG311" i="19"/>
  <c r="AM311" i="19"/>
  <c r="AU311" i="19"/>
  <c r="AK311" i="19"/>
  <c r="AQ311" i="19"/>
  <c r="AY311" i="19"/>
  <c r="AS311" i="19"/>
  <c r="AG140" i="19"/>
  <c r="AG141" i="19"/>
  <c r="AG142" i="19"/>
  <c r="Z139" i="19"/>
  <c r="Z168" i="19"/>
  <c r="Z170" i="19"/>
  <c r="Z171" i="19"/>
  <c r="Z172" i="19"/>
  <c r="Z174" i="19"/>
  <c r="Z176" i="19"/>
  <c r="Z235" i="19"/>
  <c r="Z237" i="19"/>
  <c r="Z238" i="19"/>
  <c r="Z242" i="19"/>
  <c r="Z244" i="19"/>
  <c r="Z245" i="19"/>
  <c r="Z251" i="19"/>
  <c r="Z252" i="19"/>
  <c r="Z254" i="19"/>
  <c r="Z256" i="19"/>
  <c r="Z257" i="19"/>
  <c r="Z259" i="19"/>
  <c r="Z261" i="19"/>
  <c r="Z271" i="19"/>
  <c r="Z273" i="19"/>
  <c r="Z274" i="19"/>
  <c r="Z276" i="19"/>
  <c r="Z277" i="19"/>
  <c r="Z327" i="19"/>
  <c r="Z328" i="19"/>
  <c r="Z330" i="19"/>
  <c r="Z331" i="19"/>
  <c r="Z349" i="19"/>
  <c r="Z351" i="19"/>
  <c r="AU142" i="19"/>
  <c r="AO142" i="19"/>
  <c r="AK142" i="19"/>
  <c r="AS142" i="19"/>
  <c r="AM142" i="19"/>
  <c r="AQ142" i="19"/>
  <c r="AU140" i="19"/>
  <c r="AO140" i="19"/>
  <c r="AI140" i="19"/>
  <c r="AM140" i="19"/>
  <c r="AQ140" i="19"/>
  <c r="AK140" i="19"/>
  <c r="F523" i="36"/>
  <c r="AG268" i="19"/>
  <c r="C274" i="19"/>
  <c r="AQ268" i="19"/>
  <c r="AM268" i="19"/>
  <c r="AO268" i="19"/>
  <c r="AI268" i="19"/>
  <c r="AK268" i="19"/>
  <c r="AU268" i="19"/>
  <c r="AG167" i="19"/>
  <c r="AG157" i="19"/>
  <c r="AG156" i="19"/>
  <c r="AG155" i="19"/>
  <c r="AG166" i="19"/>
  <c r="AG154" i="19"/>
  <c r="AG153" i="19"/>
  <c r="AG152" i="19"/>
  <c r="AG151" i="19"/>
  <c r="AG158" i="19"/>
  <c r="AG248" i="19"/>
  <c r="AG360" i="19"/>
  <c r="AU360" i="19"/>
  <c r="M119" i="36"/>
  <c r="AG164" i="19"/>
  <c r="AG163" i="19"/>
  <c r="AG146" i="19"/>
  <c r="AG145" i="19"/>
  <c r="AG162" i="19"/>
  <c r="AG144" i="19"/>
  <c r="B251" i="19"/>
  <c r="AG138" i="19"/>
  <c r="L159" i="19"/>
  <c r="AG159" i="19"/>
  <c r="AS159" i="19"/>
  <c r="BA159" i="19"/>
  <c r="N35" i="34"/>
  <c r="O32" i="34"/>
  <c r="BA121" i="19"/>
  <c r="AB12" i="31"/>
  <c r="AD12" i="31"/>
  <c r="AE33" i="35"/>
  <c r="D18" i="28"/>
  <c r="D20" i="28"/>
  <c r="F20" i="28"/>
  <c r="W100" i="8"/>
  <c r="Y100" i="8"/>
  <c r="P20" i="28"/>
  <c r="L20" i="28"/>
  <c r="Y102" i="8"/>
  <c r="F18" i="28"/>
  <c r="Q10" i="7"/>
  <c r="P18" i="28"/>
  <c r="L18" i="28"/>
  <c r="AD51" i="31"/>
  <c r="AT399" i="19"/>
  <c r="AG148" i="19"/>
  <c r="AG149" i="19"/>
  <c r="AG160" i="19"/>
  <c r="AG165" i="19"/>
  <c r="AG332" i="19"/>
  <c r="AT401" i="19"/>
  <c r="AT402" i="19"/>
  <c r="AT403" i="19"/>
  <c r="AT404" i="19"/>
  <c r="AG241" i="19"/>
  <c r="AG246" i="19"/>
  <c r="AG267" i="19"/>
  <c r="AG347" i="19"/>
  <c r="AG348" i="19"/>
  <c r="AG270" i="19"/>
  <c r="AG262" i="19"/>
  <c r="N340" i="19"/>
  <c r="P340" i="19"/>
  <c r="R340" i="19"/>
  <c r="T340" i="19"/>
  <c r="BA261" i="19"/>
  <c r="BA327" i="19"/>
  <c r="BA328" i="19"/>
  <c r="BA330" i="19"/>
  <c r="BA331" i="19"/>
  <c r="BA349" i="19"/>
  <c r="BA351" i="19"/>
  <c r="BA353" i="19"/>
  <c r="BA392" i="19"/>
  <c r="AX395" i="19"/>
  <c r="AX396" i="19"/>
  <c r="BA398" i="19"/>
  <c r="AX399" i="19"/>
  <c r="AX401" i="19"/>
  <c r="BA405" i="19"/>
  <c r="AX404" i="19"/>
  <c r="AX403" i="19"/>
  <c r="AX402" i="19"/>
  <c r="E15" i="5"/>
  <c r="D25" i="7"/>
  <c r="D27" i="7"/>
  <c r="F22" i="7"/>
  <c r="F25" i="7"/>
  <c r="F27" i="7"/>
  <c r="C10" i="7"/>
  <c r="F38" i="7"/>
  <c r="F39" i="7"/>
  <c r="F40" i="7"/>
  <c r="AL35" i="35"/>
  <c r="AL37" i="35"/>
  <c r="AL39" i="35"/>
  <c r="AL41" i="35"/>
  <c r="AL43" i="35"/>
  <c r="AL45" i="35"/>
  <c r="AL33" i="35"/>
  <c r="AL31" i="35"/>
  <c r="AA31" i="35"/>
  <c r="AA33" i="35"/>
  <c r="AA35" i="35"/>
  <c r="AA37" i="35"/>
  <c r="AA39" i="35"/>
  <c r="AA41" i="35"/>
  <c r="AA43" i="35"/>
  <c r="AA45" i="35"/>
  <c r="AA47" i="35"/>
  <c r="AL47" i="35"/>
  <c r="AE45" i="19"/>
  <c r="AE79" i="19"/>
  <c r="AE278" i="19"/>
  <c r="M31" i="16"/>
  <c r="I35" i="30"/>
  <c r="I56" i="30"/>
  <c r="AE325" i="19"/>
  <c r="AE326" i="19"/>
  <c r="AE333" i="19"/>
  <c r="AE334" i="19"/>
  <c r="AE335" i="19"/>
  <c r="AE336" i="19"/>
  <c r="AE338" i="19"/>
  <c r="AE339" i="19"/>
  <c r="AE340" i="19"/>
  <c r="AE341" i="19"/>
  <c r="AE346" i="19"/>
  <c r="AE347" i="19"/>
  <c r="AG150" i="19"/>
  <c r="AG247" i="19"/>
  <c r="AG249" i="19"/>
  <c r="AG255" i="19"/>
  <c r="AG258" i="19"/>
  <c r="AG240" i="19"/>
  <c r="H10" i="7"/>
  <c r="P14" i="6"/>
  <c r="I15" i="16"/>
  <c r="I16" i="16"/>
  <c r="I17" i="16"/>
  <c r="I18" i="16"/>
  <c r="I19" i="16"/>
  <c r="I20" i="16"/>
  <c r="I21" i="16"/>
  <c r="I22" i="16"/>
  <c r="I23" i="16"/>
  <c r="F33" i="2"/>
  <c r="H29" i="2"/>
  <c r="G19" i="5"/>
  <c r="AB33" i="31"/>
  <c r="Z35" i="31"/>
  <c r="Z37" i="31"/>
  <c r="AB37" i="31"/>
  <c r="AB13" i="31"/>
  <c r="AB14" i="31"/>
  <c r="AB15" i="31"/>
  <c r="AB16" i="31"/>
  <c r="AB17" i="31"/>
  <c r="AB18" i="31"/>
  <c r="AB19" i="31"/>
  <c r="AE270" i="19"/>
  <c r="AE342" i="19"/>
  <c r="AE177" i="19"/>
  <c r="F22" i="28"/>
  <c r="P22" i="28"/>
  <c r="F24" i="28"/>
  <c r="P24" i="28"/>
  <c r="F26" i="28"/>
  <c r="F28" i="28"/>
  <c r="P28" i="28"/>
  <c r="L28" i="28"/>
  <c r="F30" i="28"/>
  <c r="P30" i="28"/>
  <c r="F32" i="28"/>
  <c r="P32" i="28"/>
  <c r="F34" i="28"/>
  <c r="F36" i="28"/>
  <c r="P36" i="28"/>
  <c r="F38" i="28"/>
  <c r="P38" i="28"/>
  <c r="F40" i="28"/>
  <c r="P40" i="28"/>
  <c r="L40" i="28"/>
  <c r="F51" i="28"/>
  <c r="L51" i="28"/>
  <c r="F53" i="28"/>
  <c r="L53" i="28"/>
  <c r="F55" i="28"/>
  <c r="L55" i="28"/>
  <c r="F57" i="28"/>
  <c r="L57" i="28"/>
  <c r="F59" i="28"/>
  <c r="L59" i="28"/>
  <c r="F61" i="28"/>
  <c r="L61" i="28"/>
  <c r="F63" i="28"/>
  <c r="L63" i="28"/>
  <c r="F65" i="28"/>
  <c r="L65" i="28"/>
  <c r="F67" i="28"/>
  <c r="L67" i="28"/>
  <c r="F69" i="28"/>
  <c r="L69" i="28"/>
  <c r="D48" i="11"/>
  <c r="F40" i="11"/>
  <c r="AI21" i="31"/>
  <c r="AI22" i="31"/>
  <c r="AJ21" i="31"/>
  <c r="AJ22" i="31"/>
  <c r="AK22" i="31"/>
  <c r="AL22" i="31"/>
  <c r="AN22" i="31"/>
  <c r="AO22" i="31"/>
  <c r="AP22" i="31"/>
  <c r="AQ22" i="31"/>
  <c r="F15" i="9"/>
  <c r="AN70" i="9"/>
  <c r="O163" i="9"/>
  <c r="S163" i="9"/>
  <c r="W163" i="9"/>
  <c r="AA163" i="9"/>
  <c r="AE163" i="9"/>
  <c r="AI163" i="9"/>
  <c r="AK163" i="9"/>
  <c r="O165" i="9"/>
  <c r="S165" i="9"/>
  <c r="W165" i="9"/>
  <c r="AA165" i="9"/>
  <c r="AE165" i="9"/>
  <c r="AI165" i="9"/>
  <c r="AK165" i="9"/>
  <c r="O167" i="9"/>
  <c r="S167" i="9"/>
  <c r="W167" i="9"/>
  <c r="AA167" i="9"/>
  <c r="AE167" i="9"/>
  <c r="AI167" i="9"/>
  <c r="AK167" i="9"/>
  <c r="O169" i="9"/>
  <c r="S169" i="9"/>
  <c r="W169" i="9"/>
  <c r="AA169" i="9"/>
  <c r="AE169" i="9"/>
  <c r="AI169" i="9"/>
  <c r="AK169" i="9"/>
  <c r="O171" i="9"/>
  <c r="S171" i="9"/>
  <c r="W171" i="9"/>
  <c r="AA171" i="9"/>
  <c r="AE171" i="9"/>
  <c r="AI171" i="9"/>
  <c r="AK171" i="9"/>
  <c r="O173" i="9"/>
  <c r="S173" i="9"/>
  <c r="W173" i="9"/>
  <c r="AA173" i="9"/>
  <c r="AE173" i="9"/>
  <c r="AI173" i="9"/>
  <c r="AK173" i="9"/>
  <c r="O175" i="9"/>
  <c r="S175" i="9"/>
  <c r="W175" i="9"/>
  <c r="AA175" i="9"/>
  <c r="AE175" i="9"/>
  <c r="AI175" i="9"/>
  <c r="AK175" i="9"/>
  <c r="O177" i="9"/>
  <c r="S177" i="9"/>
  <c r="W177" i="9"/>
  <c r="AA177" i="9"/>
  <c r="AE177" i="9"/>
  <c r="AI177" i="9"/>
  <c r="AK177" i="9"/>
  <c r="O179" i="9"/>
  <c r="S179" i="9"/>
  <c r="W179" i="9"/>
  <c r="AA179" i="9"/>
  <c r="AE179" i="9"/>
  <c r="AI179" i="9"/>
  <c r="AK179" i="9"/>
  <c r="O181" i="9"/>
  <c r="S181" i="9"/>
  <c r="W181" i="9"/>
  <c r="AA181" i="9"/>
  <c r="AE181" i="9"/>
  <c r="AI181" i="9"/>
  <c r="AK181" i="9"/>
  <c r="M183" i="9"/>
  <c r="Q183" i="9"/>
  <c r="U183" i="9"/>
  <c r="Y183" i="9"/>
  <c r="AC183" i="9"/>
  <c r="AG183" i="9"/>
  <c r="Q12" i="7"/>
  <c r="E17" i="5"/>
  <c r="E44" i="5"/>
  <c r="Z20" i="19"/>
  <c r="Z22" i="19"/>
  <c r="Z23" i="19"/>
  <c r="Z26" i="19"/>
  <c r="Z28" i="19"/>
  <c r="Z31" i="19"/>
  <c r="Z33" i="19"/>
  <c r="Z35" i="19"/>
  <c r="Z37" i="19"/>
  <c r="Z39" i="19"/>
  <c r="Z41" i="19"/>
  <c r="Z42" i="19"/>
  <c r="Z43" i="19"/>
  <c r="Z44" i="19"/>
  <c r="Z65" i="19"/>
  <c r="Z66" i="19"/>
  <c r="Z72" i="19"/>
  <c r="Z74" i="19"/>
  <c r="Z76" i="19"/>
  <c r="Z77" i="19"/>
  <c r="Z78" i="19"/>
  <c r="Z95" i="19"/>
  <c r="Z97" i="19"/>
  <c r="Z98" i="19"/>
  <c r="Z99" i="19"/>
  <c r="Z111" i="19"/>
  <c r="Z113" i="19"/>
  <c r="Z115" i="19"/>
  <c r="Z116" i="19"/>
  <c r="Z131" i="19"/>
  <c r="Z133" i="19"/>
  <c r="Z134" i="19"/>
  <c r="Z135" i="19"/>
  <c r="Z136" i="19"/>
  <c r="AE178" i="19"/>
  <c r="AE179" i="19"/>
  <c r="AE180" i="19"/>
  <c r="AE181" i="19"/>
  <c r="AE183" i="19"/>
  <c r="AE184" i="19"/>
  <c r="AE185" i="19"/>
  <c r="AE186" i="19"/>
  <c r="AE187" i="19"/>
  <c r="AE188" i="19"/>
  <c r="AE189" i="19"/>
  <c r="AE191" i="19"/>
  <c r="AE192" i="19"/>
  <c r="AE193" i="19"/>
  <c r="AE194" i="19"/>
  <c r="AE195" i="19"/>
  <c r="AE197" i="19"/>
  <c r="AE199" i="19"/>
  <c r="AE234" i="19"/>
  <c r="AE239" i="19"/>
  <c r="AE241" i="19"/>
  <c r="AE246" i="19"/>
  <c r="AE255" i="19"/>
  <c r="AE258" i="19"/>
  <c r="AE262" i="19"/>
  <c r="AE267" i="19"/>
  <c r="AE332" i="19"/>
  <c r="AE344" i="19"/>
  <c r="AE345" i="19"/>
  <c r="AE348" i="19"/>
  <c r="Z392" i="19"/>
  <c r="AA392" i="19"/>
  <c r="AJ395" i="19"/>
  <c r="AL395" i="19"/>
  <c r="AN395" i="19"/>
  <c r="AP395" i="19"/>
  <c r="AR395" i="19"/>
  <c r="AV395" i="19"/>
  <c r="AJ396" i="19"/>
  <c r="AL396" i="19"/>
  <c r="AN396" i="19"/>
  <c r="AP396" i="19"/>
  <c r="AR396" i="19"/>
  <c r="AV396" i="19"/>
  <c r="M399" i="19"/>
  <c r="O399" i="19"/>
  <c r="Q399" i="19"/>
  <c r="S399" i="19"/>
  <c r="U399" i="19"/>
  <c r="W399" i="19"/>
  <c r="AJ399" i="19"/>
  <c r="AL399" i="19"/>
  <c r="AN399" i="19"/>
  <c r="AP399" i="19"/>
  <c r="AR399" i="19"/>
  <c r="AV399" i="19"/>
  <c r="M401" i="19"/>
  <c r="O401" i="19"/>
  <c r="Q401" i="19"/>
  <c r="S401" i="19"/>
  <c r="U401" i="19"/>
  <c r="W401" i="19"/>
  <c r="AJ401" i="19"/>
  <c r="AL401" i="19"/>
  <c r="AN401" i="19"/>
  <c r="AP401" i="19"/>
  <c r="AR401" i="19"/>
  <c r="AV401" i="19"/>
  <c r="M402" i="19"/>
  <c r="O402" i="19"/>
  <c r="Q402" i="19"/>
  <c r="S402" i="19"/>
  <c r="U402" i="19"/>
  <c r="W402" i="19"/>
  <c r="AJ402" i="19"/>
  <c r="AL402" i="19"/>
  <c r="AN402" i="19"/>
  <c r="AP402" i="19"/>
  <c r="AR402" i="19"/>
  <c r="AV402" i="19"/>
  <c r="AJ403" i="19"/>
  <c r="AL403" i="19"/>
  <c r="AN403" i="19"/>
  <c r="AP403" i="19"/>
  <c r="AR403" i="19"/>
  <c r="AV403" i="19"/>
  <c r="AJ404" i="19"/>
  <c r="AL404" i="19"/>
  <c r="AN404" i="19"/>
  <c r="AP404" i="19"/>
  <c r="AR404" i="19"/>
  <c r="AV404" i="19"/>
  <c r="AE183" i="9"/>
  <c r="F43" i="11"/>
  <c r="AM173" i="9"/>
  <c r="W183" i="9"/>
  <c r="AI183" i="9"/>
  <c r="L36" i="28"/>
  <c r="L24" i="28"/>
  <c r="AK183" i="9"/>
  <c r="AG291" i="19"/>
  <c r="AS291" i="19"/>
  <c r="AG290" i="19"/>
  <c r="AQ290" i="19"/>
  <c r="AG289" i="19"/>
  <c r="AS289" i="19"/>
  <c r="AG288" i="19"/>
  <c r="AO288" i="19"/>
  <c r="AG295" i="19"/>
  <c r="AS295" i="19"/>
  <c r="AG292" i="19"/>
  <c r="AQ292" i="19"/>
  <c r="AG239" i="19"/>
  <c r="AG243" i="19"/>
  <c r="AO187" i="19"/>
  <c r="AS187" i="19"/>
  <c r="AU187" i="19"/>
  <c r="AQ187" i="19"/>
  <c r="AQ291" i="19"/>
  <c r="AO291" i="19"/>
  <c r="AS288" i="19"/>
  <c r="AQ288" i="19"/>
  <c r="AU295" i="19"/>
  <c r="AQ295" i="19"/>
  <c r="AM178" i="19"/>
  <c r="AS178" i="19"/>
  <c r="AU178" i="19"/>
  <c r="AO178" i="19"/>
  <c r="AQ178" i="19"/>
  <c r="AO292" i="19"/>
  <c r="AS183" i="19"/>
  <c r="AQ183" i="19"/>
  <c r="AO183" i="19"/>
  <c r="AU183" i="19"/>
  <c r="AM183" i="19"/>
  <c r="AO289" i="19"/>
  <c r="AU289" i="19"/>
  <c r="AS340" i="19"/>
  <c r="AU340" i="19"/>
  <c r="AW340" i="19"/>
  <c r="AY340" i="19"/>
  <c r="AK340" i="19"/>
  <c r="AM340" i="19"/>
  <c r="AO340" i="19"/>
  <c r="AQ340" i="19"/>
  <c r="AU339" i="19"/>
  <c r="AY339" i="19"/>
  <c r="AK339" i="19"/>
  <c r="AM339" i="19"/>
  <c r="AO339" i="19"/>
  <c r="AS339" i="19"/>
  <c r="AK336" i="19"/>
  <c r="AO336" i="19"/>
  <c r="AQ336" i="19"/>
  <c r="AS336" i="19"/>
  <c r="AU336" i="19"/>
  <c r="AO335" i="19"/>
  <c r="AQ335" i="19"/>
  <c r="AS335" i="19"/>
  <c r="AU335" i="19"/>
  <c r="AK335" i="19"/>
  <c r="AY338" i="19"/>
  <c r="AK338" i="19"/>
  <c r="AM338" i="19"/>
  <c r="AQ338" i="19"/>
  <c r="AS338" i="19"/>
  <c r="AU338" i="19"/>
  <c r="AO334" i="19"/>
  <c r="AQ334" i="19"/>
  <c r="AS334" i="19"/>
  <c r="AU334" i="19"/>
  <c r="AM334" i="19"/>
  <c r="AQ333" i="19"/>
  <c r="AS333" i="19"/>
  <c r="AU333" i="19"/>
  <c r="AM333" i="19"/>
  <c r="AO333" i="19"/>
  <c r="C279" i="19"/>
  <c r="C280" i="19"/>
  <c r="C278" i="19"/>
  <c r="J278" i="19"/>
  <c r="AG21" i="19"/>
  <c r="AG147" i="19"/>
  <c r="Z340" i="19"/>
  <c r="AK346" i="19"/>
  <c r="AF51" i="31"/>
  <c r="AD17" i="31"/>
  <c r="AE43" i="35"/>
  <c r="AD14" i="31"/>
  <c r="AE37" i="35"/>
  <c r="AT21" i="31"/>
  <c r="AT22" i="31"/>
  <c r="AD13" i="31"/>
  <c r="AE35" i="35"/>
  <c r="AR21" i="31"/>
  <c r="AR22" i="31"/>
  <c r="AH21" i="31"/>
  <c r="AH22" i="31"/>
  <c r="AD19" i="31"/>
  <c r="AE47" i="35"/>
  <c r="I62" i="30"/>
  <c r="F13" i="7"/>
  <c r="H13" i="7"/>
  <c r="AF49" i="31"/>
  <c r="AD49" i="31"/>
  <c r="K33" i="16"/>
  <c r="O183" i="9"/>
  <c r="AM181" i="9"/>
  <c r="AM165" i="9"/>
  <c r="AF47" i="31"/>
  <c r="AD47" i="31"/>
  <c r="AM167" i="9"/>
  <c r="AD16" i="31"/>
  <c r="AE41" i="35"/>
  <c r="AS21" i="31"/>
  <c r="AS22" i="31"/>
  <c r="AD15" i="31"/>
  <c r="AE39" i="35"/>
  <c r="AG253" i="19"/>
  <c r="AM169" i="9"/>
  <c r="AM171" i="9"/>
  <c r="L32" i="28"/>
  <c r="AA183" i="9"/>
  <c r="S183" i="9"/>
  <c r="AM175" i="9"/>
  <c r="F45" i="11"/>
  <c r="F41" i="11"/>
  <c r="AM21" i="31"/>
  <c r="AM22" i="31"/>
  <c r="H31" i="2"/>
  <c r="AM179" i="9"/>
  <c r="AM163" i="9"/>
  <c r="AD18" i="31"/>
  <c r="AE45" i="35"/>
  <c r="AM177" i="9"/>
  <c r="AU241" i="19"/>
  <c r="AS241" i="19"/>
  <c r="AM241" i="19"/>
  <c r="AO241" i="19"/>
  <c r="AQ241" i="19"/>
  <c r="AU267" i="19"/>
  <c r="AS267" i="19"/>
  <c r="AO267" i="19"/>
  <c r="AQ267" i="19"/>
  <c r="H22" i="7"/>
  <c r="H25" i="7"/>
  <c r="L14" i="6"/>
  <c r="P26" i="28"/>
  <c r="L26" i="28"/>
  <c r="P34" i="28"/>
  <c r="L34" i="28"/>
  <c r="F44" i="11"/>
  <c r="AB35" i="31"/>
  <c r="AU347" i="19"/>
  <c r="AS347" i="19"/>
  <c r="F42" i="11"/>
  <c r="AU346" i="19"/>
  <c r="AS346" i="19"/>
  <c r="AQ347" i="19"/>
  <c r="F46" i="11"/>
  <c r="AO347" i="19"/>
  <c r="AQ346" i="19"/>
  <c r="L38" i="28"/>
  <c r="L30" i="28"/>
  <c r="L22" i="28"/>
  <c r="AM347" i="19"/>
  <c r="AO346" i="19"/>
  <c r="AO290" i="19"/>
  <c r="AS292" i="19"/>
  <c r="AU290" i="19"/>
  <c r="AU292" i="19"/>
  <c r="AS290" i="19"/>
  <c r="AO295" i="19"/>
  <c r="AU291" i="19"/>
  <c r="AM295" i="19"/>
  <c r="AM183" i="9"/>
  <c r="F53" i="31"/>
  <c r="AG310" i="19"/>
  <c r="AY310" i="19"/>
  <c r="AG283" i="19"/>
  <c r="AU283" i="19"/>
  <c r="AG296" i="19"/>
  <c r="AU296" i="19"/>
  <c r="AG323" i="19"/>
  <c r="AG278" i="19"/>
  <c r="AQ289" i="19"/>
  <c r="AU288" i="19"/>
  <c r="AG321" i="19"/>
  <c r="AG298" i="19"/>
  <c r="AK298" i="19"/>
  <c r="AG286" i="19"/>
  <c r="AS286" i="19"/>
  <c r="AG320" i="19"/>
  <c r="AK178" i="19"/>
  <c r="AK333" i="19"/>
  <c r="AU310" i="19"/>
  <c r="AM310" i="19"/>
  <c r="AS310" i="19"/>
  <c r="AK295" i="19"/>
  <c r="AK287" i="19"/>
  <c r="AK297" i="19"/>
  <c r="AK281" i="19"/>
  <c r="AK183" i="19"/>
  <c r="AQ298" i="19"/>
  <c r="AS298" i="19"/>
  <c r="AU362" i="19"/>
  <c r="AG362" i="19"/>
  <c r="BA340" i="19"/>
  <c r="F151" i="12"/>
  <c r="J279" i="19"/>
  <c r="J280" i="19"/>
  <c r="AG143" i="19"/>
  <c r="AG169" i="19"/>
  <c r="BA120" i="19"/>
  <c r="AG34" i="19"/>
  <c r="BA106" i="19"/>
  <c r="AG132" i="19"/>
  <c r="Z120" i="19"/>
  <c r="B139" i="19"/>
  <c r="AK241" i="19"/>
  <c r="AF45" i="31"/>
  <c r="AF39" i="31"/>
  <c r="AD39" i="31"/>
  <c r="AD45" i="31"/>
  <c r="AF37" i="31"/>
  <c r="AD37" i="31"/>
  <c r="AB14" i="8"/>
  <c r="AG350" i="19"/>
  <c r="J350" i="19"/>
  <c r="AD43" i="31"/>
  <c r="J53" i="31"/>
  <c r="Z106" i="19"/>
  <c r="H33" i="2"/>
  <c r="K35" i="16"/>
  <c r="AK347" i="19"/>
  <c r="AG27" i="19"/>
  <c r="AG38" i="19"/>
  <c r="AG112" i="19"/>
  <c r="F48" i="11"/>
  <c r="AU361" i="19"/>
  <c r="Z14" i="8"/>
  <c r="Z405" i="19"/>
  <c r="AA405" i="19"/>
  <c r="H14" i="6"/>
  <c r="H27" i="7"/>
  <c r="J22" i="27"/>
  <c r="J30" i="27"/>
  <c r="J26" i="27"/>
  <c r="J24" i="27"/>
  <c r="J28" i="27"/>
  <c r="H36" i="27"/>
  <c r="N53" i="31"/>
  <c r="AD41" i="31"/>
  <c r="AG73" i="19"/>
  <c r="Z53" i="8"/>
  <c r="AD35" i="31"/>
  <c r="V53" i="31"/>
  <c r="AQ283" i="19"/>
  <c r="AM286" i="19"/>
  <c r="AO298" i="19"/>
  <c r="AO283" i="19"/>
  <c r="AK310" i="19"/>
  <c r="AQ286" i="19"/>
  <c r="AU298" i="19"/>
  <c r="AM298" i="19"/>
  <c r="AS283" i="19"/>
  <c r="AO310" i="19"/>
  <c r="AU286" i="19"/>
  <c r="AM283" i="19"/>
  <c r="AK286" i="19"/>
  <c r="AK283" i="19"/>
  <c r="AO286" i="19"/>
  <c r="AG319" i="19"/>
  <c r="AG313" i="19"/>
  <c r="AG282" i="19"/>
  <c r="AK282" i="19"/>
  <c r="AS296" i="19"/>
  <c r="AK296" i="19"/>
  <c r="AG301" i="19"/>
  <c r="AQ296" i="19"/>
  <c r="AG300" i="19"/>
  <c r="AU300" i="19"/>
  <c r="AG322" i="19"/>
  <c r="AK322" i="19"/>
  <c r="AG324" i="19"/>
  <c r="AO296" i="19"/>
  <c r="AG279" i="19"/>
  <c r="AG299" i="19"/>
  <c r="AK299" i="19"/>
  <c r="AG285" i="19"/>
  <c r="AK285" i="19"/>
  <c r="AG303" i="19"/>
  <c r="AQ303" i="19"/>
  <c r="AG326" i="19"/>
  <c r="AM296" i="19"/>
  <c r="AG280" i="19"/>
  <c r="AG284" i="19"/>
  <c r="AK284" i="19"/>
  <c r="B272" i="19"/>
  <c r="AM285" i="19"/>
  <c r="AO285" i="19"/>
  <c r="AU301" i="19"/>
  <c r="AO301" i="19"/>
  <c r="AQ301" i="19"/>
  <c r="AS301" i="19"/>
  <c r="AM284" i="19"/>
  <c r="AY313" i="19"/>
  <c r="AK313" i="19"/>
  <c r="AQ313" i="19"/>
  <c r="AW313" i="19"/>
  <c r="AS313" i="19"/>
  <c r="AO313" i="19"/>
  <c r="AU313" i="19"/>
  <c r="AM313" i="19"/>
  <c r="AS299" i="19"/>
  <c r="AU299" i="19"/>
  <c r="AM335" i="19"/>
  <c r="Z21" i="31"/>
  <c r="AD11" i="31"/>
  <c r="R313" i="19"/>
  <c r="T313" i="19"/>
  <c r="N313" i="19"/>
  <c r="P313" i="19"/>
  <c r="BA117" i="19"/>
  <c r="AG29" i="19"/>
  <c r="AU363" i="19"/>
  <c r="R24" i="1"/>
  <c r="T311" i="19"/>
  <c r="L38" i="8"/>
  <c r="N76" i="8"/>
  <c r="AM346" i="19"/>
  <c r="R53" i="31"/>
  <c r="AD33" i="31"/>
  <c r="AD53" i="31"/>
  <c r="AF43" i="31"/>
  <c r="P34" i="27"/>
  <c r="R34" i="27"/>
  <c r="AG272" i="19"/>
  <c r="AG40" i="19"/>
  <c r="AF41" i="31"/>
  <c r="J32" i="27"/>
  <c r="D42" i="7"/>
  <c r="X53" i="8"/>
  <c r="AF35" i="31"/>
  <c r="X14" i="8"/>
  <c r="AO300" i="19"/>
  <c r="AM303" i="19"/>
  <c r="AK303" i="19"/>
  <c r="AQ282" i="19"/>
  <c r="AS303" i="19"/>
  <c r="AQ284" i="19"/>
  <c r="AU303" i="19"/>
  <c r="AO303" i="19"/>
  <c r="AO299" i="19"/>
  <c r="AM282" i="19"/>
  <c r="AO284" i="19"/>
  <c r="AS322" i="19"/>
  <c r="AG325" i="19"/>
  <c r="AM299" i="19"/>
  <c r="AS284" i="19"/>
  <c r="AQ322" i="19"/>
  <c r="AG314" i="19"/>
  <c r="AQ299" i="19"/>
  <c r="AQ300" i="19"/>
  <c r="AU282" i="19"/>
  <c r="AM322" i="19"/>
  <c r="AS285" i="19"/>
  <c r="AO282" i="19"/>
  <c r="AS300" i="19"/>
  <c r="AS282" i="19"/>
  <c r="AU322" i="19"/>
  <c r="AQ285" i="19"/>
  <c r="AU284" i="19"/>
  <c r="AO322" i="19"/>
  <c r="AU285" i="19"/>
  <c r="T266" i="19"/>
  <c r="T265" i="19"/>
  <c r="N266" i="19"/>
  <c r="N265" i="19"/>
  <c r="L266" i="19"/>
  <c r="L265" i="19"/>
  <c r="P266" i="19"/>
  <c r="P265" i="19"/>
  <c r="R265" i="19"/>
  <c r="R266" i="19"/>
  <c r="AK301" i="19"/>
  <c r="AK302" i="19"/>
  <c r="AK300" i="19"/>
  <c r="BA313" i="19"/>
  <c r="AD21" i="31"/>
  <c r="AE31" i="35"/>
  <c r="L268" i="19"/>
  <c r="N140" i="19"/>
  <c r="N268" i="19"/>
  <c r="R140" i="19"/>
  <c r="R268" i="19"/>
  <c r="P140" i="19"/>
  <c r="P268" i="19"/>
  <c r="T140" i="19"/>
  <c r="T268" i="19"/>
  <c r="Z313" i="19"/>
  <c r="L25" i="4"/>
  <c r="J53" i="4"/>
  <c r="K64" i="5"/>
  <c r="O35" i="16"/>
  <c r="P24" i="6"/>
  <c r="P311" i="19"/>
  <c r="R311" i="19"/>
  <c r="N311" i="19"/>
  <c r="AK387" i="19"/>
  <c r="AF33" i="31"/>
  <c r="AF53" i="31"/>
  <c r="J20" i="2"/>
  <c r="N410" i="19"/>
  <c r="I44" i="5"/>
  <c r="I48" i="5"/>
  <c r="AM388" i="19"/>
  <c r="I17" i="5"/>
  <c r="I21" i="5"/>
  <c r="N411" i="19"/>
  <c r="T338" i="19"/>
  <c r="F21" i="10"/>
  <c r="AK267" i="19"/>
  <c r="AW387" i="19"/>
  <c r="AW266" i="19"/>
  <c r="AW265" i="19"/>
  <c r="AY266" i="19"/>
  <c r="AY265" i="19"/>
  <c r="AY268" i="19"/>
  <c r="AW268" i="19"/>
  <c r="AM301" i="19"/>
  <c r="AM302" i="19"/>
  <c r="AM300" i="19"/>
  <c r="AM336" i="19"/>
  <c r="AM337" i="19"/>
  <c r="AM293" i="19"/>
  <c r="AM290" i="19"/>
  <c r="AM289" i="19"/>
  <c r="AM292" i="19"/>
  <c r="AM294" i="19"/>
  <c r="AM288" i="19"/>
  <c r="AM291" i="19"/>
  <c r="AM187" i="19"/>
  <c r="AK337" i="19"/>
  <c r="AK293" i="19"/>
  <c r="AK290" i="19"/>
  <c r="AK291" i="19"/>
  <c r="AK289" i="19"/>
  <c r="AK292" i="19"/>
  <c r="AK294" i="19"/>
  <c r="AK288" i="19"/>
  <c r="AK187" i="19"/>
  <c r="AK334" i="19"/>
  <c r="AG312" i="19"/>
  <c r="Z311" i="19"/>
  <c r="N312" i="19"/>
  <c r="R312" i="19"/>
  <c r="P312" i="19"/>
  <c r="T312" i="19"/>
  <c r="AY140" i="19"/>
  <c r="AW140" i="19"/>
  <c r="Z121" i="19"/>
  <c r="R338" i="19"/>
  <c r="N338" i="19"/>
  <c r="N412" i="19"/>
  <c r="N53" i="4"/>
  <c r="N24" i="6"/>
  <c r="P53" i="4"/>
  <c r="P338" i="19"/>
  <c r="F34" i="9"/>
  <c r="Z397" i="19"/>
  <c r="AA397" i="19"/>
  <c r="L53" i="4"/>
  <c r="H25" i="4"/>
  <c r="J25" i="4"/>
  <c r="K46" i="1"/>
  <c r="I46" i="1"/>
  <c r="Z393" i="19"/>
  <c r="AA393" i="19"/>
  <c r="AM267" i="19"/>
  <c r="AY387" i="19"/>
  <c r="F40" i="10"/>
  <c r="Z398" i="19"/>
  <c r="AA398" i="19"/>
  <c r="N25" i="4"/>
  <c r="Z266" i="19"/>
  <c r="Z265" i="19"/>
  <c r="AS268" i="19"/>
  <c r="BA268" i="19"/>
  <c r="AS266" i="19"/>
  <c r="BA266" i="19"/>
  <c r="AS265" i="19"/>
  <c r="BA265" i="19"/>
  <c r="AY312" i="19"/>
  <c r="AU312" i="19"/>
  <c r="AQ312" i="19"/>
  <c r="AK312" i="19"/>
  <c r="AM312" i="19"/>
  <c r="AS312" i="19"/>
  <c r="AY303" i="19"/>
  <c r="AW338" i="19"/>
  <c r="AW311" i="19"/>
  <c r="AW312" i="19"/>
  <c r="AY334" i="19"/>
  <c r="AW334" i="19"/>
  <c r="AU317" i="19"/>
  <c r="AY335" i="19"/>
  <c r="Z268" i="19"/>
  <c r="Z140" i="19"/>
  <c r="R142" i="19"/>
  <c r="R284" i="19"/>
  <c r="N310" i="19"/>
  <c r="P310" i="19"/>
  <c r="T310" i="19"/>
  <c r="R310" i="19"/>
  <c r="N142" i="19"/>
  <c r="N284" i="19"/>
  <c r="Z312" i="19"/>
  <c r="AS140" i="19"/>
  <c r="BA140" i="19"/>
  <c r="BA130" i="19"/>
  <c r="BA129" i="19"/>
  <c r="BA122" i="19"/>
  <c r="BA127" i="19"/>
  <c r="BA118" i="19"/>
  <c r="BA125" i="19"/>
  <c r="BA123" i="19"/>
  <c r="BA124" i="19"/>
  <c r="BA128" i="19"/>
  <c r="BA126" i="19"/>
  <c r="Z125" i="19"/>
  <c r="Z126" i="19"/>
  <c r="Z119" i="19"/>
  <c r="Z128" i="19"/>
  <c r="Z118" i="19"/>
  <c r="Z124" i="19"/>
  <c r="Z129" i="19"/>
  <c r="Z123" i="19"/>
  <c r="Z127" i="19"/>
  <c r="Z122" i="19"/>
  <c r="Z338" i="19"/>
  <c r="Z83" i="19"/>
  <c r="K23" i="1"/>
  <c r="AW388" i="19"/>
  <c r="Z130" i="19"/>
  <c r="T303" i="19"/>
  <c r="R303" i="19"/>
  <c r="P303" i="19"/>
  <c r="Z117" i="19"/>
  <c r="N303" i="19"/>
  <c r="AY388" i="19"/>
  <c r="BA397" i="19"/>
  <c r="R388" i="19"/>
  <c r="T388" i="19"/>
  <c r="P387" i="19"/>
  <c r="P388" i="19"/>
  <c r="N339" i="19"/>
  <c r="N388" i="19"/>
  <c r="Z105" i="19"/>
  <c r="F55" i="9"/>
  <c r="F53" i="4"/>
  <c r="BA387" i="19"/>
  <c r="R339" i="19"/>
  <c r="F24" i="6"/>
  <c r="T339" i="19"/>
  <c r="J42" i="7"/>
  <c r="N413" i="19"/>
  <c r="L24" i="6"/>
  <c r="J24" i="6"/>
  <c r="P339" i="19"/>
  <c r="AY346" i="19"/>
  <c r="R267" i="19"/>
  <c r="R387" i="19"/>
  <c r="BA119" i="19"/>
  <c r="AW183" i="19"/>
  <c r="AW241" i="19"/>
  <c r="AW178" i="19"/>
  <c r="P142" i="19"/>
  <c r="BA334" i="19"/>
  <c r="AW339" i="19"/>
  <c r="AW310" i="19"/>
  <c r="AW284" i="19"/>
  <c r="AO338" i="19"/>
  <c r="BA338" i="19"/>
  <c r="AO312" i="19"/>
  <c r="BA312" i="19"/>
  <c r="AO311" i="19"/>
  <c r="BA311" i="19"/>
  <c r="AY336" i="19"/>
  <c r="AW336" i="19"/>
  <c r="AY284" i="19"/>
  <c r="AW333" i="19"/>
  <c r="AW295" i="19"/>
  <c r="AW282" i="19"/>
  <c r="AW286" i="19"/>
  <c r="AW297" i="19"/>
  <c r="AW296" i="19"/>
  <c r="AW298" i="19"/>
  <c r="AW322" i="19"/>
  <c r="AW283" i="19"/>
  <c r="AW281" i="19"/>
  <c r="AW299" i="19"/>
  <c r="AW287" i="19"/>
  <c r="AW285" i="19"/>
  <c r="P284" i="19"/>
  <c r="P178" i="19"/>
  <c r="P183" i="19"/>
  <c r="P297" i="19"/>
  <c r="P281" i="19"/>
  <c r="P287" i="19"/>
  <c r="P295" i="19"/>
  <c r="P286" i="19"/>
  <c r="P296" i="19"/>
  <c r="P298" i="19"/>
  <c r="P283" i="19"/>
  <c r="P285" i="19"/>
  <c r="P299" i="19"/>
  <c r="P322" i="19"/>
  <c r="P282" i="19"/>
  <c r="T336" i="19"/>
  <c r="R183" i="19"/>
  <c r="R178" i="19"/>
  <c r="R281" i="19"/>
  <c r="R297" i="19"/>
  <c r="R287" i="19"/>
  <c r="R295" i="19"/>
  <c r="R296" i="19"/>
  <c r="R298" i="19"/>
  <c r="R286" i="19"/>
  <c r="R283" i="19"/>
  <c r="R285" i="19"/>
  <c r="R299" i="19"/>
  <c r="R322" i="19"/>
  <c r="R282" i="19"/>
  <c r="N336" i="19"/>
  <c r="R336" i="19"/>
  <c r="T142" i="19"/>
  <c r="T284" i="19"/>
  <c r="N183" i="19"/>
  <c r="N178" i="19"/>
  <c r="N297" i="19"/>
  <c r="N281" i="19"/>
  <c r="N287" i="19"/>
  <c r="N295" i="19"/>
  <c r="N286" i="19"/>
  <c r="N283" i="19"/>
  <c r="N298" i="19"/>
  <c r="N296" i="19"/>
  <c r="N282" i="19"/>
  <c r="N285" i="19"/>
  <c r="N322" i="19"/>
  <c r="N299" i="19"/>
  <c r="T183" i="19"/>
  <c r="T178" i="19"/>
  <c r="T297" i="19"/>
  <c r="T281" i="19"/>
  <c r="T287" i="19"/>
  <c r="T295" i="19"/>
  <c r="T283" i="19"/>
  <c r="T296" i="19"/>
  <c r="T298" i="19"/>
  <c r="T286" i="19"/>
  <c r="T322" i="19"/>
  <c r="T282" i="19"/>
  <c r="T285" i="19"/>
  <c r="T299" i="19"/>
  <c r="P336" i="19"/>
  <c r="AY142" i="19"/>
  <c r="AW142" i="19"/>
  <c r="N335" i="19"/>
  <c r="Z385" i="19"/>
  <c r="AA385" i="19"/>
  <c r="E46" i="1"/>
  <c r="BA393" i="19"/>
  <c r="T387" i="19"/>
  <c r="N387" i="19"/>
  <c r="D25" i="4"/>
  <c r="R346" i="19"/>
  <c r="P335" i="19"/>
  <c r="T346" i="19"/>
  <c r="T335" i="19"/>
  <c r="P346" i="19"/>
  <c r="R335" i="19"/>
  <c r="N346" i="19"/>
  <c r="AW347" i="19"/>
  <c r="AI346" i="19"/>
  <c r="Z61" i="8"/>
  <c r="Y61" i="8"/>
  <c r="Z394" i="19"/>
  <c r="AA394" i="19"/>
  <c r="BA388" i="19"/>
  <c r="S22" i="6"/>
  <c r="T267" i="19"/>
  <c r="AB22" i="8"/>
  <c r="AA22" i="8"/>
  <c r="G46" i="1"/>
  <c r="H24" i="6"/>
  <c r="L413" i="19"/>
  <c r="N333" i="19"/>
  <c r="N347" i="19"/>
  <c r="N241" i="19"/>
  <c r="T333" i="19"/>
  <c r="T347" i="19"/>
  <c r="T241" i="19"/>
  <c r="R333" i="19"/>
  <c r="R347" i="19"/>
  <c r="R241" i="19"/>
  <c r="P267" i="19"/>
  <c r="P333" i="19"/>
  <c r="P347" i="19"/>
  <c r="P241" i="19"/>
  <c r="P334" i="19"/>
  <c r="H53" i="4"/>
  <c r="L412" i="19"/>
  <c r="F25" i="4"/>
  <c r="N267" i="19"/>
  <c r="R334" i="19"/>
  <c r="AY178" i="19"/>
  <c r="AY183" i="19"/>
  <c r="AY241" i="19"/>
  <c r="BA102" i="19"/>
  <c r="AY187" i="19"/>
  <c r="BA336" i="19"/>
  <c r="BA284" i="19"/>
  <c r="AY337" i="19"/>
  <c r="AY289" i="19"/>
  <c r="AY290" i="19"/>
  <c r="AY294" i="19"/>
  <c r="AY288" i="19"/>
  <c r="AY292" i="19"/>
  <c r="AY291" i="19"/>
  <c r="AY293" i="19"/>
  <c r="AQ339" i="19"/>
  <c r="BA339" i="19"/>
  <c r="AQ310" i="19"/>
  <c r="BA310" i="19"/>
  <c r="AY333" i="19"/>
  <c r="AY322" i="19"/>
  <c r="AY295" i="19"/>
  <c r="AY283" i="19"/>
  <c r="AY281" i="19"/>
  <c r="AY287" i="19"/>
  <c r="AY298" i="19"/>
  <c r="AY282" i="19"/>
  <c r="AY286" i="19"/>
  <c r="AY296" i="19"/>
  <c r="AY285" i="19"/>
  <c r="AY299" i="19"/>
  <c r="AY297" i="19"/>
  <c r="AW303" i="19"/>
  <c r="BA303" i="19"/>
  <c r="AY302" i="19"/>
  <c r="AY300" i="19"/>
  <c r="AY301" i="19"/>
  <c r="Z284" i="19"/>
  <c r="AW335" i="19"/>
  <c r="BA335" i="19"/>
  <c r="L410" i="19"/>
  <c r="Z84" i="19"/>
  <c r="N334" i="19"/>
  <c r="T334" i="19"/>
  <c r="R187" i="19"/>
  <c r="R294" i="19"/>
  <c r="R337" i="19"/>
  <c r="R293" i="19"/>
  <c r="R289" i="19"/>
  <c r="R290" i="19"/>
  <c r="R291" i="19"/>
  <c r="R292" i="19"/>
  <c r="R288" i="19"/>
  <c r="T187" i="19"/>
  <c r="T337" i="19"/>
  <c r="T294" i="19"/>
  <c r="T293" i="19"/>
  <c r="T290" i="19"/>
  <c r="T289" i="19"/>
  <c r="T291" i="19"/>
  <c r="T288" i="19"/>
  <c r="T292" i="19"/>
  <c r="Z142" i="19"/>
  <c r="N302" i="19"/>
  <c r="N300" i="19"/>
  <c r="N301" i="19"/>
  <c r="T302" i="19"/>
  <c r="T301" i="19"/>
  <c r="T300" i="19"/>
  <c r="P187" i="19"/>
  <c r="P294" i="19"/>
  <c r="P337" i="19"/>
  <c r="P293" i="19"/>
  <c r="P291" i="19"/>
  <c r="P292" i="19"/>
  <c r="P288" i="19"/>
  <c r="P290" i="19"/>
  <c r="P289" i="19"/>
  <c r="Z310" i="19"/>
  <c r="P302" i="19"/>
  <c r="P300" i="19"/>
  <c r="P301" i="19"/>
  <c r="R302" i="19"/>
  <c r="R300" i="19"/>
  <c r="R301" i="19"/>
  <c r="BA105" i="19"/>
  <c r="AY360" i="19"/>
  <c r="BA83" i="19"/>
  <c r="BA32" i="19"/>
  <c r="AI142" i="19"/>
  <c r="BA142" i="19"/>
  <c r="BA19" i="19"/>
  <c r="BA47" i="19"/>
  <c r="BA15" i="19"/>
  <c r="BA48" i="19"/>
  <c r="BA54" i="19"/>
  <c r="BA14" i="19"/>
  <c r="BA132" i="19"/>
  <c r="Z339" i="19"/>
  <c r="Z19" i="19"/>
  <c r="Z54" i="19"/>
  <c r="Z14" i="19"/>
  <c r="Z48" i="19"/>
  <c r="Z47" i="19"/>
  <c r="Z15" i="19"/>
  <c r="Z32" i="19"/>
  <c r="BA385" i="19"/>
  <c r="L411" i="19"/>
  <c r="AY347" i="19"/>
  <c r="W22" i="8"/>
  <c r="AY267" i="19"/>
  <c r="R53" i="4"/>
  <c r="BA394" i="19"/>
  <c r="X22" i="8"/>
  <c r="M46" i="1"/>
  <c r="AW346" i="19"/>
  <c r="BA346" i="19"/>
  <c r="BA389" i="19"/>
  <c r="P25" i="4"/>
  <c r="Z303" i="19"/>
  <c r="R24" i="6"/>
  <c r="Z104" i="19"/>
  <c r="N291" i="19"/>
  <c r="N288" i="19"/>
  <c r="N293" i="19"/>
  <c r="N294" i="19"/>
  <c r="N289" i="19"/>
  <c r="N187" i="19"/>
  <c r="N292" i="19"/>
  <c r="N337" i="19"/>
  <c r="N290" i="19"/>
  <c r="AW187" i="19"/>
  <c r="AW337" i="19"/>
  <c r="AW293" i="19"/>
  <c r="AW289" i="19"/>
  <c r="AW288" i="19"/>
  <c r="AW292" i="19"/>
  <c r="AW290" i="19"/>
  <c r="AW294" i="19"/>
  <c r="AW291" i="19"/>
  <c r="AW301" i="19"/>
  <c r="AW302" i="19"/>
  <c r="AW300" i="19"/>
  <c r="BA333" i="19"/>
  <c r="BA295" i="19"/>
  <c r="BA285" i="19"/>
  <c r="BA298" i="19"/>
  <c r="BA297" i="19"/>
  <c r="BA282" i="19"/>
  <c r="BA286" i="19"/>
  <c r="BA281" i="19"/>
  <c r="BA296" i="19"/>
  <c r="BA287" i="19"/>
  <c r="AI183" i="19"/>
  <c r="BA183" i="19"/>
  <c r="AI178" i="19"/>
  <c r="BA178" i="19"/>
  <c r="BA283" i="19"/>
  <c r="BA322" i="19"/>
  <c r="BA299" i="19"/>
  <c r="AS317" i="19"/>
  <c r="Z183" i="19"/>
  <c r="Z178" i="19"/>
  <c r="Z297" i="19"/>
  <c r="Z281" i="19"/>
  <c r="Z287" i="19"/>
  <c r="Z295" i="19"/>
  <c r="Z283" i="19"/>
  <c r="Z298" i="19"/>
  <c r="Z286" i="19"/>
  <c r="Z296" i="19"/>
  <c r="Z285" i="19"/>
  <c r="Z322" i="19"/>
  <c r="Z299" i="19"/>
  <c r="Z282" i="19"/>
  <c r="BA68" i="19"/>
  <c r="BA59" i="19"/>
  <c r="BA71" i="19"/>
  <c r="BA62" i="19"/>
  <c r="BA57" i="19"/>
  <c r="BA60" i="19"/>
  <c r="BA17" i="19"/>
  <c r="BA61" i="19"/>
  <c r="BA18" i="19"/>
  <c r="BA58" i="19"/>
  <c r="BA50" i="19"/>
  <c r="BA55" i="19"/>
  <c r="BA52" i="19"/>
  <c r="BA53" i="19"/>
  <c r="BA56" i="19"/>
  <c r="BA51" i="19"/>
  <c r="BA49" i="19"/>
  <c r="BA69" i="19"/>
  <c r="BA70" i="19"/>
  <c r="BA16" i="19"/>
  <c r="BA104" i="19"/>
  <c r="BA84" i="19"/>
  <c r="F65" i="11"/>
  <c r="AY362" i="19"/>
  <c r="AY363" i="19"/>
  <c r="D63" i="11"/>
  <c r="Z55" i="19"/>
  <c r="Z62" i="19"/>
  <c r="Z61" i="19"/>
  <c r="Z58" i="19"/>
  <c r="Z57" i="19"/>
  <c r="Z56" i="19"/>
  <c r="Z60" i="19"/>
  <c r="Z59" i="19"/>
  <c r="Z71" i="19"/>
  <c r="Z17" i="19"/>
  <c r="Z18" i="19"/>
  <c r="Z53" i="19"/>
  <c r="Z51" i="19"/>
  <c r="Z49" i="19"/>
  <c r="Z52" i="19"/>
  <c r="Z50" i="19"/>
  <c r="AI347" i="19"/>
  <c r="BA347" i="19"/>
  <c r="AI241" i="19"/>
  <c r="BA241" i="19"/>
  <c r="BA386" i="19"/>
  <c r="BA25" i="19"/>
  <c r="X61" i="8"/>
  <c r="BA67" i="19"/>
  <c r="W61" i="8"/>
  <c r="AW267" i="19"/>
  <c r="Z22" i="8"/>
  <c r="Y22" i="8"/>
  <c r="H24" i="8"/>
  <c r="J24" i="8"/>
  <c r="D24" i="8"/>
  <c r="F24" i="8"/>
  <c r="AC22" i="8"/>
  <c r="AC61" i="8"/>
  <c r="Z335" i="19"/>
  <c r="L346" i="19"/>
  <c r="Z346" i="19"/>
  <c r="Z389" i="19"/>
  <c r="AA389" i="19"/>
  <c r="F64" i="8"/>
  <c r="Z333" i="19"/>
  <c r="Z16" i="19"/>
  <c r="Z69" i="19"/>
  <c r="L347" i="19"/>
  <c r="Z347" i="19"/>
  <c r="Z386" i="19"/>
  <c r="AA386" i="19"/>
  <c r="L241" i="19"/>
  <c r="Z241" i="19"/>
  <c r="Z70" i="19"/>
  <c r="Z25" i="19"/>
  <c r="Z387" i="19"/>
  <c r="AA387" i="19"/>
  <c r="Z336" i="19"/>
  <c r="Z388" i="19"/>
  <c r="AA388" i="19"/>
  <c r="J64" i="8"/>
  <c r="L64" i="8"/>
  <c r="AY361" i="19"/>
  <c r="L24" i="8"/>
  <c r="BA24" i="19"/>
  <c r="BA300" i="19"/>
  <c r="BA302" i="19"/>
  <c r="BA301" i="19"/>
  <c r="BA337" i="19"/>
  <c r="BA293" i="19"/>
  <c r="BA290" i="19"/>
  <c r="BA291" i="19"/>
  <c r="BA288" i="19"/>
  <c r="BA289" i="19"/>
  <c r="BA292" i="19"/>
  <c r="BA294" i="19"/>
  <c r="AI187" i="19"/>
  <c r="BA187" i="19"/>
  <c r="AK317" i="19"/>
  <c r="Z334" i="19"/>
  <c r="D67" i="11"/>
  <c r="BA110" i="19"/>
  <c r="Z102" i="19"/>
  <c r="Z27" i="19"/>
  <c r="Z24" i="19"/>
  <c r="BA21" i="19"/>
  <c r="BA73" i="19"/>
  <c r="BA27" i="19"/>
  <c r="D68" i="11"/>
  <c r="D65" i="11"/>
  <c r="F63" i="11"/>
  <c r="D64" i="11"/>
  <c r="BA390" i="19"/>
  <c r="BA36" i="19"/>
  <c r="H64" i="8"/>
  <c r="L415" i="19"/>
  <c r="D66" i="11"/>
  <c r="N24" i="8"/>
  <c r="L414" i="19"/>
  <c r="F64" i="11"/>
  <c r="Z73" i="19"/>
  <c r="Z67" i="19"/>
  <c r="BA391" i="19"/>
  <c r="AI267" i="19"/>
  <c r="BA267" i="19"/>
  <c r="AM317" i="19"/>
  <c r="BA82" i="19"/>
  <c r="BA103" i="19"/>
  <c r="F67" i="11"/>
  <c r="Z21" i="19"/>
  <c r="P24" i="8"/>
  <c r="BA34" i="19"/>
  <c r="F66" i="11"/>
  <c r="BA38" i="19"/>
  <c r="L267" i="19"/>
  <c r="Z267" i="19"/>
  <c r="N64" i="8"/>
  <c r="BA29" i="19"/>
  <c r="Z187" i="19"/>
  <c r="Z337" i="19"/>
  <c r="Z294" i="19"/>
  <c r="Z293" i="19"/>
  <c r="Z288" i="19"/>
  <c r="Z291" i="19"/>
  <c r="Z290" i="19"/>
  <c r="Z292" i="19"/>
  <c r="Z289" i="19"/>
  <c r="Z302" i="19"/>
  <c r="Z301" i="19"/>
  <c r="Z300" i="19"/>
  <c r="Z29" i="19"/>
  <c r="Z110" i="19"/>
  <c r="Z391" i="19"/>
  <c r="AA391" i="19"/>
  <c r="BA40" i="19"/>
  <c r="Z390" i="19"/>
  <c r="AA390" i="19"/>
  <c r="BA360" i="19"/>
  <c r="BA362" i="19"/>
  <c r="AO317" i="19"/>
  <c r="Z103" i="19"/>
  <c r="Z82" i="19"/>
  <c r="BA361" i="19"/>
  <c r="Z36" i="19"/>
  <c r="BA363" i="19"/>
  <c r="Z34" i="19"/>
  <c r="AQ317" i="19"/>
  <c r="BA101" i="19"/>
  <c r="BA109" i="19"/>
  <c r="BA107" i="19"/>
  <c r="BA100" i="19"/>
  <c r="BA108" i="19"/>
  <c r="BA396" i="19"/>
  <c r="Z38" i="19"/>
  <c r="D62" i="11"/>
  <c r="D70" i="11"/>
  <c r="Z362" i="19"/>
  <c r="AW317" i="19"/>
  <c r="Z363" i="19"/>
  <c r="F62" i="11"/>
  <c r="F70" i="11"/>
  <c r="BA112" i="19"/>
  <c r="Z40" i="19"/>
  <c r="Z109" i="19"/>
  <c r="Z100" i="19"/>
  <c r="Z107" i="19"/>
  <c r="Z396" i="19"/>
  <c r="AA396" i="19"/>
  <c r="Z101" i="19"/>
  <c r="Z108" i="19"/>
  <c r="Z112" i="19"/>
  <c r="Z159" i="19"/>
  <c r="Z360" i="19"/>
  <c r="F17" i="11"/>
  <c r="F21" i="11"/>
  <c r="D16" i="11"/>
  <c r="F16" i="11"/>
  <c r="D17" i="11"/>
  <c r="D18" i="11"/>
  <c r="D19" i="11"/>
  <c r="D20" i="11"/>
  <c r="D21" i="11"/>
  <c r="D22" i="11"/>
  <c r="D24" i="11"/>
  <c r="F20" i="11"/>
  <c r="F18" i="11"/>
  <c r="F19" i="11"/>
  <c r="Z361" i="19"/>
  <c r="BA93" i="19"/>
  <c r="BA90" i="19"/>
  <c r="BA91" i="19"/>
  <c r="BA92" i="19"/>
  <c r="BA88" i="19"/>
  <c r="BA87" i="19"/>
  <c r="BA86" i="19"/>
  <c r="BA81" i="19"/>
  <c r="BA395" i="19"/>
  <c r="BA89" i="19"/>
  <c r="BA94" i="19"/>
  <c r="BA85" i="19"/>
  <c r="F24" i="11"/>
  <c r="Z81" i="19"/>
  <c r="Z395" i="19"/>
  <c r="AA395" i="19"/>
  <c r="Z86" i="19"/>
  <c r="Z87" i="19"/>
  <c r="Z94" i="19"/>
  <c r="Z91" i="19"/>
  <c r="Z90" i="19"/>
  <c r="Z88" i="19"/>
  <c r="Z89" i="19"/>
  <c r="Z93" i="19"/>
  <c r="Z85" i="19"/>
  <c r="Z92" i="19"/>
  <c r="T317" i="19"/>
  <c r="R317" i="19"/>
  <c r="P317" i="19"/>
  <c r="AY317" i="19"/>
  <c r="BA317" i="19"/>
  <c r="N317" i="19"/>
  <c r="Z317" i="19"/>
  <c r="I513" i="36"/>
  <c r="AG195" i="19"/>
  <c r="AG224" i="19"/>
  <c r="AG212" i="19"/>
  <c r="AG217" i="19"/>
  <c r="AG188" i="19"/>
  <c r="P188" i="19"/>
  <c r="R188" i="19"/>
  <c r="N188" i="19"/>
  <c r="T188" i="19"/>
  <c r="AG225" i="19"/>
  <c r="AG229" i="19"/>
  <c r="AG210" i="19"/>
  <c r="AG228" i="19"/>
  <c r="P228" i="19"/>
  <c r="R228" i="19"/>
  <c r="N228" i="19"/>
  <c r="T228" i="19"/>
  <c r="AG193" i="19"/>
  <c r="N193" i="19"/>
  <c r="P193" i="19"/>
  <c r="R193" i="19"/>
  <c r="T193" i="19"/>
  <c r="AG221" i="19"/>
  <c r="AG227" i="19"/>
  <c r="AG197" i="19"/>
  <c r="R197" i="19"/>
  <c r="N197" i="19"/>
  <c r="AG215" i="19"/>
  <c r="AG207" i="19"/>
  <c r="P207" i="19"/>
  <c r="N207" i="19"/>
  <c r="R207" i="19"/>
  <c r="T207" i="19"/>
  <c r="AG230" i="19"/>
  <c r="AG196" i="19"/>
  <c r="N196" i="19"/>
  <c r="P196" i="19"/>
  <c r="R196" i="19"/>
  <c r="T196" i="19"/>
  <c r="AG222" i="19"/>
  <c r="AG181" i="19"/>
  <c r="N181" i="19"/>
  <c r="P181" i="19"/>
  <c r="R181" i="19"/>
  <c r="T181" i="19"/>
  <c r="AG179" i="19"/>
  <c r="T179" i="19"/>
  <c r="P179" i="19"/>
  <c r="R179" i="19"/>
  <c r="N179" i="19"/>
  <c r="AG232" i="19"/>
  <c r="AG233" i="19"/>
  <c r="AG190" i="19"/>
  <c r="N190" i="19"/>
  <c r="T190" i="19"/>
  <c r="P190" i="19"/>
  <c r="R190" i="19"/>
  <c r="AG231" i="19"/>
  <c r="AG223" i="19"/>
  <c r="AG184" i="19"/>
  <c r="N184" i="19"/>
  <c r="P184" i="19"/>
  <c r="R184" i="19"/>
  <c r="T184" i="19"/>
  <c r="AG186" i="19"/>
  <c r="T186" i="19"/>
  <c r="P186" i="19"/>
  <c r="R186" i="19"/>
  <c r="N186" i="19"/>
  <c r="AG192" i="19"/>
  <c r="N192" i="19"/>
  <c r="T192" i="19"/>
  <c r="P192" i="19"/>
  <c r="R192" i="19"/>
  <c r="AG182" i="19"/>
  <c r="N182" i="19"/>
  <c r="R182" i="19"/>
  <c r="P182" i="19"/>
  <c r="T182" i="19"/>
  <c r="AG209" i="19"/>
  <c r="AG191" i="19"/>
  <c r="R191" i="19"/>
  <c r="T191" i="19"/>
  <c r="P191" i="19"/>
  <c r="N191" i="19"/>
  <c r="AG234" i="19"/>
  <c r="AG213" i="19"/>
  <c r="AG226" i="19"/>
  <c r="N194" i="19"/>
  <c r="R194" i="19"/>
  <c r="P194" i="19"/>
  <c r="AG194" i="19"/>
  <c r="T194" i="19"/>
  <c r="AG189" i="19"/>
  <c r="R189" i="19"/>
  <c r="T189" i="19"/>
  <c r="N189" i="19"/>
  <c r="P189" i="19"/>
  <c r="AG204" i="19"/>
  <c r="R204" i="19"/>
  <c r="P204" i="19"/>
  <c r="N204" i="19"/>
  <c r="T204" i="19"/>
  <c r="AG216" i="19"/>
  <c r="AG208" i="19"/>
  <c r="AG180" i="19"/>
  <c r="N180" i="19"/>
  <c r="P180" i="19"/>
  <c r="T180" i="19"/>
  <c r="R180" i="19"/>
  <c r="AG214" i="19"/>
  <c r="AG211" i="19"/>
  <c r="AY195" i="19"/>
  <c r="AW195" i="19"/>
  <c r="AQ195" i="19"/>
  <c r="AS195" i="19"/>
  <c r="AO195" i="19"/>
  <c r="AU195" i="19"/>
  <c r="AK195" i="19"/>
  <c r="AM195" i="19"/>
  <c r="AI195" i="19"/>
  <c r="N195" i="19"/>
  <c r="T195" i="19"/>
  <c r="P195" i="19"/>
  <c r="R195" i="19"/>
  <c r="P197" i="19"/>
  <c r="T197" i="19"/>
  <c r="Z182" i="19"/>
  <c r="Z190" i="19"/>
  <c r="Z228" i="19"/>
  <c r="Z181" i="19"/>
  <c r="Z204" i="19"/>
  <c r="Z196" i="19"/>
  <c r="Z189" i="19"/>
  <c r="Z179" i="19"/>
  <c r="Z194" i="19"/>
  <c r="Z186" i="19"/>
  <c r="Z184" i="19"/>
  <c r="Z188" i="19"/>
  <c r="Z180" i="19"/>
  <c r="Z191" i="19"/>
  <c r="AG219" i="19"/>
  <c r="AU204" i="19"/>
  <c r="AY204" i="19"/>
  <c r="AK204" i="19"/>
  <c r="AW204" i="19"/>
  <c r="AO204" i="19"/>
  <c r="AI204" i="19"/>
  <c r="AS204" i="19"/>
  <c r="AM204" i="19"/>
  <c r="AQ204" i="19"/>
  <c r="AU196" i="19"/>
  <c r="AI196" i="19"/>
  <c r="AK196" i="19"/>
  <c r="AS196" i="19"/>
  <c r="AY196" i="19"/>
  <c r="AO196" i="19"/>
  <c r="AW196" i="19"/>
  <c r="AM196" i="19"/>
  <c r="AQ196" i="19"/>
  <c r="AM189" i="19"/>
  <c r="AU189" i="19"/>
  <c r="AI189" i="19"/>
  <c r="AY189" i="19"/>
  <c r="AW189" i="19"/>
  <c r="AS189" i="19"/>
  <c r="AK189" i="19"/>
  <c r="AQ189" i="19"/>
  <c r="AO189" i="19"/>
  <c r="AU186" i="19"/>
  <c r="AY186" i="19"/>
  <c r="AK186" i="19"/>
  <c r="AM186" i="19"/>
  <c r="AI186" i="19"/>
  <c r="AW186" i="19"/>
  <c r="AS186" i="19"/>
  <c r="AO186" i="19"/>
  <c r="AQ186" i="19"/>
  <c r="AS207" i="19"/>
  <c r="AW207" i="19"/>
  <c r="AO207" i="19"/>
  <c r="AK207" i="19"/>
  <c r="AQ207" i="19"/>
  <c r="AY207" i="19"/>
  <c r="AM207" i="19"/>
  <c r="AI207" i="19"/>
  <c r="AU207" i="19"/>
  <c r="AS193" i="19"/>
  <c r="AI193" i="19"/>
  <c r="AM193" i="19"/>
  <c r="AW193" i="19"/>
  <c r="AO193" i="19"/>
  <c r="AK193" i="19"/>
  <c r="AQ193" i="19"/>
  <c r="AU193" i="19"/>
  <c r="AY193" i="19"/>
  <c r="T218" i="19"/>
  <c r="P218" i="19"/>
  <c r="N218" i="19"/>
  <c r="R218" i="19"/>
  <c r="AG218" i="19"/>
  <c r="Z192" i="19"/>
  <c r="AY192" i="19"/>
  <c r="AO192" i="19"/>
  <c r="AQ192" i="19"/>
  <c r="AI192" i="19"/>
  <c r="AS192" i="19"/>
  <c r="AM192" i="19"/>
  <c r="AK192" i="19"/>
  <c r="AW192" i="19"/>
  <c r="AU192" i="19"/>
  <c r="AS184" i="19"/>
  <c r="AO184" i="19"/>
  <c r="AK184" i="19"/>
  <c r="AQ184" i="19"/>
  <c r="AM184" i="19"/>
  <c r="AW184" i="19"/>
  <c r="AY184" i="19"/>
  <c r="AU184" i="19"/>
  <c r="AI184" i="19"/>
  <c r="AU180" i="19"/>
  <c r="AW180" i="19"/>
  <c r="AY180" i="19"/>
  <c r="AO180" i="19"/>
  <c r="AS180" i="19"/>
  <c r="AK180" i="19"/>
  <c r="AM180" i="19"/>
  <c r="AI180" i="19"/>
  <c r="AQ180" i="19"/>
  <c r="N205" i="19"/>
  <c r="T205" i="19"/>
  <c r="R205" i="19"/>
  <c r="AG205" i="19"/>
  <c r="P205" i="19"/>
  <c r="AG206" i="19"/>
  <c r="R206" i="19"/>
  <c r="T206" i="19"/>
  <c r="P206" i="19"/>
  <c r="N206" i="19"/>
  <c r="AI228" i="19"/>
  <c r="AS228" i="19"/>
  <c r="AM228" i="19"/>
  <c r="AU228" i="19"/>
  <c r="AY228" i="19"/>
  <c r="AK228" i="19"/>
  <c r="AO228" i="19"/>
  <c r="AQ228" i="19"/>
  <c r="AW228" i="19"/>
  <c r="AG220" i="19"/>
  <c r="AY190" i="19"/>
  <c r="AU190" i="19"/>
  <c r="AO190" i="19"/>
  <c r="AW190" i="19"/>
  <c r="AS190" i="19"/>
  <c r="AM190" i="19"/>
  <c r="AQ190" i="19"/>
  <c r="AK190" i="19"/>
  <c r="AI190" i="19"/>
  <c r="Z207" i="19"/>
  <c r="AY194" i="19"/>
  <c r="AU194" i="19"/>
  <c r="AS194" i="19"/>
  <c r="AI194" i="19"/>
  <c r="AM194" i="19"/>
  <c r="AQ194" i="19"/>
  <c r="AO194" i="19"/>
  <c r="AK194" i="19"/>
  <c r="AW194" i="19"/>
  <c r="AK179" i="19"/>
  <c r="AI179" i="19"/>
  <c r="AO179" i="19"/>
  <c r="AY179" i="19"/>
  <c r="AQ179" i="19"/>
  <c r="AW179" i="19"/>
  <c r="AM179" i="19"/>
  <c r="AU179" i="19"/>
  <c r="AS179" i="19"/>
  <c r="AG177" i="19"/>
  <c r="AY197" i="19"/>
  <c r="AO197" i="19"/>
  <c r="AI197" i="19"/>
  <c r="AU197" i="19"/>
  <c r="AW197" i="19"/>
  <c r="AQ197" i="19"/>
  <c r="AK197" i="19"/>
  <c r="AM197" i="19"/>
  <c r="AS197" i="19"/>
  <c r="AM182" i="19"/>
  <c r="AO182" i="19"/>
  <c r="AW182" i="19"/>
  <c r="AK182" i="19"/>
  <c r="AI182" i="19"/>
  <c r="AY182" i="19"/>
  <c r="AS182" i="19"/>
  <c r="AU182" i="19"/>
  <c r="AQ182" i="19"/>
  <c r="AO188" i="19"/>
  <c r="AS188" i="19"/>
  <c r="AW188" i="19"/>
  <c r="AM188" i="19"/>
  <c r="AY188" i="19"/>
  <c r="AU188" i="19"/>
  <c r="AI188" i="19"/>
  <c r="AQ188" i="19"/>
  <c r="AK188" i="19"/>
  <c r="Z193" i="19"/>
  <c r="AU191" i="19"/>
  <c r="AW191" i="19"/>
  <c r="AS191" i="19"/>
  <c r="AI191" i="19"/>
  <c r="AY191" i="19"/>
  <c r="AQ191" i="19"/>
  <c r="AO191" i="19"/>
  <c r="AM191" i="19"/>
  <c r="AK191" i="19"/>
  <c r="AK181" i="19"/>
  <c r="AM181" i="19"/>
  <c r="AI181" i="19"/>
  <c r="AU181" i="19"/>
  <c r="AQ181" i="19"/>
  <c r="AY181" i="19"/>
  <c r="AO181" i="19"/>
  <c r="AW181" i="19"/>
  <c r="AS181" i="19"/>
  <c r="BA195" i="19"/>
  <c r="Z195" i="19"/>
  <c r="Z197" i="19"/>
  <c r="BA189" i="19"/>
  <c r="BA186" i="19"/>
  <c r="BA188" i="19"/>
  <c r="BA196" i="19"/>
  <c r="BA228" i="19"/>
  <c r="BA207" i="19"/>
  <c r="BA190" i="19"/>
  <c r="BA184" i="19"/>
  <c r="BA180" i="19"/>
  <c r="BA193" i="19"/>
  <c r="BA204" i="19"/>
  <c r="BA181" i="19"/>
  <c r="BA194" i="19"/>
  <c r="BA191" i="19"/>
  <c r="BA182" i="19"/>
  <c r="BA179" i="19"/>
  <c r="Z206" i="19"/>
  <c r="BA192" i="19"/>
  <c r="Z218" i="19"/>
  <c r="AG185" i="19"/>
  <c r="N185" i="19"/>
  <c r="P185" i="19"/>
  <c r="R185" i="19"/>
  <c r="T185" i="19"/>
  <c r="AS218" i="19"/>
  <c r="AW218" i="19"/>
  <c r="AQ218" i="19"/>
  <c r="AI218" i="19"/>
  <c r="AY218" i="19"/>
  <c r="AK218" i="19"/>
  <c r="AM218" i="19"/>
  <c r="AU218" i="19"/>
  <c r="AO218" i="19"/>
  <c r="AO206" i="19"/>
  <c r="AW206" i="19"/>
  <c r="AQ206" i="19"/>
  <c r="AI206" i="19"/>
  <c r="AS206" i="19"/>
  <c r="AY206" i="19"/>
  <c r="AU206" i="19"/>
  <c r="AM206" i="19"/>
  <c r="AK206" i="19"/>
  <c r="AU205" i="19"/>
  <c r="AS205" i="19"/>
  <c r="AM205" i="19"/>
  <c r="AW205" i="19"/>
  <c r="AO205" i="19"/>
  <c r="AK205" i="19"/>
  <c r="AY205" i="19"/>
  <c r="AQ205" i="19"/>
  <c r="AI205" i="19"/>
  <c r="Z205" i="19"/>
  <c r="BA197" i="19"/>
  <c r="BA218" i="19"/>
  <c r="BA206" i="19"/>
  <c r="BA205" i="19"/>
  <c r="Z185" i="19"/>
  <c r="AQ185" i="19"/>
  <c r="AK185" i="19"/>
  <c r="AU185" i="19"/>
  <c r="AO185" i="19"/>
  <c r="AM185" i="19"/>
  <c r="AI185" i="19"/>
  <c r="AS185" i="19"/>
  <c r="AY185" i="19"/>
  <c r="AW185" i="19"/>
  <c r="BA185" i="19"/>
  <c r="M31" i="35"/>
  <c r="P22" i="27"/>
  <c r="R22" i="27"/>
  <c r="P20" i="27"/>
  <c r="R20" i="27"/>
  <c r="P18" i="27"/>
  <c r="P24" i="27"/>
  <c r="R24" i="27"/>
  <c r="R18" i="27"/>
  <c r="P28" i="27"/>
  <c r="R28" i="27"/>
  <c r="P30" i="27"/>
  <c r="R30" i="27"/>
  <c r="P26" i="27"/>
  <c r="L36" i="27"/>
  <c r="N20" i="27"/>
  <c r="N28" i="27"/>
  <c r="N26" i="27"/>
  <c r="R26" i="27"/>
  <c r="P32" i="27"/>
  <c r="R32" i="27"/>
  <c r="P36" i="27"/>
  <c r="R36" i="27"/>
  <c r="N32" i="27"/>
  <c r="Q473" i="36"/>
  <c r="Q472" i="36"/>
  <c r="G79" i="32"/>
  <c r="Q476" i="36"/>
  <c r="R472" i="36"/>
  <c r="F79" i="32"/>
  <c r="R201" i="19"/>
  <c r="N201" i="19"/>
  <c r="P201" i="19"/>
  <c r="AG201" i="19"/>
  <c r="T201" i="19"/>
  <c r="P309" i="19"/>
  <c r="R309" i="19"/>
  <c r="N309" i="19"/>
  <c r="T309" i="19"/>
  <c r="H79" i="32"/>
  <c r="P308" i="19"/>
  <c r="N308" i="19"/>
  <c r="R308" i="19"/>
  <c r="T308" i="19"/>
  <c r="R470" i="36"/>
  <c r="R474" i="36"/>
  <c r="R471" i="36"/>
  <c r="R473" i="36"/>
  <c r="P307" i="19"/>
  <c r="N307" i="19"/>
  <c r="T307" i="19"/>
  <c r="R307" i="19"/>
  <c r="Z308" i="19"/>
  <c r="Z307" i="19"/>
  <c r="Z309" i="19"/>
  <c r="AG200" i="19"/>
  <c r="N200" i="19"/>
  <c r="R200" i="19"/>
  <c r="T200" i="19"/>
  <c r="P200" i="19"/>
  <c r="R203" i="19"/>
  <c r="T203" i="19"/>
  <c r="AG203" i="19"/>
  <c r="P203" i="19"/>
  <c r="N203" i="19"/>
  <c r="Z201" i="19"/>
  <c r="AW307" i="19"/>
  <c r="AK307" i="19"/>
  <c r="AO307" i="19"/>
  <c r="AQ307" i="19"/>
  <c r="AY307" i="19"/>
  <c r="AS307" i="19"/>
  <c r="AU307" i="19"/>
  <c r="AM307" i="19"/>
  <c r="R476" i="36"/>
  <c r="P305" i="19"/>
  <c r="R305" i="19"/>
  <c r="J329" i="19"/>
  <c r="N305" i="19"/>
  <c r="T305" i="19"/>
  <c r="R202" i="19"/>
  <c r="T202" i="19"/>
  <c r="N202" i="19"/>
  <c r="AG202" i="19"/>
  <c r="P202" i="19"/>
  <c r="AY308" i="19"/>
  <c r="AW308" i="19"/>
  <c r="AQ308" i="19"/>
  <c r="AM308" i="19"/>
  <c r="AK308" i="19"/>
  <c r="AS308" i="19"/>
  <c r="AU308" i="19"/>
  <c r="AO308" i="19"/>
  <c r="AY309" i="19"/>
  <c r="AU309" i="19"/>
  <c r="AK309" i="19"/>
  <c r="AQ309" i="19"/>
  <c r="AW309" i="19"/>
  <c r="AM309" i="19"/>
  <c r="AS309" i="19"/>
  <c r="AO309" i="19"/>
  <c r="AU201" i="19"/>
  <c r="AW201" i="19"/>
  <c r="AQ201" i="19"/>
  <c r="AM201" i="19"/>
  <c r="AK201" i="19"/>
  <c r="AI201" i="19"/>
  <c r="AY201" i="19"/>
  <c r="AS201" i="19"/>
  <c r="AO201" i="19"/>
  <c r="T306" i="19"/>
  <c r="P306" i="19"/>
  <c r="R306" i="19"/>
  <c r="N306" i="19"/>
  <c r="BA307" i="19"/>
  <c r="Z306" i="19"/>
  <c r="BA201" i="19"/>
  <c r="J352" i="19"/>
  <c r="Z305" i="19"/>
  <c r="BA309" i="19"/>
  <c r="AQ200" i="19"/>
  <c r="AM200" i="19"/>
  <c r="AI200" i="19"/>
  <c r="AU200" i="19"/>
  <c r="AK200" i="19"/>
  <c r="AY200" i="19"/>
  <c r="AW200" i="19"/>
  <c r="AO200" i="19"/>
  <c r="AS200" i="19"/>
  <c r="G513" i="36"/>
  <c r="P477" i="36"/>
  <c r="Z202" i="19"/>
  <c r="BA308" i="19"/>
  <c r="AU306" i="19"/>
  <c r="AK306" i="19"/>
  <c r="AS306" i="19"/>
  <c r="AM306" i="19"/>
  <c r="AO306" i="19"/>
  <c r="AQ306" i="19"/>
  <c r="AY306" i="19"/>
  <c r="AW306" i="19"/>
  <c r="AQ305" i="19"/>
  <c r="AS305" i="19"/>
  <c r="AM305" i="19"/>
  <c r="AG370" i="19"/>
  <c r="AK305" i="19"/>
  <c r="AG329" i="19"/>
  <c r="AU305" i="19"/>
  <c r="AO305" i="19"/>
  <c r="AY305" i="19"/>
  <c r="AW305" i="19"/>
  <c r="Z203" i="19"/>
  <c r="Z200" i="19"/>
  <c r="AO202" i="19"/>
  <c r="AY202" i="19"/>
  <c r="AQ202" i="19"/>
  <c r="AI202" i="19"/>
  <c r="AS202" i="19"/>
  <c r="AW202" i="19"/>
  <c r="AU202" i="19"/>
  <c r="AM202" i="19"/>
  <c r="AK202" i="19"/>
  <c r="AW203" i="19"/>
  <c r="AO203" i="19"/>
  <c r="AQ203" i="19"/>
  <c r="AY203" i="19"/>
  <c r="AS203" i="19"/>
  <c r="AK203" i="19"/>
  <c r="AM203" i="19"/>
  <c r="AI203" i="19"/>
  <c r="AU203" i="19"/>
  <c r="BA202" i="19"/>
  <c r="BA305" i="19"/>
  <c r="BA306" i="19"/>
  <c r="BA200" i="19"/>
  <c r="AG352" i="19"/>
  <c r="AG372" i="19"/>
  <c r="J372" i="19"/>
  <c r="BA203" i="19"/>
  <c r="N199" i="19"/>
  <c r="AG199" i="19"/>
  <c r="R199" i="19"/>
  <c r="P199" i="19"/>
  <c r="T199" i="19"/>
  <c r="Z199" i="19"/>
  <c r="AO199" i="19"/>
  <c r="AQ199" i="19"/>
  <c r="AI199" i="19"/>
  <c r="AG236" i="19"/>
  <c r="AY199" i="19"/>
  <c r="AW199" i="19"/>
  <c r="AU199" i="19"/>
  <c r="AM199" i="19"/>
  <c r="AK199" i="19"/>
  <c r="AS199" i="19"/>
  <c r="BA199" i="19"/>
  <c r="N46" i="19"/>
  <c r="P46" i="19"/>
  <c r="R46" i="19"/>
  <c r="T46" i="19"/>
  <c r="Z46" i="19"/>
  <c r="AK46" i="19"/>
  <c r="AM46" i="19"/>
  <c r="AO46" i="19"/>
  <c r="AQ46" i="19"/>
  <c r="AS46" i="19"/>
  <c r="AU46" i="19"/>
  <c r="AW46" i="19"/>
  <c r="AY46" i="19"/>
  <c r="BA46" i="19"/>
  <c r="N45" i="19"/>
  <c r="P45" i="19"/>
  <c r="R45" i="19"/>
  <c r="T45" i="19"/>
  <c r="Z45" i="19"/>
  <c r="AK45" i="19"/>
  <c r="AM45" i="19"/>
  <c r="AO45" i="19"/>
  <c r="AQ45" i="19"/>
  <c r="AS45" i="19"/>
  <c r="AU45" i="19"/>
  <c r="AW45" i="19"/>
  <c r="AY45" i="19"/>
  <c r="BA45" i="19"/>
  <c r="N64" i="19"/>
  <c r="P64" i="19"/>
  <c r="R64" i="19"/>
  <c r="T64" i="19"/>
  <c r="Z64" i="19"/>
  <c r="AG64" i="19"/>
  <c r="AK64" i="19"/>
  <c r="AM64" i="19"/>
  <c r="AO64" i="19"/>
  <c r="AQ64" i="19"/>
  <c r="AS64" i="19"/>
  <c r="AU64" i="19"/>
  <c r="AW64" i="19"/>
  <c r="AY64" i="19"/>
  <c r="BA64" i="19"/>
  <c r="N75" i="19"/>
  <c r="P75" i="19"/>
  <c r="R75" i="19"/>
  <c r="T75" i="19"/>
  <c r="Z75" i="19"/>
  <c r="AG75" i="19"/>
  <c r="AK75" i="19"/>
  <c r="AM75" i="19"/>
  <c r="AO75" i="19"/>
  <c r="AQ75" i="19"/>
  <c r="AS75" i="19"/>
  <c r="AU75" i="19"/>
  <c r="AW75" i="19"/>
  <c r="AY75" i="19"/>
  <c r="BA75" i="19"/>
  <c r="N80" i="19"/>
  <c r="P80" i="19"/>
  <c r="R80" i="19"/>
  <c r="T80" i="19"/>
  <c r="Z80" i="19"/>
  <c r="AK80" i="19"/>
  <c r="AM80" i="19"/>
  <c r="AO80" i="19"/>
  <c r="AQ80" i="19"/>
  <c r="AS80" i="19"/>
  <c r="AU80" i="19"/>
  <c r="AW80" i="19"/>
  <c r="AY80" i="19"/>
  <c r="BA80" i="19"/>
  <c r="J173" i="19"/>
  <c r="J260" i="19"/>
  <c r="N79" i="19"/>
  <c r="P79" i="19"/>
  <c r="R79" i="19"/>
  <c r="T79" i="19"/>
  <c r="Z79" i="19"/>
  <c r="AK79" i="19"/>
  <c r="AM79" i="19"/>
  <c r="AO79" i="19"/>
  <c r="AQ79" i="19"/>
  <c r="AS79" i="19"/>
  <c r="AU79" i="19"/>
  <c r="AW79" i="19"/>
  <c r="AY79" i="19"/>
  <c r="BA79" i="19"/>
  <c r="N96" i="19"/>
  <c r="P96" i="19"/>
  <c r="R96" i="19"/>
  <c r="T96" i="19"/>
  <c r="Z96" i="19"/>
  <c r="AG96" i="19"/>
  <c r="AK96" i="19"/>
  <c r="AM96" i="19"/>
  <c r="AO96" i="19"/>
  <c r="AQ96" i="19"/>
  <c r="AS96" i="19"/>
  <c r="AU96" i="19"/>
  <c r="AW96" i="19"/>
  <c r="AY96" i="19"/>
  <c r="BA96" i="19"/>
  <c r="N114" i="19"/>
  <c r="P114" i="19"/>
  <c r="R114" i="19"/>
  <c r="T114" i="19"/>
  <c r="Z114" i="19"/>
  <c r="AG114" i="19"/>
  <c r="AK114" i="19"/>
  <c r="AM114" i="19"/>
  <c r="AO114" i="19"/>
  <c r="AQ114" i="19"/>
  <c r="AS114" i="19"/>
  <c r="AU114" i="19"/>
  <c r="AW114" i="19"/>
  <c r="AY114" i="19"/>
  <c r="BA114" i="19"/>
  <c r="N364" i="19"/>
  <c r="N365" i="19"/>
  <c r="N399" i="19"/>
  <c r="N137" i="19"/>
  <c r="P364" i="19"/>
  <c r="P365" i="19"/>
  <c r="P399" i="19"/>
  <c r="P137" i="19"/>
  <c r="R364" i="19"/>
  <c r="R365" i="19"/>
  <c r="R399" i="19"/>
  <c r="R137" i="19"/>
  <c r="T364" i="19"/>
  <c r="T365" i="19"/>
  <c r="T399" i="19"/>
  <c r="T137" i="19"/>
  <c r="Z137" i="19"/>
  <c r="AI137" i="19"/>
  <c r="AK364" i="19"/>
  <c r="AK365" i="19"/>
  <c r="AK399" i="19"/>
  <c r="AK137" i="19"/>
  <c r="AM364" i="19"/>
  <c r="AM365" i="19"/>
  <c r="AM399" i="19"/>
  <c r="AM137" i="19"/>
  <c r="AO364" i="19"/>
  <c r="AO365" i="19"/>
  <c r="AO399" i="19"/>
  <c r="AO137" i="19"/>
  <c r="AQ364" i="19"/>
  <c r="AQ365" i="19"/>
  <c r="AQ399" i="19"/>
  <c r="AQ137" i="19"/>
  <c r="AS364" i="19"/>
  <c r="AS365" i="19"/>
  <c r="AS399" i="19"/>
  <c r="AS137" i="19"/>
  <c r="AU364" i="19"/>
  <c r="AU365" i="19"/>
  <c r="AU399" i="19"/>
  <c r="AU137" i="19"/>
  <c r="AW364" i="19"/>
  <c r="AW365" i="19"/>
  <c r="AW399" i="19"/>
  <c r="AW137" i="19"/>
  <c r="AY364" i="19"/>
  <c r="AY365" i="19"/>
  <c r="AY399" i="19"/>
  <c r="AY137" i="19"/>
  <c r="BA137" i="19"/>
  <c r="N138" i="19"/>
  <c r="P138" i="19"/>
  <c r="R138" i="19"/>
  <c r="T138" i="19"/>
  <c r="Z138" i="19"/>
  <c r="AI138" i="19"/>
  <c r="AK138" i="19"/>
  <c r="AM138" i="19"/>
  <c r="AO138" i="19"/>
  <c r="AQ138" i="19"/>
  <c r="AS138" i="19"/>
  <c r="AU138" i="19"/>
  <c r="AW138" i="19"/>
  <c r="AY138" i="19"/>
  <c r="BA138" i="19"/>
  <c r="N368" i="19"/>
  <c r="N369" i="19"/>
  <c r="N401" i="19"/>
  <c r="N141" i="19"/>
  <c r="P368" i="19"/>
  <c r="P369" i="19"/>
  <c r="P401" i="19"/>
  <c r="P141" i="19"/>
  <c r="R368" i="19"/>
  <c r="R369" i="19"/>
  <c r="R401" i="19"/>
  <c r="R141" i="19"/>
  <c r="T368" i="19"/>
  <c r="T369" i="19"/>
  <c r="T401" i="19"/>
  <c r="T141" i="19"/>
  <c r="Z141" i="19"/>
  <c r="AI368" i="19"/>
  <c r="AI369" i="19"/>
  <c r="AI401" i="19"/>
  <c r="AI141" i="19"/>
  <c r="AK368" i="19"/>
  <c r="AK369" i="19"/>
  <c r="AK401" i="19"/>
  <c r="AK141" i="19"/>
  <c r="AM368" i="19"/>
  <c r="AM369" i="19"/>
  <c r="AM401" i="19"/>
  <c r="AM141" i="19"/>
  <c r="AO368" i="19"/>
  <c r="AO369" i="19"/>
  <c r="AO401" i="19"/>
  <c r="AO141" i="19"/>
  <c r="AQ368" i="19"/>
  <c r="AQ369" i="19"/>
  <c r="AQ401" i="19"/>
  <c r="AQ141" i="19"/>
  <c r="AS368" i="19"/>
  <c r="AS369" i="19"/>
  <c r="AS401" i="19"/>
  <c r="AS141" i="19"/>
  <c r="AU368" i="19"/>
  <c r="AU369" i="19"/>
  <c r="AU401" i="19"/>
  <c r="AU141" i="19"/>
  <c r="AW368" i="19"/>
  <c r="AW369" i="19"/>
  <c r="AW401" i="19"/>
  <c r="AW141" i="19"/>
  <c r="AY368" i="19"/>
  <c r="AY369" i="19"/>
  <c r="AY401" i="19"/>
  <c r="AY141" i="19"/>
  <c r="BA141" i="19"/>
  <c r="N143" i="19"/>
  <c r="P143" i="19"/>
  <c r="R143" i="19"/>
  <c r="T143" i="19"/>
  <c r="Z143" i="19"/>
  <c r="AI143" i="19"/>
  <c r="AK143" i="19"/>
  <c r="AM143" i="19"/>
  <c r="AO143" i="19"/>
  <c r="AQ143" i="19"/>
  <c r="AS143" i="19"/>
  <c r="AU143" i="19"/>
  <c r="AW143" i="19"/>
  <c r="AY143" i="19"/>
  <c r="BA143" i="19"/>
  <c r="N144" i="19"/>
  <c r="P144" i="19"/>
  <c r="R144" i="19"/>
  <c r="T144" i="19"/>
  <c r="Z144" i="19"/>
  <c r="AI144" i="19"/>
  <c r="AK144" i="19"/>
  <c r="AM144" i="19"/>
  <c r="AO144" i="19"/>
  <c r="AQ144" i="19"/>
  <c r="AS144" i="19"/>
  <c r="AU144" i="19"/>
  <c r="AW144" i="19"/>
  <c r="AY144" i="19"/>
  <c r="BA144" i="19"/>
  <c r="N145" i="19"/>
  <c r="P145" i="19"/>
  <c r="R145" i="19"/>
  <c r="T145" i="19"/>
  <c r="Z145" i="19"/>
  <c r="AI145" i="19"/>
  <c r="AK145" i="19"/>
  <c r="AM145" i="19"/>
  <c r="AO145" i="19"/>
  <c r="AQ145" i="19"/>
  <c r="AS145" i="19"/>
  <c r="AU145" i="19"/>
  <c r="AW145" i="19"/>
  <c r="AY145" i="19"/>
  <c r="BA145" i="19"/>
  <c r="N146" i="19"/>
  <c r="P146" i="19"/>
  <c r="R146" i="19"/>
  <c r="T146" i="19"/>
  <c r="Z146" i="19"/>
  <c r="AI146" i="19"/>
  <c r="AK146" i="19"/>
  <c r="AM146" i="19"/>
  <c r="AO146" i="19"/>
  <c r="AQ146" i="19"/>
  <c r="AS146" i="19"/>
  <c r="AU146" i="19"/>
  <c r="AW146" i="19"/>
  <c r="AY146" i="19"/>
  <c r="BA146" i="19"/>
  <c r="N147" i="19"/>
  <c r="P147" i="19"/>
  <c r="R147" i="19"/>
  <c r="T147" i="19"/>
  <c r="Z147" i="19"/>
  <c r="AI147" i="19"/>
  <c r="AK147" i="19"/>
  <c r="AM147" i="19"/>
  <c r="AO147" i="19"/>
  <c r="AQ147" i="19"/>
  <c r="AS147" i="19"/>
  <c r="AU147" i="19"/>
  <c r="AW147" i="19"/>
  <c r="AY147" i="19"/>
  <c r="BA147" i="19"/>
  <c r="N148" i="19"/>
  <c r="P148" i="19"/>
  <c r="R148" i="19"/>
  <c r="T148" i="19"/>
  <c r="Z148" i="19"/>
  <c r="AI148" i="19"/>
  <c r="AK148" i="19"/>
  <c r="AM148" i="19"/>
  <c r="AO148" i="19"/>
  <c r="AQ148" i="19"/>
  <c r="AS148" i="19"/>
  <c r="AU148" i="19"/>
  <c r="AW148" i="19"/>
  <c r="AY148" i="19"/>
  <c r="BA148" i="19"/>
  <c r="N149" i="19"/>
  <c r="P149" i="19"/>
  <c r="R149" i="19"/>
  <c r="T149" i="19"/>
  <c r="Z149" i="19"/>
  <c r="AI149" i="19"/>
  <c r="AK149" i="19"/>
  <c r="AM149" i="19"/>
  <c r="AO149" i="19"/>
  <c r="AQ149" i="19"/>
  <c r="AS149" i="19"/>
  <c r="AU149" i="19"/>
  <c r="AW149" i="19"/>
  <c r="AY149" i="19"/>
  <c r="BA149" i="19"/>
  <c r="N151" i="19"/>
  <c r="N152" i="19"/>
  <c r="N153" i="19"/>
  <c r="N154" i="19"/>
  <c r="N155" i="19"/>
  <c r="N156" i="19"/>
  <c r="N157" i="19"/>
  <c r="N158" i="19"/>
  <c r="N160" i="19"/>
  <c r="N161" i="19"/>
  <c r="N162" i="19"/>
  <c r="N163" i="19"/>
  <c r="N164" i="19"/>
  <c r="N165" i="19"/>
  <c r="N166" i="19"/>
  <c r="N167" i="19"/>
  <c r="N314" i="19"/>
  <c r="N315" i="19"/>
  <c r="N316" i="19"/>
  <c r="N318" i="19"/>
  <c r="N319" i="19"/>
  <c r="N320" i="19"/>
  <c r="N321" i="19"/>
  <c r="N323" i="19"/>
  <c r="N324" i="19"/>
  <c r="N325" i="19"/>
  <c r="N326" i="19"/>
  <c r="N341" i="19"/>
  <c r="N370" i="19"/>
  <c r="N371" i="19"/>
  <c r="N402" i="19"/>
  <c r="N177" i="19"/>
  <c r="N208" i="19"/>
  <c r="N209" i="19"/>
  <c r="N210" i="19"/>
  <c r="N211" i="19"/>
  <c r="N212" i="19"/>
  <c r="N213" i="19"/>
  <c r="N214" i="19"/>
  <c r="N215" i="19"/>
  <c r="N216" i="19"/>
  <c r="N217" i="19"/>
  <c r="N219" i="19"/>
  <c r="N220" i="19"/>
  <c r="N221" i="19"/>
  <c r="N222" i="19"/>
  <c r="N223" i="19"/>
  <c r="N224" i="19"/>
  <c r="N225" i="19"/>
  <c r="N226" i="19"/>
  <c r="N227" i="19"/>
  <c r="N229" i="19"/>
  <c r="N230" i="19"/>
  <c r="N231" i="19"/>
  <c r="N232" i="19"/>
  <c r="N233" i="19"/>
  <c r="N234" i="19"/>
  <c r="N236" i="19"/>
  <c r="N278" i="19"/>
  <c r="N279" i="19"/>
  <c r="N280" i="19"/>
  <c r="N329" i="19"/>
  <c r="N332" i="19"/>
  <c r="P151" i="19"/>
  <c r="P152" i="19"/>
  <c r="P153" i="19"/>
  <c r="P154" i="19"/>
  <c r="P155" i="19"/>
  <c r="P156" i="19"/>
  <c r="P157" i="19"/>
  <c r="P158" i="19"/>
  <c r="P160" i="19"/>
  <c r="P161" i="19"/>
  <c r="P162" i="19"/>
  <c r="P163" i="19"/>
  <c r="P164" i="19"/>
  <c r="P165" i="19"/>
  <c r="P166" i="19"/>
  <c r="P167" i="19"/>
  <c r="P314" i="19"/>
  <c r="P315" i="19"/>
  <c r="P316" i="19"/>
  <c r="P318" i="19"/>
  <c r="P319" i="19"/>
  <c r="P320" i="19"/>
  <c r="P321" i="19"/>
  <c r="P323" i="19"/>
  <c r="P324" i="19"/>
  <c r="P325" i="19"/>
  <c r="P326" i="19"/>
  <c r="P341" i="19"/>
  <c r="P370" i="19"/>
  <c r="P371" i="19"/>
  <c r="P402" i="19"/>
  <c r="P177" i="19"/>
  <c r="P208" i="19"/>
  <c r="P209" i="19"/>
  <c r="P210" i="19"/>
  <c r="P211" i="19"/>
  <c r="P212" i="19"/>
  <c r="P213" i="19"/>
  <c r="P214" i="19"/>
  <c r="P215" i="19"/>
  <c r="P216" i="19"/>
  <c r="P217" i="19"/>
  <c r="P219" i="19"/>
  <c r="P220" i="19"/>
  <c r="P221" i="19"/>
  <c r="P222" i="19"/>
  <c r="P223" i="19"/>
  <c r="P224" i="19"/>
  <c r="P225" i="19"/>
  <c r="P226" i="19"/>
  <c r="P227" i="19"/>
  <c r="P229" i="19"/>
  <c r="P230" i="19"/>
  <c r="P231" i="19"/>
  <c r="P232" i="19"/>
  <c r="P233" i="19"/>
  <c r="P234" i="19"/>
  <c r="P236" i="19"/>
  <c r="P278" i="19"/>
  <c r="P279" i="19"/>
  <c r="P280" i="19"/>
  <c r="P329" i="19"/>
  <c r="P332" i="19"/>
  <c r="R151" i="19"/>
  <c r="R152" i="19"/>
  <c r="R153" i="19"/>
  <c r="R154" i="19"/>
  <c r="R155" i="19"/>
  <c r="R156" i="19"/>
  <c r="R157" i="19"/>
  <c r="R158" i="19"/>
  <c r="R160" i="19"/>
  <c r="R161" i="19"/>
  <c r="R162" i="19"/>
  <c r="R163" i="19"/>
  <c r="R164" i="19"/>
  <c r="R165" i="19"/>
  <c r="R166" i="19"/>
  <c r="R167" i="19"/>
  <c r="R314" i="19"/>
  <c r="R315" i="19"/>
  <c r="R316" i="19"/>
  <c r="R318" i="19"/>
  <c r="R319" i="19"/>
  <c r="R320" i="19"/>
  <c r="R321" i="19"/>
  <c r="R323" i="19"/>
  <c r="R324" i="19"/>
  <c r="R325" i="19"/>
  <c r="R326" i="19"/>
  <c r="R341" i="19"/>
  <c r="R370" i="19"/>
  <c r="R371" i="19"/>
  <c r="R402" i="19"/>
  <c r="R177" i="19"/>
  <c r="R208" i="19"/>
  <c r="R209" i="19"/>
  <c r="R210" i="19"/>
  <c r="R211" i="19"/>
  <c r="R212" i="19"/>
  <c r="R213" i="19"/>
  <c r="R214" i="19"/>
  <c r="R215" i="19"/>
  <c r="R216" i="19"/>
  <c r="R217" i="19"/>
  <c r="R219" i="19"/>
  <c r="R220" i="19"/>
  <c r="R221" i="19"/>
  <c r="R222" i="19"/>
  <c r="R223" i="19"/>
  <c r="R224" i="19"/>
  <c r="R225" i="19"/>
  <c r="R226" i="19"/>
  <c r="R227" i="19"/>
  <c r="R229" i="19"/>
  <c r="R230" i="19"/>
  <c r="R231" i="19"/>
  <c r="R232" i="19"/>
  <c r="R233" i="19"/>
  <c r="R234" i="19"/>
  <c r="R236" i="19"/>
  <c r="R278" i="19"/>
  <c r="R279" i="19"/>
  <c r="R280" i="19"/>
  <c r="R329" i="19"/>
  <c r="R332" i="19"/>
  <c r="T151" i="19"/>
  <c r="T152" i="19"/>
  <c r="T153" i="19"/>
  <c r="T154" i="19"/>
  <c r="T155" i="19"/>
  <c r="T156" i="19"/>
  <c r="T157" i="19"/>
  <c r="T158" i="19"/>
  <c r="T160" i="19"/>
  <c r="T161" i="19"/>
  <c r="T162" i="19"/>
  <c r="T163" i="19"/>
  <c r="T164" i="19"/>
  <c r="T165" i="19"/>
  <c r="T166" i="19"/>
  <c r="T167" i="19"/>
  <c r="T314" i="19"/>
  <c r="T315" i="19"/>
  <c r="T316" i="19"/>
  <c r="T318" i="19"/>
  <c r="T319" i="19"/>
  <c r="T320" i="19"/>
  <c r="T321" i="19"/>
  <c r="T323" i="19"/>
  <c r="T324" i="19"/>
  <c r="T325" i="19"/>
  <c r="T326" i="19"/>
  <c r="T341" i="19"/>
  <c r="T370" i="19"/>
  <c r="T371" i="19"/>
  <c r="T402" i="19"/>
  <c r="T177" i="19"/>
  <c r="T208" i="19"/>
  <c r="T209" i="19"/>
  <c r="T210" i="19"/>
  <c r="T211" i="19"/>
  <c r="T212" i="19"/>
  <c r="T213" i="19"/>
  <c r="T214" i="19"/>
  <c r="T215" i="19"/>
  <c r="T216" i="19"/>
  <c r="T217" i="19"/>
  <c r="T219" i="19"/>
  <c r="T220" i="19"/>
  <c r="T221" i="19"/>
  <c r="T222" i="19"/>
  <c r="T223" i="19"/>
  <c r="T224" i="19"/>
  <c r="T225" i="19"/>
  <c r="T226" i="19"/>
  <c r="T227" i="19"/>
  <c r="T229" i="19"/>
  <c r="T230" i="19"/>
  <c r="T231" i="19"/>
  <c r="T232" i="19"/>
  <c r="T233" i="19"/>
  <c r="T234" i="19"/>
  <c r="T236" i="19"/>
  <c r="T278" i="19"/>
  <c r="T279" i="19"/>
  <c r="T280" i="19"/>
  <c r="T329" i="19"/>
  <c r="T332" i="19"/>
  <c r="AI151" i="19"/>
  <c r="AI152" i="19"/>
  <c r="AI153" i="19"/>
  <c r="AI154" i="19"/>
  <c r="AI155" i="19"/>
  <c r="AI156" i="19"/>
  <c r="AI157" i="19"/>
  <c r="AI158" i="19"/>
  <c r="AI160" i="19"/>
  <c r="AI161" i="19"/>
  <c r="AI162" i="19"/>
  <c r="AI163" i="19"/>
  <c r="AI164" i="19"/>
  <c r="AI165" i="19"/>
  <c r="AI166" i="19"/>
  <c r="AI167" i="19"/>
  <c r="AI402" i="19"/>
  <c r="AI177" i="19"/>
  <c r="AI208" i="19"/>
  <c r="AI209" i="19"/>
  <c r="AI210" i="19"/>
  <c r="AI211" i="19"/>
  <c r="AI212" i="19"/>
  <c r="AI213" i="19"/>
  <c r="AI214" i="19"/>
  <c r="AI215" i="19"/>
  <c r="AI216" i="19"/>
  <c r="AI217" i="19"/>
  <c r="AI219" i="19"/>
  <c r="AI220" i="19"/>
  <c r="AI221" i="19"/>
  <c r="AI222" i="19"/>
  <c r="AI223" i="19"/>
  <c r="AI224" i="19"/>
  <c r="AI225" i="19"/>
  <c r="AI226" i="19"/>
  <c r="AI227" i="19"/>
  <c r="AI229" i="19"/>
  <c r="AI230" i="19"/>
  <c r="AI231" i="19"/>
  <c r="AI232" i="19"/>
  <c r="AI233" i="19"/>
  <c r="AI234" i="19"/>
  <c r="AI236" i="19"/>
  <c r="AI278" i="19"/>
  <c r="AI279" i="19"/>
  <c r="AI280" i="19"/>
  <c r="AI329" i="19"/>
  <c r="AI332" i="19"/>
  <c r="AK151" i="19"/>
  <c r="AK152" i="19"/>
  <c r="AK153" i="19"/>
  <c r="AK154" i="19"/>
  <c r="AK155" i="19"/>
  <c r="AK156" i="19"/>
  <c r="AK157" i="19"/>
  <c r="AK158" i="19"/>
  <c r="AK160" i="19"/>
  <c r="AK161" i="19"/>
  <c r="AK162" i="19"/>
  <c r="AK163" i="19"/>
  <c r="AK164" i="19"/>
  <c r="AK165" i="19"/>
  <c r="AK166" i="19"/>
  <c r="AK167" i="19"/>
  <c r="AK314" i="19"/>
  <c r="AK315" i="19"/>
  <c r="AK316" i="19"/>
  <c r="AK318" i="19"/>
  <c r="AK319" i="19"/>
  <c r="AK320" i="19"/>
  <c r="AK321" i="19"/>
  <c r="AK323" i="19"/>
  <c r="AK324" i="19"/>
  <c r="AK325" i="19"/>
  <c r="AK326" i="19"/>
  <c r="AK341" i="19"/>
  <c r="AK370" i="19"/>
  <c r="AK371" i="19"/>
  <c r="AK402" i="19"/>
  <c r="AK177" i="19"/>
  <c r="AK208" i="19"/>
  <c r="AK209" i="19"/>
  <c r="AK210" i="19"/>
  <c r="AK211" i="19"/>
  <c r="AK212" i="19"/>
  <c r="AK213" i="19"/>
  <c r="AK214" i="19"/>
  <c r="AK215" i="19"/>
  <c r="AK216" i="19"/>
  <c r="AK217" i="19"/>
  <c r="AK219" i="19"/>
  <c r="AK220" i="19"/>
  <c r="AK221" i="19"/>
  <c r="AK222" i="19"/>
  <c r="AK223" i="19"/>
  <c r="AK224" i="19"/>
  <c r="AK225" i="19"/>
  <c r="AK226" i="19"/>
  <c r="AK227" i="19"/>
  <c r="AK229" i="19"/>
  <c r="AK230" i="19"/>
  <c r="AK231" i="19"/>
  <c r="AK232" i="19"/>
  <c r="AK233" i="19"/>
  <c r="AK234" i="19"/>
  <c r="AK236" i="19"/>
  <c r="AK278" i="19"/>
  <c r="AK279" i="19"/>
  <c r="AK280" i="19"/>
  <c r="AK329" i="19"/>
  <c r="AK332" i="19"/>
  <c r="AM151" i="19"/>
  <c r="AM152" i="19"/>
  <c r="AM153" i="19"/>
  <c r="AM154" i="19"/>
  <c r="AM155" i="19"/>
  <c r="AM156" i="19"/>
  <c r="AM157" i="19"/>
  <c r="AM158" i="19"/>
  <c r="AM160" i="19"/>
  <c r="AM161" i="19"/>
  <c r="AM162" i="19"/>
  <c r="AM163" i="19"/>
  <c r="AM164" i="19"/>
  <c r="AM165" i="19"/>
  <c r="AM166" i="19"/>
  <c r="AM167" i="19"/>
  <c r="AM314" i="19"/>
  <c r="AM315" i="19"/>
  <c r="AM316" i="19"/>
  <c r="AM318" i="19"/>
  <c r="AM319" i="19"/>
  <c r="AM320" i="19"/>
  <c r="AM321" i="19"/>
  <c r="AM323" i="19"/>
  <c r="AM324" i="19"/>
  <c r="AM325" i="19"/>
  <c r="AM326" i="19"/>
  <c r="AM341" i="19"/>
  <c r="AM370" i="19"/>
  <c r="AM371" i="19"/>
  <c r="AM402" i="19"/>
  <c r="AM177" i="19"/>
  <c r="AM208" i="19"/>
  <c r="AM209" i="19"/>
  <c r="AM210" i="19"/>
  <c r="AM211" i="19"/>
  <c r="AM212" i="19"/>
  <c r="AM213" i="19"/>
  <c r="AM214" i="19"/>
  <c r="AM215" i="19"/>
  <c r="AM216" i="19"/>
  <c r="AM217" i="19"/>
  <c r="AM219" i="19"/>
  <c r="AM220" i="19"/>
  <c r="AM221" i="19"/>
  <c r="AM222" i="19"/>
  <c r="AM223" i="19"/>
  <c r="AM224" i="19"/>
  <c r="AM225" i="19"/>
  <c r="AM226" i="19"/>
  <c r="AM227" i="19"/>
  <c r="AM229" i="19"/>
  <c r="AM230" i="19"/>
  <c r="AM231" i="19"/>
  <c r="AM232" i="19"/>
  <c r="AM233" i="19"/>
  <c r="AM234" i="19"/>
  <c r="AM236" i="19"/>
  <c r="AM278" i="19"/>
  <c r="AM279" i="19"/>
  <c r="AM280" i="19"/>
  <c r="AM329" i="19"/>
  <c r="AM332" i="19"/>
  <c r="AO151" i="19"/>
  <c r="AO152" i="19"/>
  <c r="AO153" i="19"/>
  <c r="AO154" i="19"/>
  <c r="AO155" i="19"/>
  <c r="AO156" i="19"/>
  <c r="AO157" i="19"/>
  <c r="AO158" i="19"/>
  <c r="AO160" i="19"/>
  <c r="AO161" i="19"/>
  <c r="AO162" i="19"/>
  <c r="AO163" i="19"/>
  <c r="AO164" i="19"/>
  <c r="AO165" i="19"/>
  <c r="AO166" i="19"/>
  <c r="AO167" i="19"/>
  <c r="AO314" i="19"/>
  <c r="AO315" i="19"/>
  <c r="AO316" i="19"/>
  <c r="AO318" i="19"/>
  <c r="AO319" i="19"/>
  <c r="AO320" i="19"/>
  <c r="AO321" i="19"/>
  <c r="AO323" i="19"/>
  <c r="AO324" i="19"/>
  <c r="AO325" i="19"/>
  <c r="AO326" i="19"/>
  <c r="AO341" i="19"/>
  <c r="AO370" i="19"/>
  <c r="AO371" i="19"/>
  <c r="AO402" i="19"/>
  <c r="AO177" i="19"/>
  <c r="AO208" i="19"/>
  <c r="AO209" i="19"/>
  <c r="AO210" i="19"/>
  <c r="AO211" i="19"/>
  <c r="AO212" i="19"/>
  <c r="AO213" i="19"/>
  <c r="AO214" i="19"/>
  <c r="AO215" i="19"/>
  <c r="AO216" i="19"/>
  <c r="AO217" i="19"/>
  <c r="AO219" i="19"/>
  <c r="AO220" i="19"/>
  <c r="AO221" i="19"/>
  <c r="AO222" i="19"/>
  <c r="AO223" i="19"/>
  <c r="AO224" i="19"/>
  <c r="AO225" i="19"/>
  <c r="AO226" i="19"/>
  <c r="AO227" i="19"/>
  <c r="AO229" i="19"/>
  <c r="AO230" i="19"/>
  <c r="AO231" i="19"/>
  <c r="AO232" i="19"/>
  <c r="AO233" i="19"/>
  <c r="AO234" i="19"/>
  <c r="AO236" i="19"/>
  <c r="AO278" i="19"/>
  <c r="AO279" i="19"/>
  <c r="AO280" i="19"/>
  <c r="AO329" i="19"/>
  <c r="AO332" i="19"/>
  <c r="AQ151" i="19"/>
  <c r="AQ152" i="19"/>
  <c r="AQ153" i="19"/>
  <c r="AQ154" i="19"/>
  <c r="AQ155" i="19"/>
  <c r="AQ156" i="19"/>
  <c r="AQ157" i="19"/>
  <c r="AQ158" i="19"/>
  <c r="AQ160" i="19"/>
  <c r="AQ161" i="19"/>
  <c r="AQ162" i="19"/>
  <c r="AQ163" i="19"/>
  <c r="AQ164" i="19"/>
  <c r="AQ165" i="19"/>
  <c r="AQ166" i="19"/>
  <c r="AQ167" i="19"/>
  <c r="AQ314" i="19"/>
  <c r="AQ315" i="19"/>
  <c r="AQ316" i="19"/>
  <c r="AQ318" i="19"/>
  <c r="AQ319" i="19"/>
  <c r="AQ320" i="19"/>
  <c r="AQ321" i="19"/>
  <c r="AQ323" i="19"/>
  <c r="AQ324" i="19"/>
  <c r="AQ325" i="19"/>
  <c r="AQ326" i="19"/>
  <c r="AQ341" i="19"/>
  <c r="AQ370" i="19"/>
  <c r="AQ371" i="19"/>
  <c r="AQ402" i="19"/>
  <c r="AQ177" i="19"/>
  <c r="AQ208" i="19"/>
  <c r="AQ209" i="19"/>
  <c r="AQ210" i="19"/>
  <c r="AQ211" i="19"/>
  <c r="AQ212" i="19"/>
  <c r="AQ213" i="19"/>
  <c r="AQ214" i="19"/>
  <c r="AQ215" i="19"/>
  <c r="AQ216" i="19"/>
  <c r="AQ217" i="19"/>
  <c r="AQ219" i="19"/>
  <c r="AQ220" i="19"/>
  <c r="AQ221" i="19"/>
  <c r="AQ222" i="19"/>
  <c r="AQ223" i="19"/>
  <c r="AQ224" i="19"/>
  <c r="AQ225" i="19"/>
  <c r="AQ226" i="19"/>
  <c r="AQ227" i="19"/>
  <c r="AQ229" i="19"/>
  <c r="AQ230" i="19"/>
  <c r="AQ231" i="19"/>
  <c r="AQ232" i="19"/>
  <c r="AQ233" i="19"/>
  <c r="AQ234" i="19"/>
  <c r="AQ236" i="19"/>
  <c r="AQ278" i="19"/>
  <c r="AQ279" i="19"/>
  <c r="AQ280" i="19"/>
  <c r="AQ329" i="19"/>
  <c r="AQ332" i="19"/>
  <c r="AS151" i="19"/>
  <c r="AS152" i="19"/>
  <c r="AS153" i="19"/>
  <c r="AS154" i="19"/>
  <c r="AS155" i="19"/>
  <c r="AS156" i="19"/>
  <c r="AS157" i="19"/>
  <c r="AS158" i="19"/>
  <c r="AS160" i="19"/>
  <c r="AS161" i="19"/>
  <c r="AS162" i="19"/>
  <c r="AS163" i="19"/>
  <c r="AS164" i="19"/>
  <c r="AS165" i="19"/>
  <c r="AS166" i="19"/>
  <c r="AS167" i="19"/>
  <c r="AS314" i="19"/>
  <c r="AS315" i="19"/>
  <c r="AS316" i="19"/>
  <c r="AS318" i="19"/>
  <c r="AS319" i="19"/>
  <c r="AS320" i="19"/>
  <c r="AS321" i="19"/>
  <c r="AS323" i="19"/>
  <c r="AS324" i="19"/>
  <c r="AS325" i="19"/>
  <c r="AS326" i="19"/>
  <c r="AS341" i="19"/>
  <c r="AS370" i="19"/>
  <c r="AS371" i="19"/>
  <c r="AS402" i="19"/>
  <c r="AS177" i="19"/>
  <c r="AS208" i="19"/>
  <c r="AS209" i="19"/>
  <c r="AS210" i="19"/>
  <c r="AS211" i="19"/>
  <c r="AS212" i="19"/>
  <c r="AS213" i="19"/>
  <c r="AS214" i="19"/>
  <c r="AS215" i="19"/>
  <c r="AS216" i="19"/>
  <c r="AS217" i="19"/>
  <c r="AS219" i="19"/>
  <c r="AS220" i="19"/>
  <c r="AS221" i="19"/>
  <c r="AS222" i="19"/>
  <c r="AS223" i="19"/>
  <c r="AS224" i="19"/>
  <c r="AS225" i="19"/>
  <c r="AS226" i="19"/>
  <c r="AS227" i="19"/>
  <c r="AS229" i="19"/>
  <c r="AS230" i="19"/>
  <c r="AS231" i="19"/>
  <c r="AS232" i="19"/>
  <c r="AS233" i="19"/>
  <c r="AS234" i="19"/>
  <c r="AS236" i="19"/>
  <c r="AS278" i="19"/>
  <c r="AS279" i="19"/>
  <c r="AS280" i="19"/>
  <c r="AS329" i="19"/>
  <c r="AS332" i="19"/>
  <c r="AU151" i="19"/>
  <c r="AU152" i="19"/>
  <c r="AU153" i="19"/>
  <c r="AU154" i="19"/>
  <c r="AU155" i="19"/>
  <c r="AU156" i="19"/>
  <c r="AU157" i="19"/>
  <c r="AU158" i="19"/>
  <c r="AU160" i="19"/>
  <c r="AU161" i="19"/>
  <c r="AU162" i="19"/>
  <c r="AU163" i="19"/>
  <c r="AU164" i="19"/>
  <c r="AU165" i="19"/>
  <c r="AU166" i="19"/>
  <c r="AU167" i="19"/>
  <c r="AU314" i="19"/>
  <c r="AU315" i="19"/>
  <c r="AU316" i="19"/>
  <c r="AU318" i="19"/>
  <c r="AU319" i="19"/>
  <c r="AU320" i="19"/>
  <c r="AU321" i="19"/>
  <c r="AU323" i="19"/>
  <c r="AU324" i="19"/>
  <c r="AU325" i="19"/>
  <c r="AU326" i="19"/>
  <c r="AU341" i="19"/>
  <c r="AU370" i="19"/>
  <c r="AU371" i="19"/>
  <c r="AU402" i="19"/>
  <c r="AU177" i="19"/>
  <c r="AU208" i="19"/>
  <c r="AU209" i="19"/>
  <c r="AU210" i="19"/>
  <c r="AU211" i="19"/>
  <c r="AU212" i="19"/>
  <c r="AU213" i="19"/>
  <c r="AU214" i="19"/>
  <c r="AU215" i="19"/>
  <c r="AU216" i="19"/>
  <c r="AU217" i="19"/>
  <c r="AU219" i="19"/>
  <c r="AU220" i="19"/>
  <c r="AU221" i="19"/>
  <c r="AU222" i="19"/>
  <c r="AU223" i="19"/>
  <c r="AU224" i="19"/>
  <c r="AU225" i="19"/>
  <c r="AU226" i="19"/>
  <c r="AU227" i="19"/>
  <c r="AU229" i="19"/>
  <c r="AU230" i="19"/>
  <c r="AU231" i="19"/>
  <c r="AU232" i="19"/>
  <c r="AU233" i="19"/>
  <c r="AU234" i="19"/>
  <c r="AU236" i="19"/>
  <c r="AU278" i="19"/>
  <c r="AU279" i="19"/>
  <c r="AU280" i="19"/>
  <c r="AU329" i="19"/>
  <c r="AU332" i="19"/>
  <c r="AW151" i="19"/>
  <c r="AW152" i="19"/>
  <c r="AW153" i="19"/>
  <c r="AW154" i="19"/>
  <c r="AW155" i="19"/>
  <c r="AW156" i="19"/>
  <c r="AW157" i="19"/>
  <c r="AW158" i="19"/>
  <c r="AW160" i="19"/>
  <c r="AW161" i="19"/>
  <c r="AW162" i="19"/>
  <c r="AW163" i="19"/>
  <c r="AW164" i="19"/>
  <c r="AW165" i="19"/>
  <c r="AW166" i="19"/>
  <c r="AW167" i="19"/>
  <c r="AW314" i="19"/>
  <c r="AW315" i="19"/>
  <c r="AW316" i="19"/>
  <c r="AW318" i="19"/>
  <c r="AW319" i="19"/>
  <c r="AW320" i="19"/>
  <c r="AW321" i="19"/>
  <c r="AW323" i="19"/>
  <c r="AW324" i="19"/>
  <c r="AW325" i="19"/>
  <c r="AW326" i="19"/>
  <c r="AW341" i="19"/>
  <c r="AW370" i="19"/>
  <c r="AW371" i="19"/>
  <c r="AW402" i="19"/>
  <c r="AW177" i="19"/>
  <c r="AW208" i="19"/>
  <c r="AW209" i="19"/>
  <c r="AW210" i="19"/>
  <c r="AW211" i="19"/>
  <c r="AW212" i="19"/>
  <c r="AW213" i="19"/>
  <c r="AW214" i="19"/>
  <c r="AW215" i="19"/>
  <c r="AW216" i="19"/>
  <c r="AW217" i="19"/>
  <c r="AW219" i="19"/>
  <c r="AW220" i="19"/>
  <c r="AW221" i="19"/>
  <c r="AW222" i="19"/>
  <c r="AW223" i="19"/>
  <c r="AW224" i="19"/>
  <c r="AW225" i="19"/>
  <c r="AW226" i="19"/>
  <c r="AW227" i="19"/>
  <c r="AW229" i="19"/>
  <c r="AW230" i="19"/>
  <c r="AW231" i="19"/>
  <c r="AW232" i="19"/>
  <c r="AW233" i="19"/>
  <c r="AW234" i="19"/>
  <c r="AW236" i="19"/>
  <c r="AW278" i="19"/>
  <c r="AW279" i="19"/>
  <c r="AW280" i="19"/>
  <c r="AW329" i="19"/>
  <c r="AW332" i="19"/>
  <c r="AY151" i="19"/>
  <c r="AY152" i="19"/>
  <c r="AY153" i="19"/>
  <c r="AY154" i="19"/>
  <c r="AY155" i="19"/>
  <c r="AY156" i="19"/>
  <c r="AY157" i="19"/>
  <c r="AY158" i="19"/>
  <c r="AY160" i="19"/>
  <c r="AY161" i="19"/>
  <c r="AY162" i="19"/>
  <c r="AY163" i="19"/>
  <c r="AY164" i="19"/>
  <c r="AY165" i="19"/>
  <c r="AY166" i="19"/>
  <c r="AY167" i="19"/>
  <c r="AY314" i="19"/>
  <c r="AY315" i="19"/>
  <c r="AY316" i="19"/>
  <c r="AY318" i="19"/>
  <c r="AY319" i="19"/>
  <c r="AY320" i="19"/>
  <c r="AY321" i="19"/>
  <c r="AY323" i="19"/>
  <c r="AY324" i="19"/>
  <c r="AY325" i="19"/>
  <c r="AY326" i="19"/>
  <c r="AY341" i="19"/>
  <c r="AY370" i="19"/>
  <c r="AY371" i="19"/>
  <c r="AY402" i="19"/>
  <c r="AY177" i="19"/>
  <c r="AY208" i="19"/>
  <c r="AY209" i="19"/>
  <c r="AY210" i="19"/>
  <c r="AY211" i="19"/>
  <c r="AY212" i="19"/>
  <c r="AY213" i="19"/>
  <c r="AY214" i="19"/>
  <c r="AY215" i="19"/>
  <c r="AY216" i="19"/>
  <c r="AY217" i="19"/>
  <c r="AY219" i="19"/>
  <c r="AY220" i="19"/>
  <c r="AY221" i="19"/>
  <c r="AY222" i="19"/>
  <c r="AY223" i="19"/>
  <c r="AY224" i="19"/>
  <c r="AY225" i="19"/>
  <c r="AY226" i="19"/>
  <c r="AY227" i="19"/>
  <c r="AY229" i="19"/>
  <c r="AY230" i="19"/>
  <c r="AY231" i="19"/>
  <c r="AY232" i="19"/>
  <c r="AY233" i="19"/>
  <c r="AY234" i="19"/>
  <c r="AY236" i="19"/>
  <c r="AY278" i="19"/>
  <c r="AY279" i="19"/>
  <c r="AY280" i="19"/>
  <c r="AY329" i="19"/>
  <c r="AY332" i="19"/>
  <c r="Z151" i="19"/>
  <c r="BA151" i="19"/>
  <c r="Z152" i="19"/>
  <c r="BA152" i="19"/>
  <c r="Z153" i="19"/>
  <c r="BA153" i="19"/>
  <c r="Z154" i="19"/>
  <c r="BA154" i="19"/>
  <c r="Z155" i="19"/>
  <c r="BA155" i="19"/>
  <c r="Z156" i="19"/>
  <c r="BA156" i="19"/>
  <c r="Z157" i="19"/>
  <c r="BA157" i="19"/>
  <c r="Z158" i="19"/>
  <c r="BA158" i="19"/>
  <c r="Z160" i="19"/>
  <c r="BA160" i="19"/>
  <c r="Z161" i="19"/>
  <c r="BA161" i="19"/>
  <c r="Z162" i="19"/>
  <c r="BA162" i="19"/>
  <c r="Z163" i="19"/>
  <c r="BA163" i="19"/>
  <c r="Z164" i="19"/>
  <c r="BA164" i="19"/>
  <c r="Z165" i="19"/>
  <c r="BA165" i="19"/>
  <c r="Z166" i="19"/>
  <c r="BA166" i="19"/>
  <c r="Z167" i="19"/>
  <c r="BA167" i="19"/>
  <c r="AG173" i="19"/>
  <c r="Z177" i="19"/>
  <c r="BA177" i="19"/>
  <c r="Z208" i="19"/>
  <c r="BA208" i="19"/>
  <c r="Z209" i="19"/>
  <c r="BA209" i="19"/>
  <c r="Z210" i="19"/>
  <c r="BA210" i="19"/>
  <c r="Z211" i="19"/>
  <c r="BA211" i="19"/>
  <c r="Z212" i="19"/>
  <c r="BA212" i="19"/>
  <c r="Z213" i="19"/>
  <c r="BA213" i="19"/>
  <c r="Z214" i="19"/>
  <c r="BA214" i="19"/>
  <c r="Z215" i="19"/>
  <c r="BA215" i="19"/>
  <c r="Z216" i="19"/>
  <c r="BA216" i="19"/>
  <c r="Z217" i="19"/>
  <c r="BA217" i="19"/>
  <c r="Z219" i="19"/>
  <c r="BA219" i="19"/>
  <c r="Z220" i="19"/>
  <c r="BA220" i="19"/>
  <c r="Z221" i="19"/>
  <c r="BA221" i="19"/>
  <c r="Z222" i="19"/>
  <c r="BA222" i="19"/>
  <c r="Z223" i="19"/>
  <c r="BA223" i="19"/>
  <c r="Z224" i="19"/>
  <c r="BA224" i="19"/>
  <c r="Z225" i="19"/>
  <c r="BA225" i="19"/>
  <c r="Z226" i="19"/>
  <c r="BA226" i="19"/>
  <c r="Z227" i="19"/>
  <c r="BA227" i="19"/>
  <c r="Z229" i="19"/>
  <c r="BA229" i="19"/>
  <c r="Z230" i="19"/>
  <c r="BA230" i="19"/>
  <c r="Z231" i="19"/>
  <c r="BA231" i="19"/>
  <c r="Z232" i="19"/>
  <c r="BA232" i="19"/>
  <c r="Z233" i="19"/>
  <c r="BA233" i="19"/>
  <c r="Z234" i="19"/>
  <c r="BA234" i="19"/>
  <c r="Z236" i="19"/>
  <c r="BA236" i="19"/>
  <c r="L246" i="19"/>
  <c r="N246" i="19"/>
  <c r="P246" i="19"/>
  <c r="R246" i="19"/>
  <c r="T246" i="19"/>
  <c r="Z246" i="19"/>
  <c r="AI246" i="19"/>
  <c r="AK246" i="19"/>
  <c r="AM246" i="19"/>
  <c r="AO246" i="19"/>
  <c r="AQ246" i="19"/>
  <c r="AS246" i="19"/>
  <c r="AU246" i="19"/>
  <c r="AW246" i="19"/>
  <c r="AY246" i="19"/>
  <c r="BA246" i="19"/>
  <c r="AG260" i="19"/>
  <c r="C261" i="19"/>
  <c r="J275" i="19"/>
  <c r="AG275" i="19"/>
  <c r="Z278" i="19"/>
  <c r="BA278" i="19"/>
  <c r="Z279" i="19"/>
  <c r="BA279" i="19"/>
  <c r="Z280" i="19"/>
  <c r="BA280" i="19"/>
  <c r="Z314" i="19"/>
  <c r="BA314" i="19"/>
  <c r="Z315" i="19"/>
  <c r="BA315" i="19"/>
  <c r="Z316" i="19"/>
  <c r="BA316" i="19"/>
  <c r="Z318" i="19"/>
  <c r="BA318" i="19"/>
  <c r="Z319" i="19"/>
  <c r="BA319" i="19"/>
  <c r="Z320" i="19"/>
  <c r="BA320" i="19"/>
  <c r="Z321" i="19"/>
  <c r="BA321" i="19"/>
  <c r="Z323" i="19"/>
  <c r="BA323" i="19"/>
  <c r="Z324" i="19"/>
  <c r="BA324" i="19"/>
  <c r="Z325" i="19"/>
  <c r="BA325" i="19"/>
  <c r="Z326" i="19"/>
  <c r="BA326" i="19"/>
  <c r="Z329" i="19"/>
  <c r="BA329" i="19"/>
  <c r="Z332" i="19"/>
  <c r="BA332" i="19"/>
  <c r="Z341" i="19"/>
  <c r="BA341" i="19"/>
  <c r="L343" i="19"/>
  <c r="N343" i="19"/>
  <c r="P343" i="19"/>
  <c r="R343" i="19"/>
  <c r="T343" i="19"/>
  <c r="Z343" i="19"/>
  <c r="AI343" i="19"/>
  <c r="AK343" i="19"/>
  <c r="AM343" i="19"/>
  <c r="AO343" i="19"/>
  <c r="AQ343" i="19"/>
  <c r="AS343" i="19"/>
  <c r="AU343" i="19"/>
  <c r="AW343" i="19"/>
  <c r="AY343" i="19"/>
  <c r="BA343" i="19"/>
  <c r="L344" i="19"/>
  <c r="N344" i="19"/>
  <c r="P344" i="19"/>
  <c r="R344" i="19"/>
  <c r="T344" i="19"/>
  <c r="Z344" i="19"/>
  <c r="AI344" i="19"/>
  <c r="AK344" i="19"/>
  <c r="AM344" i="19"/>
  <c r="AO344" i="19"/>
  <c r="AQ344" i="19"/>
  <c r="AS344" i="19"/>
  <c r="AU344" i="19"/>
  <c r="AW344" i="19"/>
  <c r="AY344" i="19"/>
  <c r="BA344" i="19"/>
  <c r="L345" i="19"/>
  <c r="N345" i="19"/>
  <c r="P345" i="19"/>
  <c r="R345" i="19"/>
  <c r="T345" i="19"/>
  <c r="Z345" i="19"/>
  <c r="AI345" i="19"/>
  <c r="AK345" i="19"/>
  <c r="AM345" i="19"/>
  <c r="AO345" i="19"/>
  <c r="AQ345" i="19"/>
  <c r="AS345" i="19"/>
  <c r="AU345" i="19"/>
  <c r="AW345" i="19"/>
  <c r="AY345" i="19"/>
  <c r="BA345" i="19"/>
  <c r="L348" i="19"/>
  <c r="N348" i="19"/>
  <c r="P348" i="19"/>
  <c r="R348" i="19"/>
  <c r="T348" i="19"/>
  <c r="Z348" i="19"/>
  <c r="AI348" i="19"/>
  <c r="AK348" i="19"/>
  <c r="AM348" i="19"/>
  <c r="AO348" i="19"/>
  <c r="AQ348" i="19"/>
  <c r="AS348" i="19"/>
  <c r="AU348" i="19"/>
  <c r="AW348" i="19"/>
  <c r="AY348" i="19"/>
  <c r="BA348" i="19"/>
  <c r="Z364" i="19"/>
  <c r="AG364" i="19"/>
  <c r="BA364" i="19"/>
  <c r="Z365" i="19"/>
  <c r="BA365" i="19"/>
  <c r="J366" i="19"/>
  <c r="AG366" i="19"/>
  <c r="Z368" i="19"/>
  <c r="AG368" i="19"/>
  <c r="BA368" i="19"/>
  <c r="Z369" i="19"/>
  <c r="BA369" i="19"/>
  <c r="Z370" i="19"/>
  <c r="BA370" i="19"/>
  <c r="Z371" i="19"/>
  <c r="BA371" i="19"/>
  <c r="AG374" i="19"/>
  <c r="Z399" i="19"/>
  <c r="AA399" i="19"/>
  <c r="BA399" i="19"/>
  <c r="Z401" i="19"/>
  <c r="AA401" i="19"/>
  <c r="BA401" i="19"/>
  <c r="Z402" i="19"/>
  <c r="AA402" i="19"/>
  <c r="BA402" i="19"/>
  <c r="D14" i="12"/>
  <c r="F14" i="12"/>
  <c r="D15" i="12"/>
  <c r="F15" i="12"/>
  <c r="D16" i="12"/>
  <c r="F16" i="12"/>
  <c r="D17" i="12"/>
  <c r="F17" i="12"/>
  <c r="D18" i="12"/>
  <c r="F18" i="12"/>
  <c r="D19" i="12"/>
  <c r="F19" i="12"/>
  <c r="D20" i="12"/>
  <c r="F20" i="12"/>
  <c r="D22" i="12"/>
  <c r="F22" i="12"/>
  <c r="D56" i="12"/>
  <c r="F56" i="12"/>
  <c r="D57" i="12"/>
  <c r="F57" i="12"/>
  <c r="D58" i="12"/>
  <c r="F58" i="12"/>
  <c r="D59" i="12"/>
  <c r="F59" i="12"/>
  <c r="D60" i="12"/>
  <c r="F60" i="12"/>
  <c r="D61" i="12"/>
  <c r="F61" i="12"/>
  <c r="D62" i="12"/>
  <c r="F62" i="12"/>
  <c r="D64" i="12"/>
  <c r="F64" i="12"/>
  <c r="D78" i="12"/>
  <c r="F78" i="12"/>
  <c r="D79" i="12"/>
  <c r="F79" i="12"/>
  <c r="D80" i="12"/>
  <c r="F80" i="12"/>
  <c r="D81" i="12"/>
  <c r="F81" i="12"/>
  <c r="D82" i="12"/>
  <c r="F82" i="12"/>
  <c r="D83" i="12"/>
  <c r="F83" i="12"/>
  <c r="D84" i="12"/>
  <c r="F84" i="12"/>
  <c r="D86" i="12"/>
  <c r="F86" i="12"/>
  <c r="M84" i="36"/>
  <c r="N84" i="36"/>
  <c r="L150" i="19"/>
  <c r="N150" i="19"/>
  <c r="P150" i="19"/>
  <c r="R150" i="19"/>
  <c r="T150" i="19"/>
  <c r="V150" i="19"/>
  <c r="X150" i="19"/>
  <c r="Z150" i="19"/>
  <c r="AI150" i="19"/>
  <c r="AK150" i="19"/>
  <c r="AM150" i="19"/>
  <c r="AO150" i="19"/>
  <c r="AQ150" i="19"/>
  <c r="AS150" i="19"/>
  <c r="AU150" i="19"/>
  <c r="AW150" i="19"/>
  <c r="AY150" i="19"/>
  <c r="BA150" i="19"/>
  <c r="L169" i="19"/>
  <c r="N169" i="19"/>
  <c r="P169" i="19"/>
  <c r="R169" i="19"/>
  <c r="T169" i="19"/>
  <c r="V169" i="19"/>
  <c r="X169" i="19"/>
  <c r="Z169" i="19"/>
  <c r="AI169" i="19"/>
  <c r="AK169" i="19"/>
  <c r="AM169" i="19"/>
  <c r="AO169" i="19"/>
  <c r="AQ169" i="19"/>
  <c r="AS169" i="19"/>
  <c r="AU169" i="19"/>
  <c r="AW169" i="19"/>
  <c r="AY169" i="19"/>
  <c r="BA169" i="19"/>
  <c r="L173" i="19"/>
  <c r="N173" i="19"/>
  <c r="P173" i="19"/>
  <c r="R173" i="19"/>
  <c r="T173" i="19"/>
  <c r="V173" i="19"/>
  <c r="X173" i="19"/>
  <c r="Z173" i="19"/>
  <c r="AI173" i="19"/>
  <c r="AK173" i="19"/>
  <c r="AM173" i="19"/>
  <c r="AO173" i="19"/>
  <c r="AQ173" i="19"/>
  <c r="AS173" i="19"/>
  <c r="AU173" i="19"/>
  <c r="AW173" i="19"/>
  <c r="AY173" i="19"/>
  <c r="BA173" i="19"/>
  <c r="L239" i="19"/>
  <c r="N239" i="19"/>
  <c r="P239" i="19"/>
  <c r="R239" i="19"/>
  <c r="T239" i="19"/>
  <c r="V239" i="19"/>
  <c r="X239" i="19"/>
  <c r="Z239" i="19"/>
  <c r="AI239" i="19"/>
  <c r="AK239" i="19"/>
  <c r="AM239" i="19"/>
  <c r="AO239" i="19"/>
  <c r="AQ239" i="19"/>
  <c r="AS239" i="19"/>
  <c r="AU239" i="19"/>
  <c r="AW239" i="19"/>
  <c r="AY239" i="19"/>
  <c r="BA239" i="19"/>
  <c r="L240" i="19"/>
  <c r="N240" i="19"/>
  <c r="P240" i="19"/>
  <c r="R240" i="19"/>
  <c r="T240" i="19"/>
  <c r="V240" i="19"/>
  <c r="X240" i="19"/>
  <c r="Z240" i="19"/>
  <c r="AI240" i="19"/>
  <c r="AK240" i="19"/>
  <c r="AM240" i="19"/>
  <c r="AO240" i="19"/>
  <c r="AQ240" i="19"/>
  <c r="AS240" i="19"/>
  <c r="AU240" i="19"/>
  <c r="AW240" i="19"/>
  <c r="AY240" i="19"/>
  <c r="BA240" i="19"/>
  <c r="L243" i="19"/>
  <c r="N243" i="19"/>
  <c r="P243" i="19"/>
  <c r="R243" i="19"/>
  <c r="T243" i="19"/>
  <c r="V243" i="19"/>
  <c r="X243" i="19"/>
  <c r="Z243" i="19"/>
  <c r="AI243" i="19"/>
  <c r="AK243" i="19"/>
  <c r="AM243" i="19"/>
  <c r="AO243" i="19"/>
  <c r="AQ243" i="19"/>
  <c r="AS243" i="19"/>
  <c r="AU243" i="19"/>
  <c r="AW243" i="19"/>
  <c r="AY243" i="19"/>
  <c r="BA243" i="19"/>
  <c r="L247" i="19"/>
  <c r="N247" i="19"/>
  <c r="P247" i="19"/>
  <c r="R247" i="19"/>
  <c r="T247" i="19"/>
  <c r="V247" i="19"/>
  <c r="X247" i="19"/>
  <c r="Z247" i="19"/>
  <c r="AI247" i="19"/>
  <c r="AK247" i="19"/>
  <c r="AM247" i="19"/>
  <c r="AO247" i="19"/>
  <c r="AQ247" i="19"/>
  <c r="AS247" i="19"/>
  <c r="AU247" i="19"/>
  <c r="AW247" i="19"/>
  <c r="AY247" i="19"/>
  <c r="BA247" i="19"/>
  <c r="L248" i="19"/>
  <c r="N248" i="19"/>
  <c r="P248" i="19"/>
  <c r="R248" i="19"/>
  <c r="T248" i="19"/>
  <c r="V248" i="19"/>
  <c r="X248" i="19"/>
  <c r="Z248" i="19"/>
  <c r="AI248" i="19"/>
  <c r="AK248" i="19"/>
  <c r="AM248" i="19"/>
  <c r="AO248" i="19"/>
  <c r="AQ248" i="19"/>
  <c r="AS248" i="19"/>
  <c r="AU248" i="19"/>
  <c r="AW248" i="19"/>
  <c r="AY248" i="19"/>
  <c r="BA248" i="19"/>
  <c r="L249" i="19"/>
  <c r="N249" i="19"/>
  <c r="P249" i="19"/>
  <c r="R249" i="19"/>
  <c r="T249" i="19"/>
  <c r="V249" i="19"/>
  <c r="X249" i="19"/>
  <c r="Z249" i="19"/>
  <c r="AI249" i="19"/>
  <c r="AK249" i="19"/>
  <c r="AM249" i="19"/>
  <c r="AO249" i="19"/>
  <c r="AQ249" i="19"/>
  <c r="AS249" i="19"/>
  <c r="AU249" i="19"/>
  <c r="AW249" i="19"/>
  <c r="AY249" i="19"/>
  <c r="BA249" i="19"/>
  <c r="L250" i="19"/>
  <c r="N250" i="19"/>
  <c r="P250" i="19"/>
  <c r="R250" i="19"/>
  <c r="T250" i="19"/>
  <c r="V250" i="19"/>
  <c r="X250" i="19"/>
  <c r="Z250" i="19"/>
  <c r="AI250" i="19"/>
  <c r="AK250" i="19"/>
  <c r="AM250" i="19"/>
  <c r="AO250" i="19"/>
  <c r="AQ250" i="19"/>
  <c r="AS250" i="19"/>
  <c r="AU250" i="19"/>
  <c r="AW250" i="19"/>
  <c r="AY250" i="19"/>
  <c r="BA250" i="19"/>
  <c r="L253" i="19"/>
  <c r="N253" i="19"/>
  <c r="P253" i="19"/>
  <c r="R253" i="19"/>
  <c r="T253" i="19"/>
  <c r="V253" i="19"/>
  <c r="X253" i="19"/>
  <c r="Z253" i="19"/>
  <c r="AI253" i="19"/>
  <c r="AK253" i="19"/>
  <c r="AM253" i="19"/>
  <c r="AO253" i="19"/>
  <c r="AQ253" i="19"/>
  <c r="AS253" i="19"/>
  <c r="AU253" i="19"/>
  <c r="AW253" i="19"/>
  <c r="AY253" i="19"/>
  <c r="BA253" i="19"/>
  <c r="L255" i="19"/>
  <c r="N255" i="19"/>
  <c r="P255" i="19"/>
  <c r="R255" i="19"/>
  <c r="T255" i="19"/>
  <c r="V255" i="19"/>
  <c r="X255" i="19"/>
  <c r="Z255" i="19"/>
  <c r="AI255" i="19"/>
  <c r="AK255" i="19"/>
  <c r="AM255" i="19"/>
  <c r="AO255" i="19"/>
  <c r="AQ255" i="19"/>
  <c r="AS255" i="19"/>
  <c r="AU255" i="19"/>
  <c r="AW255" i="19"/>
  <c r="AY255" i="19"/>
  <c r="BA255" i="19"/>
  <c r="L258" i="19"/>
  <c r="N258" i="19"/>
  <c r="P258" i="19"/>
  <c r="R258" i="19"/>
  <c r="T258" i="19"/>
  <c r="V258" i="19"/>
  <c r="X258" i="19"/>
  <c r="Z258" i="19"/>
  <c r="AI258" i="19"/>
  <c r="AK258" i="19"/>
  <c r="AM258" i="19"/>
  <c r="AO258" i="19"/>
  <c r="AQ258" i="19"/>
  <c r="AS258" i="19"/>
  <c r="AU258" i="19"/>
  <c r="AW258" i="19"/>
  <c r="AY258" i="19"/>
  <c r="BA258" i="19"/>
  <c r="L260" i="19"/>
  <c r="N260" i="19"/>
  <c r="P260" i="19"/>
  <c r="R260" i="19"/>
  <c r="T260" i="19"/>
  <c r="V260" i="19"/>
  <c r="X260" i="19"/>
  <c r="Z260" i="19"/>
  <c r="AI260" i="19"/>
  <c r="AK260" i="19"/>
  <c r="AM260" i="19"/>
  <c r="AO260" i="19"/>
  <c r="AQ260" i="19"/>
  <c r="AS260" i="19"/>
  <c r="AU260" i="19"/>
  <c r="AW260" i="19"/>
  <c r="AY260" i="19"/>
  <c r="BA260" i="19"/>
  <c r="L262" i="19"/>
  <c r="N262" i="19"/>
  <c r="P262" i="19"/>
  <c r="R262" i="19"/>
  <c r="T262" i="19"/>
  <c r="V262" i="19"/>
  <c r="X262" i="19"/>
  <c r="Z262" i="19"/>
  <c r="AI262" i="19"/>
  <c r="AK262" i="19"/>
  <c r="AM262" i="19"/>
  <c r="AO262" i="19"/>
  <c r="AQ262" i="19"/>
  <c r="AS262" i="19"/>
  <c r="AU262" i="19"/>
  <c r="AW262" i="19"/>
  <c r="AY262" i="19"/>
  <c r="BA262" i="19"/>
  <c r="L263" i="19"/>
  <c r="N263" i="19"/>
  <c r="P263" i="19"/>
  <c r="R263" i="19"/>
  <c r="T263" i="19"/>
  <c r="V263" i="19"/>
  <c r="X263" i="19"/>
  <c r="Z263" i="19"/>
  <c r="AI263" i="19"/>
  <c r="AK263" i="19"/>
  <c r="AM263" i="19"/>
  <c r="AO263" i="19"/>
  <c r="AQ263" i="19"/>
  <c r="AS263" i="19"/>
  <c r="AU263" i="19"/>
  <c r="AW263" i="19"/>
  <c r="AY263" i="19"/>
  <c r="BA263" i="19"/>
  <c r="L264" i="19"/>
  <c r="N264" i="19"/>
  <c r="P264" i="19"/>
  <c r="R264" i="19"/>
  <c r="T264" i="19"/>
  <c r="V264" i="19"/>
  <c r="X264" i="19"/>
  <c r="Z264" i="19"/>
  <c r="AI264" i="19"/>
  <c r="AK264" i="19"/>
  <c r="AM264" i="19"/>
  <c r="AO264" i="19"/>
  <c r="AQ264" i="19"/>
  <c r="AS264" i="19"/>
  <c r="AU264" i="19"/>
  <c r="AW264" i="19"/>
  <c r="AY264" i="19"/>
  <c r="BA264" i="19"/>
  <c r="L270" i="19"/>
  <c r="N270" i="19"/>
  <c r="P270" i="19"/>
  <c r="R270" i="19"/>
  <c r="T270" i="19"/>
  <c r="V270" i="19"/>
  <c r="X270" i="19"/>
  <c r="Z270" i="19"/>
  <c r="AI270" i="19"/>
  <c r="AK270" i="19"/>
  <c r="AM270" i="19"/>
  <c r="AO270" i="19"/>
  <c r="AQ270" i="19"/>
  <c r="AS270" i="19"/>
  <c r="AU270" i="19"/>
  <c r="AW270" i="19"/>
  <c r="AY270" i="19"/>
  <c r="BA270" i="19"/>
  <c r="L272" i="19"/>
  <c r="N272" i="19"/>
  <c r="P272" i="19"/>
  <c r="R272" i="19"/>
  <c r="T272" i="19"/>
  <c r="V272" i="19"/>
  <c r="X272" i="19"/>
  <c r="Z272" i="19"/>
  <c r="AI272" i="19"/>
  <c r="AK272" i="19"/>
  <c r="AM272" i="19"/>
  <c r="AO272" i="19"/>
  <c r="AQ272" i="19"/>
  <c r="AS272" i="19"/>
  <c r="AU272" i="19"/>
  <c r="AW272" i="19"/>
  <c r="AY272" i="19"/>
  <c r="BA272" i="19"/>
  <c r="L275" i="19"/>
  <c r="N275" i="19"/>
  <c r="P275" i="19"/>
  <c r="R275" i="19"/>
  <c r="T275" i="19"/>
  <c r="V275" i="19"/>
  <c r="X275" i="19"/>
  <c r="Z275" i="19"/>
  <c r="AI275" i="19"/>
  <c r="AK275" i="19"/>
  <c r="AM275" i="19"/>
  <c r="AO275" i="19"/>
  <c r="AQ275" i="19"/>
  <c r="AS275" i="19"/>
  <c r="AU275" i="19"/>
  <c r="AW275" i="19"/>
  <c r="AY275" i="19"/>
  <c r="BA275" i="19"/>
  <c r="AI277" i="19"/>
  <c r="L342" i="19"/>
  <c r="N342" i="19"/>
  <c r="P342" i="19"/>
  <c r="R342" i="19"/>
  <c r="T342" i="19"/>
  <c r="V342" i="19"/>
  <c r="X342" i="19"/>
  <c r="Z342" i="19"/>
  <c r="AI342" i="19"/>
  <c r="AK342" i="19"/>
  <c r="AM342" i="19"/>
  <c r="AO342" i="19"/>
  <c r="AQ342" i="19"/>
  <c r="AS342" i="19"/>
  <c r="AU342" i="19"/>
  <c r="AW342" i="19"/>
  <c r="AY342" i="19"/>
  <c r="BA342" i="19"/>
  <c r="L350" i="19"/>
  <c r="N350" i="19"/>
  <c r="P350" i="19"/>
  <c r="R350" i="19"/>
  <c r="T350" i="19"/>
  <c r="V350" i="19"/>
  <c r="X350" i="19"/>
  <c r="Z350" i="19"/>
  <c r="AI350" i="19"/>
  <c r="AK350" i="19"/>
  <c r="AM350" i="19"/>
  <c r="AO350" i="19"/>
  <c r="AQ350" i="19"/>
  <c r="AS350" i="19"/>
  <c r="AU350" i="19"/>
  <c r="AW350" i="19"/>
  <c r="AY350" i="19"/>
  <c r="BA350" i="19"/>
  <c r="L352" i="19"/>
  <c r="N352" i="19"/>
  <c r="P352" i="19"/>
  <c r="R352" i="19"/>
  <c r="T352" i="19"/>
  <c r="V352" i="19"/>
  <c r="X352" i="19"/>
  <c r="Z352" i="19"/>
  <c r="AI352" i="19"/>
  <c r="AK352" i="19"/>
  <c r="AM352" i="19"/>
  <c r="AO352" i="19"/>
  <c r="AQ352" i="19"/>
  <c r="AS352" i="19"/>
  <c r="AU352" i="19"/>
  <c r="AW352" i="19"/>
  <c r="AY352" i="19"/>
  <c r="BA352" i="19"/>
  <c r="AQ357" i="19"/>
  <c r="AS357" i="19"/>
  <c r="L366" i="19"/>
  <c r="N366" i="19"/>
  <c r="P366" i="19"/>
  <c r="R366" i="19"/>
  <c r="T366" i="19"/>
  <c r="V366" i="19"/>
  <c r="X366" i="19"/>
  <c r="Z366" i="19"/>
  <c r="AI366" i="19"/>
  <c r="AK366" i="19"/>
  <c r="AM366" i="19"/>
  <c r="AO366" i="19"/>
  <c r="AQ366" i="19"/>
  <c r="AS366" i="19"/>
  <c r="AU366" i="19"/>
  <c r="AW366" i="19"/>
  <c r="AY366" i="19"/>
  <c r="BA366" i="19"/>
  <c r="L367" i="19"/>
  <c r="N367" i="19"/>
  <c r="P367" i="19"/>
  <c r="R367" i="19"/>
  <c r="T367" i="19"/>
  <c r="V367" i="19"/>
  <c r="X367" i="19"/>
  <c r="Z367" i="19"/>
  <c r="AI367" i="19"/>
  <c r="AK367" i="19"/>
  <c r="AM367" i="19"/>
  <c r="AO367" i="19"/>
  <c r="AQ367" i="19"/>
  <c r="AS367" i="19"/>
  <c r="AU367" i="19"/>
  <c r="AW367" i="19"/>
  <c r="AY367" i="19"/>
  <c r="BA367" i="19"/>
  <c r="L372" i="19"/>
  <c r="N372" i="19"/>
  <c r="P372" i="19"/>
  <c r="R372" i="19"/>
  <c r="T372" i="19"/>
  <c r="V372" i="19"/>
  <c r="X372" i="19"/>
  <c r="Z372" i="19"/>
  <c r="AI372" i="19"/>
  <c r="AK372" i="19"/>
  <c r="AM372" i="19"/>
  <c r="AO372" i="19"/>
  <c r="AQ372" i="19"/>
  <c r="AS372" i="19"/>
  <c r="AU372" i="19"/>
  <c r="AW372" i="19"/>
  <c r="AY372" i="19"/>
  <c r="BA372" i="19"/>
  <c r="L373" i="19"/>
  <c r="N373" i="19"/>
  <c r="P373" i="19"/>
  <c r="R373" i="19"/>
  <c r="T373" i="19"/>
  <c r="V373" i="19"/>
  <c r="X373" i="19"/>
  <c r="Z373" i="19"/>
  <c r="AI373" i="19"/>
  <c r="AK373" i="19"/>
  <c r="AM373" i="19"/>
  <c r="AO373" i="19"/>
  <c r="AQ373" i="19"/>
  <c r="AS373" i="19"/>
  <c r="AU373" i="19"/>
  <c r="AW373" i="19"/>
  <c r="AY373" i="19"/>
  <c r="BA373" i="19"/>
  <c r="L374" i="19"/>
  <c r="N374" i="19"/>
  <c r="P374" i="19"/>
  <c r="R374" i="19"/>
  <c r="T374" i="19"/>
  <c r="V374" i="19"/>
  <c r="X374" i="19"/>
  <c r="Z374" i="19"/>
  <c r="AI374" i="19"/>
  <c r="AK374" i="19"/>
  <c r="AM374" i="19"/>
  <c r="AO374" i="19"/>
  <c r="AQ374" i="19"/>
  <c r="AS374" i="19"/>
  <c r="AU374" i="19"/>
  <c r="AW374" i="19"/>
  <c r="AY374" i="19"/>
  <c r="BA374" i="19"/>
  <c r="L375" i="19"/>
  <c r="N375" i="19"/>
  <c r="P375" i="19"/>
  <c r="R375" i="19"/>
  <c r="T375" i="19"/>
  <c r="V375" i="19"/>
  <c r="X375" i="19"/>
  <c r="Z375" i="19"/>
  <c r="AI375" i="19"/>
  <c r="AK375" i="19"/>
  <c r="AM375" i="19"/>
  <c r="AO375" i="19"/>
  <c r="AQ375" i="19"/>
  <c r="AS375" i="19"/>
  <c r="AU375" i="19"/>
  <c r="AW375" i="19"/>
  <c r="AY375" i="19"/>
  <c r="BA375" i="19"/>
  <c r="L400" i="19"/>
  <c r="N400" i="19"/>
  <c r="P400" i="19"/>
  <c r="R400" i="19"/>
  <c r="T400" i="19"/>
  <c r="V400" i="19"/>
  <c r="X400" i="19"/>
  <c r="Z400" i="19"/>
  <c r="AA400" i="19"/>
  <c r="AI400" i="19"/>
  <c r="AK400" i="19"/>
  <c r="AM400" i="19"/>
  <c r="AO400" i="19"/>
  <c r="AQ400" i="19"/>
  <c r="AS400" i="19"/>
  <c r="AU400" i="19"/>
  <c r="AW400" i="19"/>
  <c r="AY400" i="19"/>
  <c r="BA400" i="19"/>
  <c r="L403" i="19"/>
  <c r="N403" i="19"/>
  <c r="P403" i="19"/>
  <c r="R403" i="19"/>
  <c r="T403" i="19"/>
  <c r="V403" i="19"/>
  <c r="X403" i="19"/>
  <c r="Z403" i="19"/>
  <c r="AA403" i="19"/>
  <c r="AI403" i="19"/>
  <c r="AK403" i="19"/>
  <c r="AM403" i="19"/>
  <c r="AO403" i="19"/>
  <c r="AQ403" i="19"/>
  <c r="AS403" i="19"/>
  <c r="AU403" i="19"/>
  <c r="AW403" i="19"/>
  <c r="AY403" i="19"/>
  <c r="BA403" i="19"/>
  <c r="L404" i="19"/>
  <c r="N404" i="19"/>
  <c r="P404" i="19"/>
  <c r="R404" i="19"/>
  <c r="T404" i="19"/>
  <c r="V404" i="19"/>
  <c r="X404" i="19"/>
  <c r="Z404" i="19"/>
  <c r="AA404" i="19"/>
  <c r="AI404" i="19"/>
  <c r="AK404" i="19"/>
  <c r="AM404" i="19"/>
  <c r="AO404" i="19"/>
  <c r="AQ404" i="19"/>
  <c r="AS404" i="19"/>
  <c r="AU404" i="19"/>
  <c r="AW404" i="19"/>
  <c r="AY404" i="19"/>
  <c r="BA404" i="19"/>
  <c r="L416" i="19"/>
  <c r="D33" i="12"/>
  <c r="F33" i="12"/>
  <c r="D34" i="12"/>
  <c r="F34" i="12"/>
  <c r="D35" i="12"/>
  <c r="F35" i="12"/>
  <c r="D36" i="12"/>
  <c r="F36" i="12"/>
  <c r="D37" i="12"/>
  <c r="F37" i="12"/>
  <c r="D38" i="12"/>
  <c r="F38" i="12"/>
  <c r="D39" i="12"/>
  <c r="F39" i="12"/>
  <c r="D41" i="12"/>
  <c r="F41" i="12"/>
  <c r="D101" i="12"/>
  <c r="F101" i="12"/>
  <c r="D102" i="12"/>
  <c r="F102" i="12"/>
  <c r="D103" i="12"/>
  <c r="F103" i="12"/>
  <c r="D104" i="12"/>
  <c r="F104" i="12"/>
  <c r="D105" i="12"/>
  <c r="F105" i="12"/>
  <c r="D106" i="12"/>
  <c r="F106" i="12"/>
  <c r="D107" i="12"/>
  <c r="F107" i="12"/>
  <c r="D109" i="12"/>
  <c r="F109" i="12"/>
  <c r="D121" i="12"/>
  <c r="F121" i="12"/>
  <c r="D122" i="12"/>
  <c r="F122" i="12"/>
  <c r="D123" i="12"/>
  <c r="F123" i="12"/>
  <c r="D124" i="12"/>
  <c r="F124" i="12"/>
  <c r="D125" i="12"/>
  <c r="F125" i="12"/>
  <c r="D126" i="12"/>
  <c r="F126" i="12"/>
  <c r="D127" i="12"/>
  <c r="F127" i="12"/>
  <c r="D129" i="12"/>
  <c r="F129" i="12"/>
  <c r="D18" i="27"/>
  <c r="F18" i="27"/>
  <c r="D20" i="27"/>
  <c r="F20" i="27"/>
  <c r="D22" i="27"/>
  <c r="F22" i="27"/>
  <c r="D24" i="27"/>
  <c r="F24" i="27"/>
  <c r="D26" i="27"/>
  <c r="F26" i="27"/>
  <c r="D28" i="27"/>
  <c r="F28" i="27"/>
  <c r="D30" i="27"/>
  <c r="F30" i="27"/>
  <c r="D32" i="27"/>
  <c r="F32" i="27"/>
  <c r="D36" i="27"/>
  <c r="C14" i="35"/>
  <c r="K14" i="35"/>
  <c r="C16" i="35"/>
  <c r="K16" i="35"/>
  <c r="C18" i="35"/>
  <c r="K18" i="35"/>
  <c r="C20" i="35"/>
  <c r="K20" i="35"/>
  <c r="C22" i="35"/>
  <c r="K22" i="35"/>
  <c r="S31" i="35"/>
  <c r="W31" i="35"/>
  <c r="Y31" i="35"/>
  <c r="AC31" i="35"/>
  <c r="AG31" i="35"/>
  <c r="AK31" i="35"/>
  <c r="S33" i="35"/>
  <c r="W33" i="35"/>
  <c r="Y33" i="35"/>
  <c r="AC33" i="35"/>
  <c r="AK33" i="35"/>
  <c r="S35" i="35"/>
  <c r="W35" i="35"/>
  <c r="Y35" i="35"/>
  <c r="AC35" i="35"/>
  <c r="AG35" i="35"/>
  <c r="AK35" i="35"/>
  <c r="S37" i="35"/>
  <c r="W37" i="35"/>
  <c r="Y37" i="35"/>
  <c r="AC37" i="35"/>
  <c r="AG37" i="35"/>
  <c r="AK37" i="35"/>
  <c r="S39" i="35"/>
  <c r="W39" i="35"/>
  <c r="Y39" i="35"/>
  <c r="AC39" i="35"/>
  <c r="AG39" i="35"/>
  <c r="AK39" i="35"/>
  <c r="S41" i="35"/>
  <c r="W41" i="35"/>
  <c r="Y41" i="35"/>
  <c r="AC41" i="35"/>
  <c r="AG41" i="35"/>
  <c r="AK41" i="35"/>
  <c r="S43" i="35"/>
  <c r="W43" i="35"/>
  <c r="Y43" i="35"/>
  <c r="AC43" i="35"/>
  <c r="AG43" i="35"/>
  <c r="AK43" i="35"/>
  <c r="S45" i="35"/>
  <c r="W45" i="35"/>
  <c r="Y45" i="35"/>
  <c r="AC45" i="35"/>
  <c r="AG45" i="35"/>
  <c r="AK45" i="35"/>
  <c r="S47" i="35"/>
  <c r="W47" i="35"/>
  <c r="Y47" i="35"/>
  <c r="AC47" i="35"/>
  <c r="AG47" i="35"/>
  <c r="AK47" i="35"/>
  <c r="AG49" i="35"/>
  <c r="AG53" i="35"/>
</calcChain>
</file>

<file path=xl/comments1.xml><?xml version="1.0" encoding="utf-8"?>
<comments xmlns="http://schemas.openxmlformats.org/spreadsheetml/2006/main">
  <authors>
    <author>SCHWARML</author>
  </authors>
  <commentList>
    <comment ref="L282" authorId="0">
      <text>
        <r>
          <rPr>
            <b/>
            <sz val="8"/>
            <color indexed="81"/>
            <rFont val="Tahoma"/>
            <family val="2"/>
          </rPr>
          <t>SCHWARML:</t>
        </r>
        <r>
          <rPr>
            <sz val="8"/>
            <color indexed="81"/>
            <rFont val="Tahoma"/>
            <family val="2"/>
          </rPr>
          <t xml:space="preserve">
Is a Service Company Account.  See Above.</t>
        </r>
      </text>
    </comment>
  </commentList>
</comments>
</file>

<file path=xl/sharedStrings.xml><?xml version="1.0" encoding="utf-8"?>
<sst xmlns="http://schemas.openxmlformats.org/spreadsheetml/2006/main" count="2235" uniqueCount="994">
  <si>
    <t>Consumption w/ Fire</t>
  </si>
  <si>
    <t>The maximum hour extra capacity factors in column 5 are determined on the next page.</t>
  </si>
  <si>
    <t>FACTOR 15A.  ALLOCATION OF CASH WORKING CAPITAL</t>
  </si>
  <si>
    <t>FACTOR 15.  ALLOCATION OF ADMINISTRATIVE AND GENERAL EXPENSES</t>
  </si>
  <si>
    <t>15A</t>
  </si>
  <si>
    <t>CASH WORKING CAPITAL FOR FACTOR 15A</t>
  </si>
  <si>
    <t>FACTOR 15A</t>
  </si>
  <si>
    <t xml:space="preserve"> KENTUCKY AMERICAN WATER COMPANY</t>
  </si>
  <si>
    <t>KENTUCKY AMERICAN WATER COMPANY</t>
  </si>
  <si>
    <t>Annual</t>
  </si>
  <si>
    <t>Sendout</t>
  </si>
  <si>
    <t>Peak Day</t>
  </si>
  <si>
    <t>(MG)</t>
  </si>
  <si>
    <t>Date</t>
  </si>
  <si>
    <t>8/21</t>
  </si>
  <si>
    <t>6/15</t>
  </si>
  <si>
    <t>8/7</t>
  </si>
  <si>
    <t>8/2</t>
  </si>
  <si>
    <t>6/29</t>
  </si>
  <si>
    <t>7/8</t>
  </si>
  <si>
    <t>8/5</t>
  </si>
  <si>
    <t>6/19</t>
  </si>
  <si>
    <t>6/13</t>
  </si>
  <si>
    <t>8/11</t>
  </si>
  <si>
    <t>9/14</t>
  </si>
  <si>
    <t>7/18</t>
  </si>
  <si>
    <t>6/30</t>
  </si>
  <si>
    <t>7/14</t>
  </si>
  <si>
    <t>6/16</t>
  </si>
  <si>
    <t>7/13</t>
  </si>
  <si>
    <t>7/9</t>
  </si>
  <si>
    <t>GPM X 60 Min. X 10 Hrs.</t>
  </si>
  <si>
    <t>DEVELOPMENT OF PUMP STATION EQUIPMENT TOTAL HORSEPOWER BY DESIGNATION</t>
  </si>
  <si>
    <t>Pump Station Name</t>
  </si>
  <si>
    <t>Type of Pump</t>
  </si>
  <si>
    <t>Designation</t>
  </si>
  <si>
    <t>Kentucky River Station</t>
  </si>
  <si>
    <t>Kentucky River Intake</t>
  </si>
  <si>
    <t>Pump No. 1</t>
  </si>
  <si>
    <t>Intake - Low Service</t>
  </si>
  <si>
    <t>Pump No. 2</t>
  </si>
  <si>
    <t>Pump No. 3</t>
  </si>
  <si>
    <t>Pump No. 4</t>
  </si>
  <si>
    <t>Pump No. 5</t>
  </si>
  <si>
    <t>Pump No. 6</t>
  </si>
  <si>
    <t>Raw Water Transfer Station</t>
  </si>
  <si>
    <t>Pump No. 8</t>
  </si>
  <si>
    <t>Pump No. 9</t>
  </si>
  <si>
    <t>Chemical Rapid Mix Basins</t>
  </si>
  <si>
    <t>High Energy Mix Tank</t>
  </si>
  <si>
    <t>Low Energy Mix Tank</t>
  </si>
  <si>
    <t>Filters</t>
  </si>
  <si>
    <t>Clearwell Transfer Pump</t>
  </si>
  <si>
    <t>Richmond Road Station</t>
  </si>
  <si>
    <t>Jacobson Reservoir - Intake</t>
  </si>
  <si>
    <t>L.S. Pump Unit No. 1</t>
  </si>
  <si>
    <t>Low Service</t>
  </si>
  <si>
    <t>L.S. Pump Unit No. 2</t>
  </si>
  <si>
    <t>L.S. Pump Unit No. 3</t>
  </si>
  <si>
    <t>Lake Ellerslie Reservoir - Intake</t>
  </si>
  <si>
    <t>L.S. Pump Unit No. 5</t>
  </si>
  <si>
    <t>L.S. Pump Unit No. 4</t>
  </si>
  <si>
    <t>Total Maximum Day</t>
  </si>
  <si>
    <t>High Service Pumps</t>
  </si>
  <si>
    <t>H.S. Pump No. 10</t>
  </si>
  <si>
    <t>High Service</t>
  </si>
  <si>
    <t>Maximum Day and Fire</t>
  </si>
  <si>
    <t>H.S. Pump No. 11</t>
  </si>
  <si>
    <t>H.S. Pump No. 12</t>
  </si>
  <si>
    <t>H.S. Pump No. 13</t>
  </si>
  <si>
    <t>H.S. Pump No. 14</t>
  </si>
  <si>
    <t>H.S. Pump No. 15</t>
  </si>
  <si>
    <t>Standby Equipment</t>
  </si>
  <si>
    <t>Standby Pump No. 15</t>
  </si>
  <si>
    <t>H.S. Pump No. 8,</t>
  </si>
  <si>
    <t xml:space="preserve">H.S. Pump No. 7, </t>
  </si>
  <si>
    <t>H.S. Pump No. 6,</t>
  </si>
  <si>
    <t>H. S. with Standby Diesel Equipment</t>
  </si>
  <si>
    <t>H.S. Diesel Driven No. 9</t>
  </si>
  <si>
    <t>High Service with Standby</t>
  </si>
  <si>
    <t>H.S. Diesel Driven No. 11</t>
  </si>
  <si>
    <t>H.S. Diesel Driven No. 10</t>
  </si>
  <si>
    <t>Total Maximum Day and Fire</t>
  </si>
  <si>
    <t>Total Horsepower</t>
  </si>
  <si>
    <t>OPA</t>
  </si>
  <si>
    <t>SFR</t>
  </si>
  <si>
    <t>M</t>
  </si>
  <si>
    <t>TV</t>
  </si>
  <si>
    <t>Elk</t>
  </si>
  <si>
    <t>Owen</t>
  </si>
  <si>
    <t>*</t>
  </si>
  <si>
    <t>&gt;12</t>
  </si>
  <si>
    <t>Demand*</t>
  </si>
  <si>
    <t>*  Relative Demand for Private Fire lines and hydrants are calculated at 1.5 times the Public Fire Relative</t>
  </si>
  <si>
    <t xml:space="preserve">   Demand.</t>
  </si>
  <si>
    <t>4 -1/4 inch w/ 2-2 1/2, 1-4 1/2</t>
  </si>
  <si>
    <t>5 -1/4 inch w/ 2-2 1/2, 1-4 1/2</t>
  </si>
  <si>
    <t xml:space="preserve">  -OPERATION-                            </t>
  </si>
  <si>
    <t xml:space="preserve">          Total Operation                </t>
  </si>
  <si>
    <t xml:space="preserve">  -MAINTENANCE-                          </t>
  </si>
  <si>
    <t xml:space="preserve">          Total Maintenance              </t>
  </si>
  <si>
    <t xml:space="preserve">        Total Source of Supply</t>
  </si>
  <si>
    <t xml:space="preserve">  Total Power and Pumping                </t>
  </si>
  <si>
    <t xml:space="preserve">  Total Water Treatment Expenses</t>
  </si>
  <si>
    <t xml:space="preserve">  Total Transmission and Distribution    </t>
  </si>
  <si>
    <t xml:space="preserve">  Total Customers' Accounting and        </t>
  </si>
  <si>
    <t xml:space="preserve">   Collecting Expenses                   </t>
  </si>
  <si>
    <t xml:space="preserve">              Customer Related</t>
  </si>
  <si>
    <t xml:space="preserve">              Water Quality</t>
  </si>
  <si>
    <t xml:space="preserve">              Other</t>
  </si>
  <si>
    <t xml:space="preserve">  Total Administrative and General       </t>
  </si>
  <si>
    <t xml:space="preserve">   Expenses                              </t>
  </si>
  <si>
    <t xml:space="preserve">  Total Operation and Maintenance        </t>
  </si>
  <si>
    <t xml:space="preserve">503  DEPRECIATION EXPENSE                </t>
  </si>
  <si>
    <t xml:space="preserve">           Total Depreciation Expense</t>
  </si>
  <si>
    <t>Factors are based on the net charge-offs by customer classification.</t>
  </si>
  <si>
    <t>Net</t>
  </si>
  <si>
    <t>Charge-Offs</t>
  </si>
  <si>
    <t>FACTOR 20. ALLOCATION OF UNCOLLECTIBLE ACCOUNTS</t>
  </si>
  <si>
    <t xml:space="preserve">              AFUDC</t>
  </si>
  <si>
    <t xml:space="preserve">              Acquisition Adjustment</t>
  </si>
  <si>
    <t xml:space="preserve">              Property Losses</t>
  </si>
  <si>
    <t xml:space="preserve">         Total Amortizations</t>
  </si>
  <si>
    <t xml:space="preserve">       Federal and State Payroll Taxes   </t>
  </si>
  <si>
    <t xml:space="preserve">       Property Taxes                    </t>
  </si>
  <si>
    <t xml:space="preserve">Utility Operating Income Available       </t>
  </si>
  <si>
    <t xml:space="preserve"> for Return                              </t>
  </si>
  <si>
    <t xml:space="preserve">     Total Other Water Revenues</t>
  </si>
  <si>
    <t xml:space="preserve">     Total Depreciable Plant Net of Accumulated Depreciation,</t>
  </si>
  <si>
    <t xml:space="preserve">          Contributions and Advances</t>
  </si>
  <si>
    <t>OTHER RATE BASE ELEMENTS</t>
  </si>
  <si>
    <t>Utility Plant Acquisition Adjustments</t>
  </si>
  <si>
    <t>CWIP - Water Treatment Plant and Supply Mains</t>
  </si>
  <si>
    <t>CWIP - Transmission Mains</t>
  </si>
  <si>
    <t>CWIP - Reservoirs and Standpipes</t>
  </si>
  <si>
    <t>CWIP - Distribution Mains</t>
  </si>
  <si>
    <t>CWIP - Meters and Meter Installations</t>
  </si>
  <si>
    <t>CWIP - Services</t>
  </si>
  <si>
    <t>CWIP - Hydrants</t>
  </si>
  <si>
    <t>CWIP - Other</t>
  </si>
  <si>
    <t>Working Capital Allowance</t>
  </si>
  <si>
    <t>Deferred Income Taxes</t>
  </si>
  <si>
    <t xml:space="preserve">Deferred Investment Tax Credits </t>
  </si>
  <si>
    <t xml:space="preserve">     Source of Supply</t>
  </si>
  <si>
    <t>Other Rate Base Elements</t>
  </si>
  <si>
    <t xml:space="preserve">TRANSMISSION AND DISTRIBUTION EXPENSES   </t>
  </si>
  <si>
    <t xml:space="preserve">WATER TREATMENT                          </t>
  </si>
  <si>
    <t xml:space="preserve">POWER AND PUMPING EXPENSES               </t>
  </si>
  <si>
    <t xml:space="preserve">SOURCE OF SUPPLY EXPENSES                </t>
  </si>
  <si>
    <t xml:space="preserve">OPERATION AND MAINTENANCE EXPENSES       </t>
  </si>
  <si>
    <t>Ref.</t>
  </si>
  <si>
    <t>Cost of</t>
  </si>
  <si>
    <t>Account</t>
  </si>
  <si>
    <t>Private</t>
  </si>
  <si>
    <t>Private Fire</t>
  </si>
  <si>
    <t>Public Fire</t>
  </si>
  <si>
    <t>RATE BASE</t>
  </si>
  <si>
    <t>Authorities</t>
  </si>
  <si>
    <t>FACTOR 5.  ALLOCATION OF COSTS ASSOCIATED WITH STORAGE FACILITIES, cont.</t>
  </si>
  <si>
    <t>FACTOR 6. ALLOCATION OF COSTS ASSOCIATED WITH POWER AND PUMPING FACILITIES.</t>
  </si>
  <si>
    <t>FACTOR 7. ALLOCATION OF COSTS ASSOCIATED WITH TRANSMISSION AND DISTRIBUTION MAINS.</t>
  </si>
  <si>
    <t>FACTOR 8. ALLOCATION OF COSTS ASSOCIATED WITH FIRE HYDRANTS.</t>
  </si>
  <si>
    <t>FACTOR 13.  ALLOCATION OF BILLING AND COLLECTING COSTS.</t>
  </si>
  <si>
    <t>FACTOR 14.  ALLOCATION OF METER READING COSTS.</t>
  </si>
  <si>
    <t xml:space="preserve">FACTOR 17.  ALLOCATION OF ORGANIZATION, FRANCHISES AND CONSENTS, </t>
  </si>
  <si>
    <t>FACTOR 18.  ALLOCATION OF INCOME TAXES AND INCOME AVAILABLE FOR RETURN.</t>
  </si>
  <si>
    <t>FACTOR 11</t>
  </si>
  <si>
    <t>FACTOR 12</t>
  </si>
  <si>
    <t>FACTOR 15</t>
  </si>
  <si>
    <t>T&amp;D OP BASIS FOR FACTOR 11</t>
  </si>
  <si>
    <t>T&amp;D Mnt BASIS FOR FACTOR 12</t>
  </si>
  <si>
    <t>A&amp;G BASIS FOR FACTOR 15</t>
  </si>
  <si>
    <t>LABOR BASIS FOR FACTOR 16</t>
  </si>
  <si>
    <t>FACTOR 16</t>
  </si>
  <si>
    <t>UPIS BASIS FOR FACTOR 17</t>
  </si>
  <si>
    <t>FACTOR 17</t>
  </si>
  <si>
    <t>FACTOR 18</t>
  </si>
  <si>
    <t>RATE BASE BASIS FOR FACTOR 18</t>
  </si>
  <si>
    <t>TOTAL COS BASIS FOR FACTOR 19</t>
  </si>
  <si>
    <t>FACTOR 19</t>
  </si>
  <si>
    <t>Factors are based on the weighting of the maximum daily consumption with fire, Factor 3, and the maximum hour consumption, Factor 5, for each customer classification, as follows:</t>
  </si>
  <si>
    <t>Costs are assigned directly to Public Fire Protection.</t>
  </si>
  <si>
    <t xml:space="preserve">   Extra Capacity</t>
  </si>
  <si>
    <t>Factors are based on the allocation of direct labor expense.</t>
  </si>
  <si>
    <t>The public and private fire protection allocation factors in column 7 on the previous page are based on the relative potential demands (see Schedule E).</t>
  </si>
  <si>
    <t>The public and private fire protection allocation factors in column 6 on the previous page are based on the relative potential demands (see Schedule E).</t>
  </si>
  <si>
    <t xml:space="preserve"> MISCELLANEOUS INTANGIBLE PLANT AND OTHER RATE BASE ELEMENTS.</t>
  </si>
  <si>
    <t xml:space="preserve">             Total Public Fire Prorection</t>
  </si>
  <si>
    <t>Private Hydrants</t>
  </si>
  <si>
    <t>TO PRIVATE AND PUBLIC FIRE PROTECTION CUSTOMER CLASSIFICATIONS</t>
  </si>
  <si>
    <t>Table of Factors - Table Name "FACTORS"</t>
  </si>
  <si>
    <t>factor 3</t>
  </si>
  <si>
    <t>factor 4</t>
  </si>
  <si>
    <t>factor 2</t>
  </si>
  <si>
    <t xml:space="preserve">Public </t>
  </si>
  <si>
    <t>KENTUCKY-AMERICAN WATER COMPANY</t>
  </si>
  <si>
    <t/>
  </si>
  <si>
    <t>FACTORS FOR ALLOCATING COST OF SERVICE TO CUSTOMER CLASSIFICATIONS</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</si>
  <si>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</si>
  <si>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</si>
  <si>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</si>
  <si>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</si>
  <si>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</si>
  <si>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</si>
  <si>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</si>
  <si>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</si>
  <si>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</si>
  <si>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</si>
  <si>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</si>
  <si>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</si>
  <si>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</si>
  <si>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7/17</t>
  </si>
  <si>
    <t>Population=</t>
  </si>
  <si>
    <t>Fire Flow</t>
  </si>
  <si>
    <t>Other Public Authority</t>
  </si>
  <si>
    <t>Other Water Utilities</t>
  </si>
  <si>
    <t>Private Fire Protection</t>
  </si>
  <si>
    <t>Public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</si>
  <si>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</si>
  <si>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</si>
  <si>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</si>
  <si>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</si>
  <si>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</si>
  <si>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</si>
  <si>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</si>
  <si>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</si>
  <si>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</si>
  <si>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</si>
  <si>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</si>
  <si>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</si>
  <si>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</si>
  <si>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</si>
  <si>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</si>
  <si>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</si>
  <si>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</si>
  <si>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</si>
  <si>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</si>
  <si>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</si>
  <si>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</si>
  <si>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</si>
  <si>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</si>
  <si>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</si>
  <si>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</si>
  <si>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</si>
  <si>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</si>
  <si>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</si>
  <si>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</si>
  <si>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</si>
  <si>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</si>
  <si>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</si>
  <si>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</si>
  <si>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</si>
  <si>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</si>
  <si>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</si>
  <si>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</si>
  <si>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</si>
  <si>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</si>
  <si>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</si>
  <si>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</si>
  <si>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</si>
  <si>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</si>
  <si>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</si>
  <si>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</si>
  <si>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</si>
  <si>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</si>
  <si>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</si>
  <si>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</si>
  <si>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</si>
  <si>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</si>
  <si>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</si>
  <si>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</si>
  <si>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</si>
  <si>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</si>
  <si>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</si>
  <si>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</si>
  <si>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</si>
  <si>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</si>
  <si>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</si>
  <si>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</si>
  <si>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</si>
  <si>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</si>
  <si>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</si>
  <si>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</si>
  <si>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</si>
  <si>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</si>
  <si>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</si>
  <si>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</si>
  <si>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</si>
  <si>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</si>
  <si>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</si>
  <si>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Factors are based on the weighting of the maximum daily consumption, Factor 2, the maximum daily consumption with fire, Factor 3, and the maximum hour consumption, Factor 4, for each customer classification, as follows:</t>
  </si>
  <si>
    <t>Maximum Daily</t>
  </si>
  <si>
    <t>Maximum Hourly</t>
  </si>
  <si>
    <t>Factor 2</t>
  </si>
  <si>
    <t>Factor 3</t>
  </si>
  <si>
    <t>Factor 4</t>
  </si>
  <si>
    <t>(3)=(2)X</t>
  </si>
  <si>
    <t>(5)=(4)X</t>
  </si>
  <si>
    <t>(7)=(6)X</t>
  </si>
  <si>
    <t>(8)=(3)+</t>
  </si>
  <si>
    <t>(5)+(7)</t>
  </si>
  <si>
    <t>Func.</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</si>
  <si>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</si>
  <si>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</si>
  <si>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</si>
  <si>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</si>
  <si>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</si>
  <si>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</si>
  <si>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</si>
  <si>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</si>
  <si>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</si>
  <si>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</si>
  <si>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</si>
  <si>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</si>
  <si>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</si>
  <si>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</si>
  <si>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</si>
  <si>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</si>
  <si>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</si>
  <si>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</si>
  <si>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 xml:space="preserve">       Total</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</si>
  <si>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</si>
  <si>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</si>
  <si>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</si>
  <si>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</si>
  <si>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</si>
  <si>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</si>
  <si>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</si>
  <si>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</si>
  <si>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</si>
  <si>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</si>
  <si>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</si>
  <si>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</si>
  <si>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</si>
  <si>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Sales for</t>
  </si>
  <si>
    <t>Resale</t>
  </si>
  <si>
    <t xml:space="preserve">Other Water Utilities      </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</si>
  <si>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</si>
  <si>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</si>
  <si>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</si>
  <si>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</si>
  <si>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</si>
  <si>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</si>
  <si>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</si>
  <si>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</si>
  <si>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</si>
  <si>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</si>
  <si>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</si>
  <si>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</si>
  <si>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</si>
  <si>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</si>
  <si>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</si>
  <si>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</si>
  <si>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</si>
  <si>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</si>
  <si>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</si>
  <si>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</si>
  <si>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</si>
  <si>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</si>
  <si>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</si>
  <si>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</si>
  <si>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</si>
  <si>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</si>
  <si>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Total Metered</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</si>
  <si>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</si>
  <si>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</si>
  <si>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</si>
  <si>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</si>
  <si>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</si>
  <si>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</si>
  <si>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</si>
  <si>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</si>
  <si>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</si>
  <si>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</si>
  <si>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</si>
  <si>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</si>
  <si>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</si>
  <si>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</si>
  <si>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</si>
  <si>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</si>
  <si>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</si>
  <si>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</si>
  <si>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</si>
  <si>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</si>
  <si>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</si>
  <si>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</si>
  <si>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</si>
  <si>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</si>
  <si>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</si>
  <si>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</si>
  <si>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</si>
  <si>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</si>
  <si>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</si>
  <si>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</si>
  <si>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</si>
  <si>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</si>
  <si>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</si>
  <si>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</si>
  <si>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</si>
  <si>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</si>
  <si>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</si>
  <si>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</si>
  <si>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</si>
  <si>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</si>
  <si>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</si>
  <si>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</si>
  <si>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</si>
  <si>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</si>
  <si>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</si>
  <si>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</si>
  <si>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</si>
  <si>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</si>
  <si>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Fire Lines</t>
  </si>
  <si>
    <t>-inch</t>
  </si>
  <si>
    <t>Total Private Fire Protection</t>
  </si>
  <si>
    <t>PUBLIC FIRE PROTECTION</t>
  </si>
  <si>
    <t xml:space="preserve"> Total Fire Protection</t>
  </si>
  <si>
    <t xml:space="preserve"> Sales of Water                          </t>
  </si>
  <si>
    <t xml:space="preserve">Total Cost of Service Related to         </t>
  </si>
  <si>
    <t xml:space="preserve">    Total Cost of Service                </t>
  </si>
  <si>
    <t xml:space="preserve">         Total Taxes, Other Than Income  </t>
  </si>
  <si>
    <t xml:space="preserve">                                         </t>
  </si>
  <si>
    <t xml:space="preserve">ADMINISTRATIVE AND GENERAL EXPENSES      </t>
  </si>
  <si>
    <t xml:space="preserve">CUSTOMER ACCOUNTS                        </t>
  </si>
  <si>
    <t>COMPARISON OF COST OF SERVICE WITH REVENUES UNDER PRESENT AND PROPOSED RATES</t>
  </si>
  <si>
    <t>Cost of Service</t>
  </si>
  <si>
    <t>Proposed Increase</t>
  </si>
  <si>
    <t>Amount</t>
  </si>
  <si>
    <t>Revenues, Present Rates</t>
  </si>
  <si>
    <t>Revenues, Proposed Rates</t>
  </si>
  <si>
    <t>Increase</t>
  </si>
  <si>
    <t>(8)</t>
  </si>
  <si>
    <t>(9)</t>
  </si>
  <si>
    <t>Public Authority</t>
  </si>
  <si>
    <t>Private Fire Service</t>
  </si>
  <si>
    <t>Public Fire Service</t>
  </si>
  <si>
    <t xml:space="preserve">     Total Sales</t>
  </si>
  <si>
    <t>Other Revenues</t>
  </si>
  <si>
    <t xml:space="preserve">              Total</t>
  </si>
  <si>
    <t>Base</t>
  </si>
  <si>
    <t>Max Day</t>
  </si>
  <si>
    <t>Max Hour</t>
  </si>
  <si>
    <t>Billing &amp;</t>
  </si>
  <si>
    <t>Collecting</t>
  </si>
  <si>
    <t>Factor 6</t>
  </si>
  <si>
    <t>1,000 Gallons</t>
  </si>
  <si>
    <t>&amp; Distribution</t>
  </si>
  <si>
    <t>Factors are based on the allocation of all other operation and maintenance expenses excluding purchased water, power, chemicals and waste disposal.</t>
  </si>
  <si>
    <t>(Schedule B)</t>
  </si>
  <si>
    <t>Year</t>
  </si>
  <si>
    <t>(MGD)</t>
  </si>
  <si>
    <t>Check</t>
  </si>
  <si>
    <t>Sch A</t>
  </si>
  <si>
    <t>Kentucky-American Water Company</t>
  </si>
  <si>
    <t>Cost of Service Study Data - UPIS</t>
  </si>
  <si>
    <t>Forecasted TY Ended 9/2011</t>
  </si>
  <si>
    <t>KAWC</t>
  </si>
  <si>
    <t>UPIS</t>
  </si>
  <si>
    <t>ACCUM DEPREC</t>
  </si>
  <si>
    <t>CIAC AND ADV</t>
  </si>
  <si>
    <t>TOTAL</t>
  </si>
  <si>
    <t xml:space="preserve">              Employee Related</t>
  </si>
  <si>
    <t>ORGANIZATION</t>
  </si>
  <si>
    <t>FRANCHISE/CONSENTS</t>
  </si>
  <si>
    <t>OTHE P/E INTANGIBLES</t>
  </si>
  <si>
    <t>OTHER P/E COMPREHENSIVE STUDIES</t>
  </si>
  <si>
    <t>LAND AND LAND RIGHTS SS</t>
  </si>
  <si>
    <t>SS STRUCTURES &amp; IMPROVEMENTS</t>
  </si>
  <si>
    <t>COLL &amp; IMPOUNDING RESERV</t>
  </si>
  <si>
    <t>LAKE, RIVER, &amp; OTHER INTAKES</t>
  </si>
  <si>
    <t>WELLS &amp; SPRINGS</t>
  </si>
  <si>
    <t>SUPPLY MAINS</t>
  </si>
  <si>
    <t>PUMPING LAND &amp; LAND RIGHTS</t>
  </si>
  <si>
    <t>PUMPING STRUCTURES &amp; IMPROVEMENTS</t>
  </si>
  <si>
    <t>ELECTRIC PUMPING EQUIPMENT</t>
  </si>
  <si>
    <t>DIESEL PUMPING EQUIPMENT</t>
  </si>
  <si>
    <t>Pump Equip Hydraulic</t>
  </si>
  <si>
    <t>OTHER PUMPING EQUIPMENT</t>
  </si>
  <si>
    <t>PUMPING EQUIPMENT SS</t>
  </si>
  <si>
    <t>PUMPING EQUIPMENT TD</t>
  </si>
  <si>
    <t>LAND AND LAND RIGHTS</t>
  </si>
  <si>
    <t>WT STRUCTURES &amp; IMPROVMNT</t>
  </si>
  <si>
    <t>WATER TREATMENT EQUIPMENT</t>
  </si>
  <si>
    <t>WATER TREATMENT EQUIPMENT-STR</t>
  </si>
  <si>
    <t>WATER TREATMENT EQUIPMENT-FILTER MEDIA</t>
  </si>
  <si>
    <t>T &amp; D LAND &amp; RIGHTS OF WAY</t>
  </si>
  <si>
    <t>T &amp; D STRUCTURES &amp; IMP</t>
  </si>
  <si>
    <t>DIST RES &amp; STANDPIPES</t>
  </si>
  <si>
    <t>Elevated Tanks &amp; Standpipes</t>
  </si>
  <si>
    <t>GROUND LEVEL FACILITIES</t>
  </si>
  <si>
    <t>Clearwell</t>
  </si>
  <si>
    <t>SERVICES</t>
  </si>
  <si>
    <t>METERS</t>
  </si>
  <si>
    <t>METERS - BRONZE CASE</t>
  </si>
  <si>
    <t>METERS - PLASTIC CASE</t>
  </si>
  <si>
    <t>METERS - OTHER</t>
  </si>
  <si>
    <t>METER INSTALLATIONS</t>
  </si>
  <si>
    <t>METER VAULTS</t>
  </si>
  <si>
    <t>HYDRANTS</t>
  </si>
  <si>
    <t>OFFICE STRUCTURES AG</t>
  </si>
  <si>
    <t>OFFICE STRUCTURES</t>
  </si>
  <si>
    <t>STORES, SHOP &amp; GAR STRUCT</t>
  </si>
  <si>
    <t>MISC STRUCTURES</t>
  </si>
  <si>
    <t>OFFICE FURNITURE &amp; EQUIP</t>
  </si>
  <si>
    <t>MAINFRAME COMP &amp; PERIPH EQPT</t>
  </si>
  <si>
    <t>PERSONAL COMP &amp; PERIPH EQPT</t>
  </si>
  <si>
    <t>COMP &amp; PERIPH OTHER</t>
  </si>
  <si>
    <t>PERSONAL COMP SOFTWARE</t>
  </si>
  <si>
    <t>OTHER SOFTWARE</t>
  </si>
  <si>
    <t>OTHER OFFICE EQUIPMENT</t>
  </si>
  <si>
    <t>TRANS EQUIP - LIGHT TRUCKS</t>
  </si>
  <si>
    <t>TRANS EQUIP - HEAVY TRUCKS</t>
  </si>
  <si>
    <t>TRANS EQUIP - CARS</t>
  </si>
  <si>
    <t>OTHER TRANS EQUIP</t>
  </si>
  <si>
    <t>STORES EQUIPMENT</t>
  </si>
  <si>
    <t>TOOLS, SHOP, &amp; GARAGE EQUIP</t>
  </si>
  <si>
    <t>LABORATORY EQUIPMENT</t>
  </si>
  <si>
    <t>POWER OPERATED EQUIPMENT</t>
  </si>
  <si>
    <t>COMMUNICATION EQUIPMENT-non telephone</t>
  </si>
  <si>
    <t>COMMUNICATION EQUIPMENT-instrumentation</t>
  </si>
  <si>
    <t>COMMUNICATION EQUIPMENT</t>
  </si>
  <si>
    <t>MISC EQUIPMENT</t>
  </si>
  <si>
    <t>OTHER TANGIBLE PROPERTY</t>
  </si>
  <si>
    <t>Factors are based on the allocation of operation and maintenance expenses including purchased water, power, chemicals, waste disposal, and administrative and general expenses.</t>
  </si>
  <si>
    <t xml:space="preserve">     Total Plant in Service, Net of Accumulated</t>
  </si>
  <si>
    <t xml:space="preserve">        Depreciation, Contributions and Advances</t>
  </si>
  <si>
    <t xml:space="preserve">           AFUDC</t>
  </si>
  <si>
    <t>Mains</t>
  </si>
  <si>
    <t>Subtotal</t>
  </si>
  <si>
    <t xml:space="preserve">           Reconnection/Activation - T&amp;D Related</t>
  </si>
  <si>
    <t>(a)</t>
  </si>
  <si>
    <t>COMPARISON OF PRESENT AND PROPOSED RATES</t>
  </si>
  <si>
    <t>Present</t>
  </si>
  <si>
    <t>Proposed</t>
  </si>
  <si>
    <t>Rate</t>
  </si>
  <si>
    <t>3/4</t>
  </si>
  <si>
    <t>Per Thousand Gallons</t>
  </si>
  <si>
    <t>Per CCF</t>
  </si>
  <si>
    <t>Consumption Charges:</t>
  </si>
  <si>
    <t>Fire Protection:</t>
  </si>
  <si>
    <t>Line Size</t>
  </si>
  <si>
    <t>PrivateFire Hydrant</t>
  </si>
  <si>
    <t>Public Fire Hydrant</t>
  </si>
  <si>
    <t>CALCULATION OF MONTHLY SERVICE CHARGES</t>
  </si>
  <si>
    <t>Number</t>
  </si>
  <si>
    <t>Cost Per Unit</t>
  </si>
  <si>
    <t>Cost Function</t>
  </si>
  <si>
    <t>of Units</t>
  </si>
  <si>
    <t>Per Month</t>
  </si>
  <si>
    <t>5/8-inch meter equivalents</t>
  </si>
  <si>
    <t>3/4-inch service equivalents</t>
  </si>
  <si>
    <t>Billing &amp; Collecting</t>
  </si>
  <si>
    <t>Number of customers</t>
  </si>
  <si>
    <t xml:space="preserve">          Total</t>
  </si>
  <si>
    <t>Revenues</t>
  </si>
  <si>
    <t>Capacity</t>
  </si>
  <si>
    <t>Billing and</t>
  </si>
  <si>
    <t>From Service</t>
  </si>
  <si>
    <t>Meter Size</t>
  </si>
  <si>
    <t>Cost*</t>
  </si>
  <si>
    <t>Cost</t>
  </si>
  <si>
    <t>Reading**</t>
  </si>
  <si>
    <t>Costs</t>
  </si>
  <si>
    <t>of Bills</t>
  </si>
  <si>
    <t>Charges</t>
  </si>
  <si>
    <t>(10)=(8)x(9)</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</si>
  <si>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</si>
  <si>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</si>
  <si>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</si>
  <si>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</si>
  <si>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</si>
  <si>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</si>
  <si>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</si>
  <si>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</si>
  <si>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</si>
  <si>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Private Fire Customer Costs</t>
  </si>
  <si>
    <t>Public fire</t>
  </si>
  <si>
    <t>private Fire</t>
  </si>
  <si>
    <t>Uncollectible</t>
  </si>
  <si>
    <t>Accounts</t>
  </si>
  <si>
    <t>2012 updated per 2011 Water reqport to PSC</t>
  </si>
  <si>
    <t>updated 11/7/2012 - 2011 PSC report</t>
  </si>
  <si>
    <t>6/8</t>
  </si>
  <si>
    <t>Thousand Gallons</t>
  </si>
  <si>
    <t>1000 gallons</t>
  </si>
  <si>
    <t>Thousand</t>
  </si>
  <si>
    <t>Per Pete use hydrant count in bill analysis rather than email from Linda - 11/8/2012</t>
  </si>
  <si>
    <t>Checking with Linda - sounded high on 11/13/2012</t>
  </si>
  <si>
    <t xml:space="preserve">Purchased Water                    </t>
  </si>
  <si>
    <t>Purchased Power</t>
  </si>
  <si>
    <t xml:space="preserve">Miscellaneous Expenses             </t>
  </si>
  <si>
    <t xml:space="preserve">Rents                              </t>
  </si>
  <si>
    <t>Rents</t>
  </si>
  <si>
    <t xml:space="preserve">Supervision and Engineering        </t>
  </si>
  <si>
    <t xml:space="preserve">Chemicals                          </t>
  </si>
  <si>
    <t xml:space="preserve">Uncollectible Accounts             </t>
  </si>
  <si>
    <t xml:space="preserve"> Administrative &amp; General Salaries  </t>
  </si>
  <si>
    <t xml:space="preserve">Outside Services   </t>
  </si>
  <si>
    <t xml:space="preserve">Workers Compensation               </t>
  </si>
  <si>
    <t xml:space="preserve">Employee Pensions and Benefits     </t>
  </si>
  <si>
    <t xml:space="preserve">Regulatory Expenses                </t>
  </si>
  <si>
    <t xml:space="preserve">Miscellaneous General Expense      </t>
  </si>
  <si>
    <t xml:space="preserve">Other P/E Intangibles             </t>
  </si>
  <si>
    <t xml:space="preserve">Land and Land Rights              </t>
  </si>
  <si>
    <t xml:space="preserve">Source of Supply Struct &amp; Improv  </t>
  </si>
  <si>
    <t xml:space="preserve">Collecting &amp; Impounding Reservoirs </t>
  </si>
  <si>
    <t xml:space="preserve">Lake, River and Other Intakes     </t>
  </si>
  <si>
    <t xml:space="preserve">Wells and Springs                 </t>
  </si>
  <si>
    <t xml:space="preserve">Supply Mains                      </t>
  </si>
  <si>
    <t xml:space="preserve">Pumping Structures &amp; Improvements </t>
  </si>
  <si>
    <t xml:space="preserve">Other Power Production Equipment  </t>
  </si>
  <si>
    <t xml:space="preserve">Electric Pumping Equipment        </t>
  </si>
  <si>
    <t xml:space="preserve">Diesel Pumping Equipment          </t>
  </si>
  <si>
    <t xml:space="preserve">Other Pumping Equipment           </t>
  </si>
  <si>
    <t xml:space="preserve">Water Treat Structures &amp; Improv   </t>
  </si>
  <si>
    <t xml:space="preserve">Water Treat and Equipment         </t>
  </si>
  <si>
    <t>GAC</t>
  </si>
  <si>
    <t xml:space="preserve">T &amp; D Structures &amp; Improvements   </t>
  </si>
  <si>
    <t xml:space="preserve">Distrib. Reservoirs &amp; Standpipes  </t>
  </si>
  <si>
    <t xml:space="preserve">Transmission &amp; Distribution Mains </t>
  </si>
  <si>
    <t xml:space="preserve">Services                          </t>
  </si>
  <si>
    <t xml:space="preserve">Meters                            </t>
  </si>
  <si>
    <t xml:space="preserve">Meter Installations               </t>
  </si>
  <si>
    <t>Hydrants</t>
  </si>
  <si>
    <t xml:space="preserve">General Structures &amp; Improvements </t>
  </si>
  <si>
    <t xml:space="preserve"> Office Structures                 </t>
  </si>
  <si>
    <t>Stores Shop and Gar. Structures</t>
  </si>
  <si>
    <t xml:space="preserve"> Miscellaneous Structures &amp; Improv </t>
  </si>
  <si>
    <t xml:space="preserve">Office Furniture and Equipment    </t>
  </si>
  <si>
    <t xml:space="preserve">Computers &amp; Peripheral Equipment  </t>
  </si>
  <si>
    <t>Personal Comp and Periph</t>
  </si>
  <si>
    <t>Computers and Periph Other</t>
  </si>
  <si>
    <t xml:space="preserve">Computer Mainframe Software                 </t>
  </si>
  <si>
    <t xml:space="preserve">Personal software    </t>
  </si>
  <si>
    <t>Other Software</t>
  </si>
  <si>
    <t xml:space="preserve">Other Office Equipment            </t>
  </si>
  <si>
    <t xml:space="preserve">Transportation Equip-Light Trucks </t>
  </si>
  <si>
    <t xml:space="preserve">Transportation Equip-Heavy Trucks </t>
  </si>
  <si>
    <t xml:space="preserve">Transportation Equip-Cars         </t>
  </si>
  <si>
    <t xml:space="preserve">Transportation Equip-Other        </t>
  </si>
  <si>
    <t xml:space="preserve">Stores Equipment                  </t>
  </si>
  <si>
    <t xml:space="preserve">Tools, Shop &amp; Garage Equipment    </t>
  </si>
  <si>
    <t xml:space="preserve">Laboratory Equipment              </t>
  </si>
  <si>
    <t xml:space="preserve">Power Operated Equipment          </t>
  </si>
  <si>
    <t xml:space="preserve">Communication Equipment           </t>
  </si>
  <si>
    <t xml:space="preserve">Miscellaneous Equipment           </t>
  </si>
  <si>
    <t xml:space="preserve">Other Tangible Property           </t>
  </si>
  <si>
    <t>AMORTIZATION EXPENSE</t>
  </si>
  <si>
    <t xml:space="preserve">TAXES, OTHER THAN INCOME           </t>
  </si>
  <si>
    <t xml:space="preserve">INCOME TAXES                       </t>
  </si>
  <si>
    <t>Contracted Services</t>
  </si>
  <si>
    <t>Insurance - Liability, Vehicle and Other</t>
  </si>
  <si>
    <t xml:space="preserve">       Utility Reg Assessment         </t>
  </si>
  <si>
    <t>M&amp;S Operation</t>
  </si>
  <si>
    <t xml:space="preserve">M&amp;S Maint           </t>
  </si>
  <si>
    <t>M&amp;S Maint.</t>
  </si>
  <si>
    <t>Contracted Services - Lab Testing</t>
  </si>
  <si>
    <t>Misc. Operating Expense</t>
  </si>
  <si>
    <t>Misc Operating Expense</t>
  </si>
  <si>
    <t>Injuries and Damages</t>
  </si>
  <si>
    <t>Low Income Pay Program</t>
  </si>
  <si>
    <t>Lab Supplies</t>
  </si>
  <si>
    <t>Transportation</t>
  </si>
  <si>
    <t>Bank Svc Charges-CA</t>
  </si>
  <si>
    <t>Cust Edu-Bill Insert</t>
  </si>
  <si>
    <t>Collection Agencies</t>
  </si>
  <si>
    <t>Forms CA</t>
  </si>
  <si>
    <t>Postage</t>
  </si>
  <si>
    <t>Employee Related Expense</t>
  </si>
  <si>
    <t>Office Supplies</t>
  </si>
  <si>
    <t>Software Licenses</t>
  </si>
  <si>
    <t>Waste Disposal</t>
  </si>
  <si>
    <t>Office Supplies and Uniforms</t>
  </si>
  <si>
    <t>Overnight Shipping</t>
  </si>
  <si>
    <t>Office Supplies, Uniforms and Shipping</t>
  </si>
  <si>
    <t>M&amp;S Maint WT</t>
  </si>
  <si>
    <t>Misc Maint TD</t>
  </si>
  <si>
    <t>Misc Maint AG</t>
  </si>
  <si>
    <t>Amort Def Maint WT</t>
  </si>
  <si>
    <t>Amort Def Maint TD</t>
  </si>
  <si>
    <t>Misc Main Pvg/Bckfll</t>
  </si>
  <si>
    <t>Electricity WT</t>
  </si>
  <si>
    <t>Electricity TD</t>
  </si>
  <si>
    <t>Electricity AG</t>
  </si>
  <si>
    <t>Heating Oil/Gas TD</t>
  </si>
  <si>
    <t>Heating Oil/Gas AG</t>
  </si>
  <si>
    <t>Janitorial P</t>
  </si>
  <si>
    <t>Janitorial WT</t>
  </si>
  <si>
    <t>Janitorial AG</t>
  </si>
  <si>
    <t>Add'l Security Costs</t>
  </si>
  <si>
    <t>Trash Removal SS</t>
  </si>
  <si>
    <t>Trash Removal WT</t>
  </si>
  <si>
    <t>Trash Removal TD</t>
  </si>
  <si>
    <t>Trash Removal AG</t>
  </si>
  <si>
    <t>Water &amp; WW SS</t>
  </si>
  <si>
    <t>Water &amp; WW WT</t>
  </si>
  <si>
    <t>Water &amp; WW AG</t>
  </si>
  <si>
    <t>Telephone WT</t>
  </si>
  <si>
    <t>Telephone CA</t>
  </si>
  <si>
    <t>Telephone AG</t>
  </si>
  <si>
    <t>Cell Phone WT</t>
  </si>
  <si>
    <t>Cell Phone TD</t>
  </si>
  <si>
    <t>Cell Phone CA</t>
  </si>
  <si>
    <t>Cell Phone AG</t>
  </si>
  <si>
    <t xml:space="preserve">           Application/Initiation Fee</t>
  </si>
  <si>
    <t>Labor Expense</t>
  </si>
  <si>
    <t>Labor</t>
  </si>
  <si>
    <t xml:space="preserve">Labor - Lines                        </t>
  </si>
  <si>
    <t xml:space="preserve">Labor - Meters                     </t>
  </si>
  <si>
    <t>Labor - Services</t>
  </si>
  <si>
    <t xml:space="preserve">Labor - Structures and Improvements                      </t>
  </si>
  <si>
    <t>Labor - Reservoirs and Standpipes</t>
  </si>
  <si>
    <t>Labor - Mains</t>
  </si>
  <si>
    <t>Labor - Meters</t>
  </si>
  <si>
    <t>Labor - Hydrants</t>
  </si>
  <si>
    <t>Labor - Meter Reading</t>
  </si>
  <si>
    <t>Labor - Customer Accounts</t>
  </si>
  <si>
    <t xml:space="preserve">       ITC</t>
  </si>
  <si>
    <t>Misc. Operatiing</t>
  </si>
  <si>
    <t>DA</t>
  </si>
  <si>
    <t>301000-Organization</t>
  </si>
  <si>
    <t>301000</t>
  </si>
  <si>
    <t>302000-Franchises</t>
  </si>
  <si>
    <t>302000</t>
  </si>
  <si>
    <t>303200-Land &amp; Land Rights-Supply</t>
  </si>
  <si>
    <t>303200</t>
  </si>
  <si>
    <t>303300-Land &amp; Land Rights-Pumping</t>
  </si>
  <si>
    <t>303300</t>
  </si>
  <si>
    <t>303400-Land &amp; Land Rights-Treatment</t>
  </si>
  <si>
    <t>303400</t>
  </si>
  <si>
    <t>303500-Land &amp; Land Rights-T&amp;D</t>
  </si>
  <si>
    <t>303500</t>
  </si>
  <si>
    <t>304100-Struct &amp; Imp-Supply</t>
  </si>
  <si>
    <t>304100</t>
  </si>
  <si>
    <t>304200-Struct &amp; Imp-Pumping</t>
  </si>
  <si>
    <t>304200</t>
  </si>
  <si>
    <t>304300-Struct &amp; Imp-Treatment</t>
  </si>
  <si>
    <t>304300</t>
  </si>
  <si>
    <t>304400-Struct &amp; Imp-T&amp;D</t>
  </si>
  <si>
    <t>304400</t>
  </si>
  <si>
    <t>304500-Struct &amp; Imp-General</t>
  </si>
  <si>
    <t>304500</t>
  </si>
  <si>
    <t>304600-Struct &amp; Imp-Offices</t>
  </si>
  <si>
    <t>304600</t>
  </si>
  <si>
    <t>304610-Struct &amp; Imp-HVAC</t>
  </si>
  <si>
    <t>304610</t>
  </si>
  <si>
    <t>304700-Struct &amp; Imp-Store,Shop,Gar</t>
  </si>
  <si>
    <t>304700</t>
  </si>
  <si>
    <t>304800-Struct &amp; Imp-Misc</t>
  </si>
  <si>
    <t>304800</t>
  </si>
  <si>
    <t>305000-Collect &amp; Impound Reservoirs</t>
  </si>
  <si>
    <t>305000</t>
  </si>
  <si>
    <t>306000-Lake, River &amp; Other Intakes</t>
  </si>
  <si>
    <t>306000</t>
  </si>
  <si>
    <t>309000-Supply Mains</t>
  </si>
  <si>
    <t>309000</t>
  </si>
  <si>
    <t>310000-Power Generation Equip</t>
  </si>
  <si>
    <t>310000</t>
  </si>
  <si>
    <t>311200-Pump Eqp Electric</t>
  </si>
  <si>
    <t>311200</t>
  </si>
  <si>
    <t>311300-Pump Eqp Diesel</t>
  </si>
  <si>
    <t>311300</t>
  </si>
  <si>
    <t>311400-Pump Eqp Hydraulic</t>
  </si>
  <si>
    <t>311400</t>
  </si>
  <si>
    <t>311520-Pump Eqp-SOS &amp; Pumping</t>
  </si>
  <si>
    <t>311520</t>
  </si>
  <si>
    <t>311530-Pump Eqp Wtr Treatment</t>
  </si>
  <si>
    <t>311530</t>
  </si>
  <si>
    <t>311540-Pumping Equipment TD</t>
  </si>
  <si>
    <t>311540</t>
  </si>
  <si>
    <t>320100-WT Equip Non-Media</t>
  </si>
  <si>
    <t>320100</t>
  </si>
  <si>
    <t>320200-WT Equip Filter Media</t>
  </si>
  <si>
    <t>320200</t>
  </si>
  <si>
    <t>330000-Dist Reservoirs &amp; Standpipes</t>
  </si>
  <si>
    <t>330000</t>
  </si>
  <si>
    <t>330100-Elevated Tanks &amp; Standpipes</t>
  </si>
  <si>
    <t>330100</t>
  </si>
  <si>
    <t>330200-Ground Level Tanks</t>
  </si>
  <si>
    <t>330200</t>
  </si>
  <si>
    <t>330400-Clearwell</t>
  </si>
  <si>
    <t>330400</t>
  </si>
  <si>
    <t>331001-TD Mains Not Classified</t>
  </si>
  <si>
    <t>331001</t>
  </si>
  <si>
    <t>331100-TD Mains 4in &amp; Less</t>
  </si>
  <si>
    <t>331100</t>
  </si>
  <si>
    <t>331200-TD Mains 6in to 8in</t>
  </si>
  <si>
    <t>331200</t>
  </si>
  <si>
    <t>331300-TD Mains 10in to 16in</t>
  </si>
  <si>
    <t>331300</t>
  </si>
  <si>
    <t>331400-TD Mains 18in &amp; Grtr</t>
  </si>
  <si>
    <t>331400</t>
  </si>
  <si>
    <t>333000-Services</t>
  </si>
  <si>
    <t>333000</t>
  </si>
  <si>
    <t>334100-Meters</t>
  </si>
  <si>
    <t>334100</t>
  </si>
  <si>
    <t>334110-Meters Bronze Case</t>
  </si>
  <si>
    <t>334110</t>
  </si>
  <si>
    <t>334120-Meters Plastic Case</t>
  </si>
  <si>
    <t>334120</t>
  </si>
  <si>
    <t>334130-Meters Other</t>
  </si>
  <si>
    <t>334130</t>
  </si>
  <si>
    <t>334131-Meter Reading Units</t>
  </si>
  <si>
    <t>334131</t>
  </si>
  <si>
    <t>334200-Meter Installations</t>
  </si>
  <si>
    <t>334200</t>
  </si>
  <si>
    <t>334300-Meter Vaults</t>
  </si>
  <si>
    <t>334300</t>
  </si>
  <si>
    <t>335000-Hydrants</t>
  </si>
  <si>
    <t>335000</t>
  </si>
  <si>
    <t>339100-Other P/E-Intangible</t>
  </si>
  <si>
    <t>339100</t>
  </si>
  <si>
    <t>339600-Other P/E-CPS</t>
  </si>
  <si>
    <t>339600</t>
  </si>
  <si>
    <t>340100-Office Furniture &amp; Equip</t>
  </si>
  <si>
    <t>340100</t>
  </si>
  <si>
    <t>340210-Comp &amp; Periph Mainframe</t>
  </si>
  <si>
    <t>340210</t>
  </si>
  <si>
    <t>340220-Comp &amp; Periph Personal</t>
  </si>
  <si>
    <t>340220</t>
  </si>
  <si>
    <t>340230-Comp &amp; Periph Other</t>
  </si>
  <si>
    <t>340230</t>
  </si>
  <si>
    <t>340240-Comp &amp; Periph Capital Lease</t>
  </si>
  <si>
    <t>340240</t>
  </si>
  <si>
    <t>340300-Computer Software</t>
  </si>
  <si>
    <t>340300</t>
  </si>
  <si>
    <t>340320-Comp Software Personal</t>
  </si>
  <si>
    <t>340320</t>
  </si>
  <si>
    <t>340325-Comp Software Customized</t>
  </si>
  <si>
    <t>340325</t>
  </si>
  <si>
    <t>340330-Comp Software Other</t>
  </si>
  <si>
    <t>340330</t>
  </si>
  <si>
    <t>340500-Other Office Equipment</t>
  </si>
  <si>
    <t>340500</t>
  </si>
  <si>
    <t>341100-Trans Equip Lt Duty Trks</t>
  </si>
  <si>
    <t>341100</t>
  </si>
  <si>
    <t>341200-Trans Equip Hvy Duty Trks</t>
  </si>
  <si>
    <t>341200</t>
  </si>
  <si>
    <t>341300-Trans Equip Autos</t>
  </si>
  <si>
    <t>341300</t>
  </si>
  <si>
    <t>341400-Trans Equip Other</t>
  </si>
  <si>
    <t>341400</t>
  </si>
  <si>
    <t>342000-Stores Equipment</t>
  </si>
  <si>
    <t>342000</t>
  </si>
  <si>
    <t>343000-Tools,Shop,Garage Equip</t>
  </si>
  <si>
    <t>343000</t>
  </si>
  <si>
    <t>344000-Laboratory Equipment</t>
  </si>
  <si>
    <t>344000</t>
  </si>
  <si>
    <t>345000-Power Operated Equipment</t>
  </si>
  <si>
    <t>345000</t>
  </si>
  <si>
    <t>346100-Comm Equip Non-Telephone</t>
  </si>
  <si>
    <t>346100</t>
  </si>
  <si>
    <t>346190-Remote Control &amp; Instrument</t>
  </si>
  <si>
    <t>346190</t>
  </si>
  <si>
    <t>346200-Comm Equip Telephone</t>
  </si>
  <si>
    <t>346200</t>
  </si>
  <si>
    <t>347000-Misc Equipment</t>
  </si>
  <si>
    <t>347000</t>
  </si>
  <si>
    <t>348000-Other Tangible Property</t>
  </si>
  <si>
    <t>348000</t>
  </si>
  <si>
    <t>354200-WW Struct &amp; Imp Collection</t>
  </si>
  <si>
    <t>354200</t>
  </si>
  <si>
    <t>340315-Comp Software Specia</t>
  </si>
  <si>
    <t>340315</t>
  </si>
  <si>
    <t>339300-Other P/E-Treatment</t>
  </si>
  <si>
    <t>339300</t>
  </si>
  <si>
    <t>Deprectiation Expense</t>
  </si>
  <si>
    <t xml:space="preserve">CIAC </t>
  </si>
  <si>
    <t>A</t>
  </si>
  <si>
    <t>L</t>
  </si>
  <si>
    <t>C</t>
  </si>
  <si>
    <t>E</t>
  </si>
  <si>
    <t>Net depreciation Exp</t>
  </si>
  <si>
    <t>Power Generation Equipment</t>
  </si>
  <si>
    <t xml:space="preserve">Hydraulic Pumping Equipment          </t>
  </si>
  <si>
    <t>SOS and Pumping Equipment</t>
  </si>
  <si>
    <t>T &amp; D Pumping Equipment</t>
  </si>
  <si>
    <t>trans 10"=&gt;</t>
  </si>
  <si>
    <t>&lt;10"</t>
  </si>
  <si>
    <t>Communication Equipment - Non-Telephone</t>
  </si>
  <si>
    <t>Remote Control and Instrument</t>
  </si>
  <si>
    <t>Communication Equipment - Telephone</t>
  </si>
  <si>
    <t>POWER GENERATION EQUIPMENT</t>
  </si>
  <si>
    <t>T &amp; D MAINS - 4IN OR LESS</t>
  </si>
  <si>
    <t>T &amp; D MAINS - NOT CLASSIFIED</t>
  </si>
  <si>
    <t>T &amp; D MAINS - 6IN TO 8IN</t>
  </si>
  <si>
    <t>T &amp; D MAINS - 10IN TO 16 IN</t>
  </si>
  <si>
    <t>T &amp; D MAINS - 18IN OR GREATER</t>
  </si>
  <si>
    <t>METER READING UNITS</t>
  </si>
  <si>
    <t>COMPUTER SOFTWARE</t>
  </si>
  <si>
    <t>COMPUTER SOFTWARE - CUSTOMIZED</t>
  </si>
  <si>
    <t>COMPUTER SOFTWARE - SPECIAL</t>
  </si>
  <si>
    <t>OTHE P/E TREATMENT</t>
  </si>
  <si>
    <t>AND COR</t>
  </si>
  <si>
    <t>PUMPING EQUIPMENT WT</t>
  </si>
  <si>
    <t>WW STRUCTURE AND IMPROV</t>
  </si>
  <si>
    <t>311000-Pumping Equipment</t>
  </si>
  <si>
    <t xml:space="preserve">Support Services   </t>
  </si>
  <si>
    <t>CWIP - Pumping</t>
  </si>
  <si>
    <t xml:space="preserve">Organization                      </t>
  </si>
  <si>
    <t xml:space="preserve">Franchise and Consents            </t>
  </si>
  <si>
    <t>Other P/E Treatment</t>
  </si>
  <si>
    <t xml:space="preserve">Land and Land Rights - SS         </t>
  </si>
  <si>
    <t xml:space="preserve">Collecting &amp;Impounding Reservoirs </t>
  </si>
  <si>
    <t>Pumping Land &amp; Land Rights</t>
  </si>
  <si>
    <t>Hydraulic Pumping Equipement</t>
  </si>
  <si>
    <t>Other Pumping Equipment</t>
  </si>
  <si>
    <t>Pumping Equipment - SS</t>
  </si>
  <si>
    <t>Land and Land Rights</t>
  </si>
  <si>
    <t xml:space="preserve">Water Treat Equipment         </t>
  </si>
  <si>
    <t>WT Filter Media</t>
  </si>
  <si>
    <t>Land and Land Rights - T&amp;D</t>
  </si>
  <si>
    <t>Pumping Equipment - WT</t>
  </si>
  <si>
    <t xml:space="preserve">  Not Classified</t>
  </si>
  <si>
    <t xml:space="preserve">  6 inch to 8 inch</t>
  </si>
  <si>
    <t xml:space="preserve">  10 inch to 16 inch</t>
  </si>
  <si>
    <t xml:space="preserve">  4 inch or less</t>
  </si>
  <si>
    <t xml:space="preserve">  18 inch or Greater</t>
  </si>
  <si>
    <t xml:space="preserve">Fire Hydrants                     </t>
  </si>
  <si>
    <t xml:space="preserve">Office Structures                 </t>
  </si>
  <si>
    <t>Computer Equipment and Software</t>
  </si>
  <si>
    <t>Transportation Equip</t>
  </si>
  <si>
    <t>Pumping Equipment  - T&amp;D</t>
  </si>
  <si>
    <t>NET ACCUM DEPR</t>
  </si>
  <si>
    <t>The weighting of the factors is based on the ratio of the capacity required for a 10 hour demand of fire flow, as related to total storage capacity.  The calculation is shown on the following page.</t>
  </si>
  <si>
    <t>The weighting of the factors is based on the ratio of the capacity required for a 10 hour demand of fire flow, as related to total storage capacity.</t>
  </si>
  <si>
    <t>Materials and Supplies</t>
  </si>
  <si>
    <t>Deferred Maintenance - Tank Painting</t>
  </si>
  <si>
    <t xml:space="preserve">       Other Taxes and Licenses     </t>
  </si>
  <si>
    <t>Shipping and Postage</t>
  </si>
  <si>
    <t>DEV</t>
  </si>
  <si>
    <t>ADVANCES</t>
  </si>
  <si>
    <t xml:space="preserve">Less:  Misc. Service      </t>
  </si>
  <si>
    <t xml:space="preserve">           Rent</t>
  </si>
  <si>
    <t xml:space="preserve">           Rent I/C</t>
  </si>
  <si>
    <t xml:space="preserve">           NSF Return Check Charge</t>
  </si>
  <si>
    <t xml:space="preserve">           Late Payment Fee</t>
  </si>
  <si>
    <t>Water Treat Filter Media</t>
  </si>
  <si>
    <t>Computer Software - Special - CIS</t>
  </si>
  <si>
    <t>Computer Software - Special - Other</t>
  </si>
  <si>
    <t>COR</t>
  </si>
  <si>
    <t>9/23</t>
  </si>
  <si>
    <t>Year Ending 9/30/2012</t>
  </si>
  <si>
    <t>Total Maximum Hour - see booster file</t>
  </si>
  <si>
    <t>9/29</t>
  </si>
  <si>
    <t>7/12</t>
  </si>
  <si>
    <t>*Adjusted to reflect that approximately 34,663 residential customers are served by 1-inch service lines each serving two residences.</t>
  </si>
  <si>
    <t>udated 2015</t>
  </si>
  <si>
    <t xml:space="preserve">           Usage Data</t>
  </si>
  <si>
    <t>SUMMARY OF AVERAGE DAY AND PEAK DAY DELIVERY FOR THE YEARS 2000-2014</t>
  </si>
  <si>
    <t xml:space="preserve">  SUPERVISION AND ENGINEERING AND MISCELLANEOUS EXPENSES.</t>
  </si>
  <si>
    <t>FACTOR 11.  ALLOCATION OF TRANSMISSION AND DISTRIBUTION OPERATION</t>
  </si>
  <si>
    <t>FACTOR 12.  ALLOCATION OF TRANSMISSION AND DISTRIBUTION MAINTENANCE</t>
  </si>
  <si>
    <t xml:space="preserve">   SUPERVISION AND ENGINEERING, STRUCTURES AND IMPROVEMENTS, AND OTHER</t>
  </si>
  <si>
    <t xml:space="preserve">   EXPENSES.</t>
  </si>
  <si>
    <t xml:space="preserve">Administrative &amp; General Salaries  </t>
  </si>
  <si>
    <t>Security</t>
  </si>
  <si>
    <t>Misc Maint</t>
  </si>
  <si>
    <t>Shipping, Postage and Printing</t>
  </si>
  <si>
    <t>??????</t>
  </si>
  <si>
    <t>Community Relations</t>
  </si>
  <si>
    <t>FACTOR 3.  ALLOCATION OF COSTS ASSOCIATED WITH FACILITIES SERVING BASE, MAXIMUM DAY EXTRA</t>
  </si>
  <si>
    <t xml:space="preserve">   CAPACITY AND FIRE PROTECTION FUNCTIONS.</t>
  </si>
  <si>
    <t>The weighting of the factors is based on the maximum day ratio of 1.75, based on a review of maximum day ratios experienced during the period 2000 through 2014 (see Schedule D).</t>
  </si>
  <si>
    <t>FACTOR 1.  ALLOCATION OF COSTS WHICH VARY WITH THE AMOUNT OF WATER</t>
  </si>
  <si>
    <t xml:space="preserve">  CONSUMED.</t>
  </si>
  <si>
    <t>(a) Includes Miscellaneous Water Sales.</t>
  </si>
  <si>
    <t>340301</t>
  </si>
  <si>
    <t>340300-Computer Software-BT</t>
  </si>
  <si>
    <t>Computer Mainframe Software BT</t>
  </si>
  <si>
    <t>under present</t>
  </si>
  <si>
    <t>under proposed rates &gt;.&gt;&gt;&gt;</t>
  </si>
  <si>
    <t>Rents WT</t>
  </si>
  <si>
    <t>Deferred Debits - Source of Supply</t>
  </si>
  <si>
    <t xml:space="preserve">The weighting of the factors is based on the potential demand of general and fire protection service.  The bases for the potential demand of general service are the maximum day ratio of 1.75 and the average daily system sendout for year ending 2014 of 38.233 MGD.  The system demand for fire protection is 10,000 Gallons per minute for 10 hours.    </t>
  </si>
  <si>
    <t>The weighting of the factors is based on the potential demand of general and fire protection service.  The bases for the potential demand of general service are the maximum hour ratio of 2.5 and the average daily system sendout for the  year ending 2014 of 38.233 MGD.  The system demand for fire protection is 10,000 gallons per minute.</t>
  </si>
  <si>
    <t>Unrecovered Public Fire</t>
  </si>
  <si>
    <t>COST OF SERVICE FOR THE TWELVE MONTHS ENDED AUGUST 31, 2017, ALLOCATED TO CUSTOMER CLASSIFICATIONS</t>
  </si>
  <si>
    <t>COST OF SERVICE FOR THE TWELVE MONTHS ENDED AUGUST 31, 2017, ALLOCATED TO FUNCTIONAL CLASSIFICATIONS</t>
  </si>
  <si>
    <t>Meter Charges, Per Month</t>
  </si>
  <si>
    <t xml:space="preserve">   Residential</t>
  </si>
  <si>
    <t xml:space="preserve">   Commercial</t>
  </si>
  <si>
    <t xml:space="preserve">   Industrial</t>
  </si>
  <si>
    <t xml:space="preserve">   Other Public Authority</t>
  </si>
  <si>
    <t xml:space="preserve">   Sales for Resale</t>
  </si>
  <si>
    <t>FOR THE TEST YEAR ENDED AUGUST 31, 2017</t>
  </si>
  <si>
    <t>FACTOR 3.  ALLOCATION OF COSTS ASSOCIATED WITH FACILITIES SERVING BASE,</t>
  </si>
  <si>
    <t xml:space="preserve">  MAXIMUM DAY EXTRA CAPACITY AND FIRE PROTECTION FUNCTIONS, cont.</t>
  </si>
  <si>
    <t>FACTOR 4.  ALLOCATION OF COSTS ASSOCIATED WITH FACILITIES SERVING BASE AND MAXIMUM HOUR EXTRA CAPACITY</t>
  </si>
  <si>
    <t xml:space="preserve">     FUNCTIONS.</t>
  </si>
  <si>
    <t>FACTOR 19.  ALLOCATION OF REGULATORY COMMISSION EXPENSES, ASSESSMENTS</t>
  </si>
  <si>
    <t xml:space="preserve">     AND OTHER WATER REVENUES.</t>
  </si>
  <si>
    <t>CIAC</t>
  </si>
  <si>
    <t>MGMT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</si>
</sst>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quot;$&quot;#,##0"/>
    <numFmt numFmtId="172" formatCode="_(* #,##0.0000_);_(* \(#,##0.0000\);_(* &quot;-&quot;????_);_(@_)"/>
    <numFmt numFmtId="173" formatCode="0.0%"/>
    <numFmt numFmtId="174" formatCode="_(* #,##0_);_(* \(#,##0\);_(* &quot;-&quot;??_);_(@_)"/>
    <numFmt numFmtId="175" formatCode="_(* #,##0.0_);_(* \(#,##0.0\);_(* &quot;-&quot;??_);_(@_)"/>
    <numFmt numFmtId="176" formatCode="#,##0;[Red]\-#,##0"/>
    <numFmt numFmtId="177" formatCode="_(&quot;$&quot;* #,##0_);_(&quot;$&quot;* \(#,##0\);_(&quot;$&quot;* &quot;-&quot;??_);_(@_)"/>
    <numFmt numFmtId="178" formatCode="_(* #,##0.000_);_(* \(#,##0.000\);_(* &quot;-&quot;??_);_(@_)"/>
    <numFmt numFmtId="179" formatCode="_(&quot;$&quot;* #,##0.00_);_(&quot;$&quot;* \(#,##0.00\);_(&quot;$&quot;* &quot;-&quot;_);_(@_)"/>
    <numFmt numFmtId="180" formatCode="_(* #,##0.0000_);_(* \(#,##0.0000\);_(* &quot;-&quot;??_);_(@_)"/>
    <numFmt numFmtId="181" formatCode="_(* #,##0.0_);_(* \(#,##0.0\);_(* &quot;-&quot;?_);_(@_)"/>
    <numFmt numFmtId="182" formatCode="_(&quot;$&quot;* #,##0.000_);_(&quot;$&quot;* \(#,##0.000\);_(&quot;$&quot;* &quot;-&quot;??_);_(@_)"/>
    <numFmt numFmtId="183" formatCode="_(* #,##0.00000_);_(* \(#,##0.00000\);_(* &quot;-&quot;??_);_(@_)"/>
    <numFmt numFmtId="184" formatCode="_(&quot;$&quot;* #,##0.0000_);_(&quot;$&quot;* \(#,##0.0000\);_(&quot;$&quot;* &quot;-&quot;??_);_(@_)"/>
    <numFmt numFmtId="185" formatCode="_(&quot;$&quot;* #,##0.00000_);_(&quot;$&quot;* \(#,##0.00000\);_(&quot;$&quot;* &quot;-&quot;??_);_(@_)"/>
    <numFmt numFmtId="186" formatCode="#,##0.000000"/>
    <numFmt numFmtId="187" formatCode="#,##0.000000000"/>
    <numFmt numFmtId="188" formatCode="#,##0.0000000000"/>
    <numFmt numFmtId="189" formatCode="#,##0.000"/>
    <numFmt numFmtId="190" formatCode="#,##0.00000"/>
    <numFmt numFmtId="191" formatCode="#,##0.0000000_);\(#,##0.0000000\)"/>
    <numFmt numFmtId="192" formatCode="#,##0.000_);\(#,##0.000\)"/>
  </numFmts>
  <fonts count="47" x14ac:knownFonts="1">
    <font>
      <sz val="12"/>
      <name val="Arial"/>
    </font>
    <font>
      <b/>
      <sz val="10"/>
      <name val="Arial"/>
      <family val="2"/>
    </font>
    <font>
      <sz val="10"/>
      <name val="Arial"/>
      <family val="2"/>
    </font>
    <font>
      <sz val="10"/>
      <color indexed="8"/>
      <name val="Arial"/>
      <family val="2"/>
    </font>
    <font>
      <sz val="12"/>
      <name val="Arial"/>
      <family val="2"/>
    </font>
    <font>
      <sz val="10"/>
      <color indexed="12"/>
      <name val="Arial"/>
      <family val="2"/>
    </font>
    <font>
      <sz val="12"/>
      <color indexed="8"/>
      <name val="Arial"/>
      <family val="2"/>
    </font>
    <font>
      <sz val="10"/>
      <color indexed="10"/>
      <name val="Arial"/>
      <family val="2"/>
    </font>
    <font>
      <sz val="10"/>
      <name val="Arial"/>
      <family val="2"/>
    </font>
    <font>
      <u/>
      <sz val="10"/>
      <name val="Arial"/>
      <family val="2"/>
    </font>
    <font>
      <sz val="12"/>
      <name val="Arial"/>
      <family val="2"/>
    </font>
    <font>
      <sz val="9"/>
      <name val="Arial"/>
      <family val="2"/>
    </font>
    <font>
      <b/>
      <sz val="10"/>
      <name val="Arial"/>
      <family val="2"/>
    </font>
    <font>
      <sz val="10"/>
      <color indexed="12"/>
      <name val="Arial"/>
      <family val="2"/>
    </font>
    <font>
      <sz val="8"/>
      <name val="Arial"/>
      <family val="2"/>
    </font>
    <font>
      <sz val="11"/>
      <name val="Arial"/>
      <family val="2"/>
    </font>
    <font>
      <b/>
      <sz val="10"/>
      <color indexed="10"/>
      <name val="Arial"/>
      <family val="2"/>
    </font>
    <font>
      <u/>
      <sz val="12"/>
      <name val="Arial"/>
      <family val="2"/>
    </font>
    <font>
      <sz val="10"/>
      <color indexed="17"/>
      <name val="Arial"/>
      <family val="2"/>
    </font>
    <font>
      <sz val="10"/>
      <color indexed="10"/>
      <name val="Arial"/>
      <family val="2"/>
    </font>
    <font>
      <sz val="9"/>
      <name val="Arial"/>
      <family val="2"/>
    </font>
    <font>
      <sz val="12"/>
      <name val="Arial"/>
      <family val="2"/>
    </font>
    <font>
      <sz val="12"/>
      <color indexed="10"/>
      <name val="Arial"/>
      <family val="2"/>
    </font>
    <font>
      <b/>
      <sz val="12"/>
      <color indexed="10"/>
      <name val="Arial"/>
      <family val="2"/>
    </font>
    <font>
      <sz val="10"/>
      <color indexed="20"/>
      <name val="Arial"/>
      <family val="2"/>
    </font>
    <font>
      <sz val="10"/>
      <color indexed="17"/>
      <name val="Arial"/>
      <family val="2"/>
    </font>
    <font>
      <b/>
      <u/>
      <sz val="10"/>
      <name val="Arial"/>
      <family val="2"/>
    </font>
    <font>
      <u val="singleAccounting"/>
      <sz val="10"/>
      <name val="Arial"/>
      <family val="2"/>
    </font>
    <font>
      <u/>
      <sz val="12"/>
      <name val="Arial"/>
      <family val="2"/>
    </font>
    <font>
      <sz val="12"/>
      <color rgb="FFFF0000"/>
      <name val="Arial"/>
      <family val="2"/>
    </font>
    <font>
      <sz val="10"/>
      <color rgb="FFFF0000"/>
      <name val="Arial"/>
      <family val="2"/>
    </font>
    <font>
      <sz val="11"/>
      <color theme="1"/>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u/>
      <sz val="10"/>
      <color indexed="8"/>
      <name val="Calibri"/>
      <family val="2"/>
      <scheme val="minor"/>
    </font>
    <font>
      <b/>
      <u/>
      <sz val="10"/>
      <color indexed="8"/>
      <name val="Calibri"/>
      <family val="2"/>
      <scheme val="minor"/>
    </font>
    <font>
      <b/>
      <sz val="8"/>
      <color indexed="81"/>
      <name val="Tahoma"/>
      <family val="2"/>
    </font>
    <font>
      <sz val="8"/>
      <color indexed="81"/>
      <name val="Tahoma"/>
      <family val="2"/>
    </font>
    <font>
      <b/>
      <sz val="11"/>
      <color theme="1"/>
      <name val="Calibri"/>
      <family val="2"/>
      <scheme val="minor"/>
    </font>
    <font>
      <sz val="9"/>
      <color rgb="FFFF0000"/>
      <name val="Arial"/>
      <family val="2"/>
    </font>
    <font>
      <b/>
      <sz val="12"/>
      <name val="Arial"/>
      <family val="2"/>
    </font>
    <font>
      <sz val="11"/>
      <color indexed="10"/>
      <name val="Arial"/>
      <family val="2"/>
    </font>
    <font>
      <sz val="11"/>
      <color indexed="8"/>
      <name val="Arial"/>
      <family val="2"/>
    </font>
    <font>
      <sz val="11"/>
      <color rgb="FFFF0000"/>
      <name val="Arial"/>
      <family val="2"/>
    </font>
    <font>
      <u/>
      <sz val="11"/>
      <name val="Arial"/>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s>
  <borders count="7">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s>
  <cellStyleXfs count="20">
    <xf numFmtId="164" fontId="0" fillId="0" borderId="0"/>
    <xf numFmtId="43" fontId="15"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9" fontId="2" fillId="0" borderId="0" applyFont="0" applyFill="0" applyBorder="0" applyAlignment="0" applyProtection="0"/>
    <xf numFmtId="0" fontId="31" fillId="0" borderId="0"/>
    <xf numFmtId="3" fontId="6" fillId="0" borderId="0"/>
    <xf numFmtId="44" fontId="31" fillId="0" borderId="0" applyFont="0" applyFill="0" applyBorder="0" applyAlignment="0" applyProtection="0"/>
    <xf numFmtId="43" fontId="31" fillId="0" borderId="0" applyFont="0" applyFill="0" applyBorder="0" applyAlignment="0" applyProtection="0"/>
    <xf numFmtId="0" fontId="2" fillId="0" borderId="0"/>
    <xf numFmtId="0" fontId="2" fillId="0" borderId="0"/>
  </cellStyleXfs>
  <cellXfs count="880">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xf numFmtId="0" fontId="2" fillId="0" borderId="1" xfId="0" applyNumberFormat="1" applyFont="1" applyBorder="1" applyAlignment="1">
      <alignment horizontal="centerContinuous"/>
    </xf>
    <xf numFmtId="164" fontId="2" fillId="0" borderId="0" xfId="0" applyFont="1" applyAlignment="1"/>
    <xf numFmtId="3" fontId="2" fillId="0" borderId="2" xfId="0" applyNumberFormat="1" applyFont="1" applyBorder="1" applyAlignment="1"/>
    <xf numFmtId="165" fontId="2" fillId="0" borderId="2" xfId="0" applyNumberFormat="1" applyFont="1" applyBorder="1" applyAlignment="1"/>
    <xf numFmtId="3" fontId="2" fillId="0" borderId="0" xfId="0" applyNumberFormat="1" applyFont="1" applyAlignment="1"/>
    <xf numFmtId="0" fontId="2" fillId="0" borderId="1"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xf numFmtId="165" fontId="2" fillId="0" borderId="0" xfId="0" applyNumberFormat="1" applyFont="1" applyAlignment="1"/>
    <xf numFmtId="0" fontId="0" fillId="0" borderId="0" xfId="0" applyNumberFormat="1" applyProtection="1">
      <protection locked="0"/>
    </xf>
    <xf numFmtId="0" fontId="2" fillId="0" borderId="0" xfId="6" applyNumberFormat="1" applyFont="1" applyAlignment="1">
      <alignment horizontal="centerContinuous"/>
    </xf>
    <xf numFmtId="0" fontId="4" fillId="0" borderId="0" xfId="6" applyAlignment="1"/>
    <xf numFmtId="0" fontId="4" fillId="0" borderId="0" xfId="0" applyNumberFormat="1" applyFont="1" applyAlignment="1">
      <alignment horizontal="centerContinuous"/>
    </xf>
    <xf numFmtId="0" fontId="4" fillId="0" borderId="0" xfId="0" applyNumberFormat="1" applyFont="1" applyAlignment="1" applyProtection="1">
      <protection locked="0"/>
    </xf>
    <xf numFmtId="0" fontId="2" fillId="0" borderId="0" xfId="0" applyNumberFormat="1" applyFont="1" applyAlignment="1">
      <alignment horizontal="right"/>
    </xf>
    <xf numFmtId="164" fontId="2" fillId="0" borderId="1" xfId="0" applyFont="1" applyBorder="1" applyAlignment="1"/>
    <xf numFmtId="164" fontId="2" fillId="0" borderId="2" xfId="0" applyFont="1" applyBorder="1" applyAlignment="1"/>
    <xf numFmtId="0" fontId="4" fillId="0" borderId="0" xfId="7" applyNumberFormat="1" applyFont="1" applyAlignment="1">
      <alignment horizontal="centerContinuous"/>
    </xf>
    <xf numFmtId="0" fontId="2" fillId="0" borderId="0" xfId="7" applyFont="1" applyAlignment="1"/>
    <xf numFmtId="0" fontId="2" fillId="0" borderId="0" xfId="7" applyNumberFormat="1" applyFont="1" applyAlignment="1"/>
    <xf numFmtId="2" fontId="2" fillId="0" borderId="0" xfId="7" applyNumberFormat="1" applyFont="1" applyAlignment="1"/>
    <xf numFmtId="164" fontId="2" fillId="0" borderId="0" xfId="7" applyNumberFormat="1" applyFont="1" applyAlignment="1"/>
    <xf numFmtId="0" fontId="4" fillId="0" borderId="0" xfId="3" applyNumberFormat="1" applyFont="1" applyAlignment="1">
      <alignment horizontal="centerContinuous"/>
    </xf>
    <xf numFmtId="0" fontId="2" fillId="0" borderId="0" xfId="3" applyNumberFormat="1" applyFont="1" applyAlignment="1">
      <alignment horizontal="centerContinuous"/>
    </xf>
    <xf numFmtId="0" fontId="2" fillId="0" borderId="0" xfId="3" applyNumberFormat="1" applyFont="1" applyAlignment="1"/>
    <xf numFmtId="0" fontId="4" fillId="0" borderId="0" xfId="3" applyAlignment="1"/>
    <xf numFmtId="164" fontId="2" fillId="0" borderId="0" xfId="3" applyNumberFormat="1" applyFont="1" applyAlignment="1"/>
    <xf numFmtId="0" fontId="4" fillId="0" borderId="0" xfId="3" applyNumberFormat="1" applyFont="1" applyAlignment="1"/>
    <xf numFmtId="0" fontId="2" fillId="0" borderId="0" xfId="8" applyNumberFormat="1" applyFont="1" applyAlignment="1">
      <alignment horizontal="centerContinuous"/>
    </xf>
    <xf numFmtId="0" fontId="2" fillId="0" borderId="0" xfId="8" applyNumberFormat="1" applyFont="1" applyAlignment="1"/>
    <xf numFmtId="0" fontId="4" fillId="0" borderId="0" xfId="4" applyNumberFormat="1" applyFont="1" applyAlignment="1">
      <alignment horizontal="centerContinuous"/>
    </xf>
    <xf numFmtId="0" fontId="2" fillId="0" borderId="0" xfId="4" applyNumberFormat="1" applyFont="1" applyAlignment="1">
      <alignment horizontal="centerContinuous"/>
    </xf>
    <xf numFmtId="0" fontId="2" fillId="0" borderId="0" xfId="4" applyNumberFormat="1" applyFont="1" applyAlignment="1"/>
    <xf numFmtId="167" fontId="2" fillId="0" borderId="0" xfId="4" applyNumberFormat="1" applyFont="1" applyAlignment="1"/>
    <xf numFmtId="0" fontId="4" fillId="0" borderId="0" xfId="5" applyNumberFormat="1" applyFont="1" applyAlignment="1">
      <alignment horizontal="centerContinuous"/>
    </xf>
    <xf numFmtId="0" fontId="2" fillId="0" borderId="0" xfId="5" applyNumberFormat="1" applyFont="1" applyAlignment="1">
      <alignment horizontal="centerContinuous"/>
    </xf>
    <xf numFmtId="0" fontId="4" fillId="0" borderId="0" xfId="5" applyAlignment="1"/>
    <xf numFmtId="0" fontId="2" fillId="0" borderId="0" xfId="5" applyNumberFormat="1" applyFont="1" applyAlignment="1"/>
    <xf numFmtId="0" fontId="2" fillId="0" borderId="0" xfId="5" applyNumberFormat="1" applyFont="1" applyAlignment="1">
      <alignment horizontal="center"/>
    </xf>
    <xf numFmtId="0" fontId="2" fillId="0" borderId="1" xfId="5" applyNumberFormat="1" applyFont="1" applyBorder="1" applyAlignment="1">
      <alignment horizontal="center"/>
    </xf>
    <xf numFmtId="3" fontId="2" fillId="0" borderId="0" xfId="5" applyNumberFormat="1" applyFont="1" applyAlignment="1"/>
    <xf numFmtId="3" fontId="2" fillId="0" borderId="2" xfId="5" applyNumberFormat="1" applyFont="1" applyBorder="1" applyAlignment="1"/>
    <xf numFmtId="0" fontId="4" fillId="0" borderId="0" xfId="5"/>
    <xf numFmtId="3" fontId="2" fillId="0" borderId="0" xfId="5" applyNumberFormat="1" applyFont="1" applyAlignment="1">
      <alignment horizontal="center"/>
    </xf>
    <xf numFmtId="4" fontId="2" fillId="0" borderId="0" xfId="5" applyNumberFormat="1" applyFont="1" applyAlignment="1"/>
    <xf numFmtId="10" fontId="2" fillId="0" borderId="0" xfId="5" applyNumberFormat="1" applyFont="1" applyAlignment="1"/>
    <xf numFmtId="10" fontId="2" fillId="0" borderId="0" xfId="5" applyNumberFormat="1" applyFont="1" applyAlignment="1" applyProtection="1">
      <protection locked="0"/>
    </xf>
    <xf numFmtId="0" fontId="4" fillId="0" borderId="0" xfId="5" applyNumberFormat="1" applyFont="1" applyAlignment="1"/>
    <xf numFmtId="3" fontId="2" fillId="0" borderId="1" xfId="5" applyNumberFormat="1" applyFont="1" applyBorder="1" applyAlignment="1">
      <alignment horizontal="center"/>
    </xf>
    <xf numFmtId="0" fontId="4" fillId="0" borderId="0" xfId="5" applyNumberFormat="1" applyProtection="1">
      <protection locked="0"/>
    </xf>
    <xf numFmtId="0" fontId="2" fillId="0" borderId="1" xfId="5" applyNumberFormat="1" applyFont="1" applyBorder="1" applyAlignment="1"/>
    <xf numFmtId="0" fontId="6" fillId="0" borderId="0" xfId="0" applyNumberFormat="1" applyFont="1" applyAlignment="1"/>
    <xf numFmtId="0" fontId="3" fillId="0" borderId="0" xfId="0" applyNumberFormat="1" applyFont="1" applyAlignment="1"/>
    <xf numFmtId="0" fontId="2" fillId="0" borderId="0" xfId="0" applyNumberFormat="1" applyFont="1" applyAlignment="1">
      <alignment horizontal="left"/>
    </xf>
    <xf numFmtId="164" fontId="2" fillId="0" borderId="0" xfId="0" applyNumberFormat="1" applyFont="1" applyAlignment="1"/>
    <xf numFmtId="0" fontId="7" fillId="0" borderId="0" xfId="0" applyNumberFormat="1" applyFont="1" applyAlignment="1"/>
    <xf numFmtId="0" fontId="8" fillId="0" borderId="0" xfId="0" applyNumberFormat="1" applyFont="1" applyAlignment="1" applyProtection="1">
      <protection locked="0"/>
    </xf>
    <xf numFmtId="0" fontId="8" fillId="0" borderId="0" xfId="0" applyNumberFormat="1" applyFont="1" applyAlignment="1" applyProtection="1">
      <alignment horizontal="center"/>
      <protection locked="0"/>
    </xf>
    <xf numFmtId="164" fontId="11" fillId="0" borderId="0" xfId="0" applyFont="1"/>
    <xf numFmtId="164" fontId="8" fillId="0" borderId="0" xfId="0" applyFont="1"/>
    <xf numFmtId="0" fontId="11" fillId="0" borderId="0" xfId="0" applyNumberFormat="1" applyFont="1" applyAlignment="1" applyProtection="1">
      <protection locked="0"/>
    </xf>
    <xf numFmtId="0" fontId="10" fillId="0" borderId="0" xfId="0" applyNumberFormat="1" applyFont="1" applyAlignment="1" applyProtection="1">
      <protection locked="0"/>
    </xf>
    <xf numFmtId="164" fontId="8" fillId="0" borderId="0" xfId="0" applyFont="1" applyAlignment="1">
      <alignment horizontal="center"/>
    </xf>
    <xf numFmtId="164" fontId="11" fillId="0" borderId="0" xfId="0" applyFont="1" applyAlignment="1">
      <alignment horizontal="center"/>
    </xf>
    <xf numFmtId="0" fontId="2" fillId="0" borderId="0" xfId="0" applyNumberFormat="1" applyFont="1" applyAlignment="1" applyProtection="1">
      <alignment horizontal="center"/>
      <protection locked="0"/>
    </xf>
    <xf numFmtId="164" fontId="8" fillId="0" borderId="3" xfId="0" applyFont="1" applyBorder="1" applyAlignment="1">
      <alignment horizontal="center"/>
    </xf>
    <xf numFmtId="37" fontId="8" fillId="0" borderId="0" xfId="0" applyNumberFormat="1" applyFont="1"/>
    <xf numFmtId="37" fontId="8" fillId="0" borderId="3" xfId="0" applyNumberFormat="1" applyFont="1" applyBorder="1"/>
    <xf numFmtId="168" fontId="8" fillId="0" borderId="0" xfId="0" applyNumberFormat="1" applyFont="1" applyBorder="1" applyAlignment="1">
      <alignment horizontal="center"/>
    </xf>
    <xf numFmtId="168" fontId="11" fillId="0" borderId="0" xfId="0" applyNumberFormat="1" applyFont="1" applyAlignment="1">
      <alignment horizontal="center"/>
    </xf>
    <xf numFmtId="168" fontId="8" fillId="0" borderId="0" xfId="0" applyNumberFormat="1" applyFont="1" applyAlignment="1">
      <alignment horizontal="center"/>
    </xf>
    <xf numFmtId="168" fontId="8" fillId="0" borderId="0" xfId="0" applyNumberFormat="1" applyFont="1" applyAlignment="1" applyProtection="1">
      <alignment horizontal="center"/>
      <protection locked="0"/>
    </xf>
    <xf numFmtId="168" fontId="2" fillId="0" borderId="0" xfId="0" applyNumberFormat="1" applyFont="1" applyAlignment="1" applyProtection="1">
      <alignment horizontal="center"/>
      <protection locked="0"/>
    </xf>
    <xf numFmtId="168" fontId="8" fillId="0" borderId="3" xfId="0" applyNumberFormat="1" applyFont="1" applyBorder="1" applyAlignment="1">
      <alignment horizontal="center"/>
    </xf>
    <xf numFmtId="37" fontId="8" fillId="0" borderId="0" xfId="0" applyNumberFormat="1" applyFont="1" applyAlignment="1" applyProtection="1">
      <protection locked="0"/>
    </xf>
    <xf numFmtId="37" fontId="8" fillId="0" borderId="0" xfId="0" applyNumberFormat="1" applyFont="1" applyAlignment="1">
      <alignment horizontal="center"/>
    </xf>
    <xf numFmtId="37" fontId="8" fillId="0" borderId="0" xfId="0" applyNumberFormat="1" applyFont="1" applyAlignment="1" applyProtection="1">
      <alignment horizontal="center"/>
      <protection locked="0"/>
    </xf>
    <xf numFmtId="37" fontId="8" fillId="0" borderId="3" xfId="0" applyNumberFormat="1" applyFont="1" applyBorder="1" applyAlignment="1" applyProtection="1">
      <alignment horizontal="center"/>
      <protection locked="0"/>
    </xf>
    <xf numFmtId="37" fontId="8" fillId="0" borderId="3" xfId="0" applyNumberFormat="1" applyFont="1" applyBorder="1" applyAlignment="1">
      <alignment horizontal="center"/>
    </xf>
    <xf numFmtId="37" fontId="2" fillId="0" borderId="0" xfId="0" applyNumberFormat="1" applyFont="1" applyAlignment="1" applyProtection="1">
      <protection locked="0"/>
    </xf>
    <xf numFmtId="37" fontId="8" fillId="0" borderId="0" xfId="0" applyNumberFormat="1" applyFont="1" applyBorder="1"/>
    <xf numFmtId="0" fontId="2" fillId="0" borderId="0" xfId="0" applyNumberFormat="1" applyFont="1" applyBorder="1" applyAlignment="1" applyProtection="1">
      <protection locked="0"/>
    </xf>
    <xf numFmtId="37" fontId="2" fillId="0" borderId="0" xfId="0" applyNumberFormat="1" applyFont="1" applyAlignment="1" applyProtection="1">
      <alignment horizontal="center"/>
      <protection locked="0"/>
    </xf>
    <xf numFmtId="164" fontId="2" fillId="0" borderId="4" xfId="0" applyFont="1" applyBorder="1" applyAlignment="1"/>
    <xf numFmtId="0" fontId="2" fillId="0" borderId="0" xfId="0" applyNumberFormat="1" applyFont="1" applyAlignment="1" applyProtection="1">
      <alignment horizontal="right"/>
      <protection locked="0"/>
    </xf>
    <xf numFmtId="3" fontId="2" fillId="0" borderId="0" xfId="0" applyNumberFormat="1" applyFont="1" applyBorder="1" applyAlignment="1"/>
    <xf numFmtId="164" fontId="2" fillId="0" borderId="0" xfId="0" applyNumberFormat="1" applyFont="1" applyAlignment="1" applyProtection="1">
      <alignment horizontal="right"/>
      <protection locked="0"/>
    </xf>
    <xf numFmtId="37" fontId="2" fillId="0" borderId="0" xfId="0" applyNumberFormat="1" applyFont="1" applyAlignment="1" applyProtection="1">
      <alignment horizontal="right"/>
      <protection locked="0"/>
    </xf>
    <xf numFmtId="37" fontId="2" fillId="0" borderId="1" xfId="0" applyNumberFormat="1" applyFont="1" applyBorder="1" applyAlignment="1"/>
    <xf numFmtId="164" fontId="2" fillId="0" borderId="0" xfId="0" applyFont="1" applyBorder="1" applyAlignment="1"/>
    <xf numFmtId="0" fontId="2" fillId="0" borderId="0" xfId="7" applyNumberFormat="1" applyFont="1" applyBorder="1" applyAlignment="1"/>
    <xf numFmtId="165" fontId="8" fillId="0" borderId="0" xfId="12" applyNumberFormat="1" applyFont="1" applyAlignment="1"/>
    <xf numFmtId="0" fontId="4" fillId="0" borderId="0" xfId="4" applyFont="1" applyAlignment="1"/>
    <xf numFmtId="165" fontId="2" fillId="0" borderId="0" xfId="5" applyNumberFormat="1" applyFont="1" applyBorder="1" applyAlignment="1"/>
    <xf numFmtId="164" fontId="10" fillId="0" borderId="0" xfId="0" applyFont="1" applyAlignment="1">
      <alignment horizontal="center"/>
    </xf>
    <xf numFmtId="170" fontId="2" fillId="0" borderId="0" xfId="0" applyNumberFormat="1" applyFont="1" applyAlignment="1"/>
    <xf numFmtId="170" fontId="2" fillId="0" borderId="0" xfId="0" applyNumberFormat="1" applyFont="1" applyAlignment="1" applyProtection="1">
      <protection locked="0"/>
    </xf>
    <xf numFmtId="0" fontId="8" fillId="0" borderId="0" xfId="12" applyNumberFormat="1" applyFont="1" applyAlignment="1">
      <alignment horizontal="centerContinuous"/>
    </xf>
    <xf numFmtId="0" fontId="8" fillId="0" borderId="0" xfId="12" applyFont="1" applyAlignment="1"/>
    <xf numFmtId="0" fontId="8" fillId="0" borderId="0" xfId="12" applyNumberFormat="1" applyFont="1" applyAlignment="1"/>
    <xf numFmtId="0" fontId="8" fillId="0" borderId="0" xfId="12" applyNumberFormat="1" applyFont="1" applyAlignment="1">
      <alignment horizontal="center"/>
    </xf>
    <xf numFmtId="0" fontId="8" fillId="0" borderId="1" xfId="12" applyNumberFormat="1" applyFont="1" applyBorder="1" applyAlignment="1">
      <alignment horizontal="centerContinuous"/>
    </xf>
    <xf numFmtId="0" fontId="8" fillId="0" borderId="1" xfId="12" applyNumberFormat="1" applyFont="1" applyBorder="1" applyAlignment="1">
      <alignment horizontal="center"/>
    </xf>
    <xf numFmtId="0" fontId="9" fillId="0" borderId="0" xfId="12" applyNumberFormat="1" applyFont="1" applyAlignment="1"/>
    <xf numFmtId="164" fontId="11" fillId="0" borderId="0" xfId="0" applyFont="1" applyBorder="1"/>
    <xf numFmtId="164" fontId="8" fillId="0" borderId="0" xfId="0" applyFont="1" applyBorder="1"/>
    <xf numFmtId="37" fontId="8" fillId="0" borderId="0" xfId="0" applyNumberFormat="1" applyFont="1" applyBorder="1" applyAlignment="1" applyProtection="1">
      <protection locked="0"/>
    </xf>
    <xf numFmtId="42" fontId="8" fillId="0" borderId="0" xfId="0" applyNumberFormat="1" applyFont="1" applyBorder="1"/>
    <xf numFmtId="42" fontId="8" fillId="0" borderId="0" xfId="0" applyNumberFormat="1" applyFont="1"/>
    <xf numFmtId="42" fontId="8" fillId="0" borderId="0" xfId="0" applyNumberFormat="1" applyFont="1" applyAlignment="1" applyProtection="1">
      <protection locked="0"/>
    </xf>
    <xf numFmtId="42" fontId="2" fillId="0" borderId="0" xfId="0" applyNumberFormat="1" applyFont="1" applyAlignment="1" applyProtection="1">
      <protection locked="0"/>
    </xf>
    <xf numFmtId="0" fontId="10" fillId="0" borderId="0" xfId="12" applyNumberFormat="1" applyFont="1" applyAlignment="1">
      <alignment horizontal="centerContinuous"/>
    </xf>
    <xf numFmtId="174" fontId="8" fillId="0" borderId="0" xfId="1" applyNumberFormat="1" applyFont="1"/>
    <xf numFmtId="174" fontId="2" fillId="0" borderId="0" xfId="1" applyNumberFormat="1" applyFont="1" applyAlignment="1" applyProtection="1">
      <protection locked="0"/>
    </xf>
    <xf numFmtId="164" fontId="12" fillId="0" borderId="0" xfId="0" applyFont="1"/>
    <xf numFmtId="1" fontId="2" fillId="0" borderId="0" xfId="7" applyNumberFormat="1" applyFont="1" applyAlignment="1"/>
    <xf numFmtId="0" fontId="4" fillId="0" borderId="0" xfId="7" applyFont="1" applyAlignment="1"/>
    <xf numFmtId="164" fontId="2" fillId="0" borderId="0" xfId="0" applyFont="1"/>
    <xf numFmtId="49" fontId="8" fillId="0" borderId="0" xfId="0" applyNumberFormat="1" applyFont="1" applyBorder="1" applyAlignment="1">
      <alignment horizontal="center"/>
    </xf>
    <xf numFmtId="1" fontId="8" fillId="0" borderId="0" xfId="0" applyNumberFormat="1" applyFont="1" applyBorder="1" applyAlignment="1">
      <alignment horizontal="center"/>
    </xf>
    <xf numFmtId="0" fontId="11" fillId="0" borderId="0" xfId="0" applyNumberFormat="1" applyFont="1" applyAlignment="1" applyProtection="1">
      <alignment horizontal="right"/>
      <protection locked="0"/>
    </xf>
    <xf numFmtId="169" fontId="8" fillId="0" borderId="0" xfId="0" applyNumberFormat="1" applyFont="1" applyAlignment="1" applyProtection="1">
      <protection locked="0"/>
    </xf>
    <xf numFmtId="0" fontId="7" fillId="0" borderId="0" xfId="0" applyNumberFormat="1" applyFont="1" applyAlignment="1" applyProtection="1">
      <protection locked="0"/>
    </xf>
    <xf numFmtId="170" fontId="16" fillId="0" borderId="0" xfId="0" applyNumberFormat="1" applyFont="1" applyAlignment="1" applyProtection="1">
      <alignment horizontal="left"/>
      <protection locked="0"/>
    </xf>
    <xf numFmtId="0" fontId="7" fillId="0" borderId="0" xfId="0" applyNumberFormat="1" applyFont="1" applyAlignment="1" applyProtection="1">
      <alignment horizontal="center"/>
      <protection locked="0"/>
    </xf>
    <xf numFmtId="37" fontId="7" fillId="0" borderId="0" xfId="0" applyNumberFormat="1" applyFont="1" applyAlignment="1" applyProtection="1">
      <alignment horizontal="center"/>
      <protection locked="0"/>
    </xf>
    <xf numFmtId="37" fontId="7" fillId="0" borderId="3" xfId="0" applyNumberFormat="1" applyFont="1" applyBorder="1" applyAlignment="1" applyProtection="1">
      <alignment horizontal="center"/>
      <protection locked="0"/>
    </xf>
    <xf numFmtId="0" fontId="7" fillId="0" borderId="3" xfId="0" applyNumberFormat="1" applyFont="1" applyBorder="1" applyAlignment="1" applyProtection="1">
      <alignment horizontal="center"/>
      <protection locked="0"/>
    </xf>
    <xf numFmtId="0" fontId="7" fillId="0" borderId="0" xfId="0" applyNumberFormat="1" applyFont="1" applyBorder="1" applyAlignment="1" applyProtection="1">
      <alignment horizontal="center"/>
      <protection locked="0"/>
    </xf>
    <xf numFmtId="37" fontId="7" fillId="0" borderId="0" xfId="0" applyNumberFormat="1" applyFont="1" applyAlignment="1" applyProtection="1">
      <protection locked="0"/>
    </xf>
    <xf numFmtId="164" fontId="7" fillId="0" borderId="0" xfId="0" applyNumberFormat="1" applyFont="1" applyAlignment="1" applyProtection="1">
      <alignment horizontal="right"/>
      <protection locked="0"/>
    </xf>
    <xf numFmtId="164" fontId="7" fillId="0" borderId="0" xfId="0" applyNumberFormat="1" applyFont="1" applyAlignment="1" applyProtection="1">
      <protection locked="0"/>
    </xf>
    <xf numFmtId="172" fontId="7" fillId="0" borderId="0" xfId="0" applyNumberFormat="1" applyFont="1" applyAlignment="1" applyProtection="1">
      <alignment horizontal="right"/>
      <protection locked="0"/>
    </xf>
    <xf numFmtId="172" fontId="7" fillId="0" borderId="0" xfId="0" applyNumberFormat="1" applyFont="1" applyAlignment="1" applyProtection="1">
      <protection locked="0"/>
    </xf>
    <xf numFmtId="169" fontId="13" fillId="0" borderId="0" xfId="0" applyNumberFormat="1" applyFont="1" applyAlignment="1" applyProtection="1">
      <protection locked="0"/>
    </xf>
    <xf numFmtId="0" fontId="13" fillId="0" borderId="0" xfId="0" applyNumberFormat="1" applyFont="1" applyAlignment="1" applyProtection="1">
      <protection locked="0"/>
    </xf>
    <xf numFmtId="173" fontId="10" fillId="0" borderId="0" xfId="13" applyNumberFormat="1" applyFont="1" applyAlignment="1"/>
    <xf numFmtId="176" fontId="10" fillId="0" borderId="0" xfId="11" applyFont="1" applyAlignment="1">
      <alignment horizontal="center"/>
    </xf>
    <xf numFmtId="176" fontId="10" fillId="0" borderId="0" xfId="11" applyFont="1" applyAlignment="1"/>
    <xf numFmtId="176" fontId="8" fillId="0" borderId="0" xfId="11" applyFont="1" applyAlignment="1"/>
    <xf numFmtId="176" fontId="17" fillId="0" borderId="0" xfId="11" applyNumberFormat="1" applyFont="1" applyAlignment="1"/>
    <xf numFmtId="176" fontId="10" fillId="0" borderId="3" xfId="11" applyFont="1" applyBorder="1" applyAlignment="1">
      <alignment horizontal="center"/>
    </xf>
    <xf numFmtId="41" fontId="10" fillId="0" borderId="0" xfId="11" quotePrefix="1" applyNumberFormat="1" applyFont="1" applyAlignment="1">
      <alignment horizontal="center"/>
    </xf>
    <xf numFmtId="41" fontId="10" fillId="0" borderId="0" xfId="11" applyNumberFormat="1" applyFont="1" applyAlignment="1"/>
    <xf numFmtId="177" fontId="10" fillId="0" borderId="0" xfId="2" applyNumberFormat="1" applyFont="1" applyAlignment="1"/>
    <xf numFmtId="173" fontId="10" fillId="0" borderId="3" xfId="13" applyNumberFormat="1" applyFont="1" applyBorder="1" applyAlignment="1"/>
    <xf numFmtId="41" fontId="10" fillId="0" borderId="3" xfId="11" applyNumberFormat="1" applyFont="1" applyBorder="1" applyAlignment="1"/>
    <xf numFmtId="173" fontId="10" fillId="0" borderId="4" xfId="13" applyNumberFormat="1" applyFont="1" applyBorder="1" applyAlignment="1"/>
    <xf numFmtId="176" fontId="10" fillId="0" borderId="0" xfId="11" applyFont="1"/>
    <xf numFmtId="176" fontId="8" fillId="0" borderId="0" xfId="11" applyFont="1"/>
    <xf numFmtId="42" fontId="10" fillId="0" borderId="4" xfId="11" applyNumberFormat="1" applyFont="1" applyBorder="1" applyAlignment="1"/>
    <xf numFmtId="168" fontId="2" fillId="0" borderId="0" xfId="0" applyNumberFormat="1" applyFont="1" applyAlignment="1" applyProtection="1">
      <protection locked="0"/>
    </xf>
    <xf numFmtId="167" fontId="4" fillId="0" borderId="0" xfId="4" applyNumberFormat="1" applyFont="1" applyAlignment="1"/>
    <xf numFmtId="172" fontId="18" fillId="0" borderId="0" xfId="0" applyNumberFormat="1" applyFont="1" applyAlignment="1" applyProtection="1">
      <protection locked="0"/>
    </xf>
    <xf numFmtId="0" fontId="18" fillId="0" borderId="0" xfId="0" applyNumberFormat="1" applyFont="1" applyAlignment="1" applyProtection="1">
      <protection locked="0"/>
    </xf>
    <xf numFmtId="0" fontId="18" fillId="0" borderId="0" xfId="0" applyNumberFormat="1" applyFont="1" applyAlignment="1" applyProtection="1">
      <alignment horizontal="center"/>
      <protection locked="0"/>
    </xf>
    <xf numFmtId="174" fontId="4" fillId="0" borderId="0" xfId="1" applyNumberFormat="1" applyFont="1" applyAlignment="1" applyProtection="1">
      <protection locked="0"/>
    </xf>
    <xf numFmtId="42" fontId="4" fillId="0" borderId="0" xfId="0" applyNumberFormat="1" applyFont="1" applyAlignment="1" applyProtection="1">
      <protection locked="0"/>
    </xf>
    <xf numFmtId="174" fontId="2" fillId="0" borderId="0" xfId="1" applyNumberFormat="1" applyFont="1" applyAlignment="1"/>
    <xf numFmtId="37" fontId="4" fillId="0" borderId="0" xfId="6" applyNumberFormat="1" applyAlignment="1"/>
    <xf numFmtId="3" fontId="4" fillId="0" borderId="0" xfId="6" applyNumberFormat="1" applyAlignment="1"/>
    <xf numFmtId="164" fontId="4" fillId="0" borderId="0" xfId="6" applyNumberFormat="1" applyAlignment="1"/>
    <xf numFmtId="174" fontId="10" fillId="0" borderId="0" xfId="1" applyNumberFormat="1" applyFont="1" applyAlignment="1"/>
    <xf numFmtId="173" fontId="4" fillId="0" borderId="0" xfId="13" applyNumberFormat="1" applyFont="1" applyAlignment="1" applyProtection="1">
      <protection locked="0"/>
    </xf>
    <xf numFmtId="174" fontId="8" fillId="0" borderId="0" xfId="1" applyNumberFormat="1" applyFont="1" applyBorder="1"/>
    <xf numFmtId="0" fontId="4" fillId="0" borderId="0" xfId="0" applyNumberFormat="1" applyFont="1" applyAlignment="1" applyProtection="1">
      <alignment horizontal="center"/>
      <protection locked="0"/>
    </xf>
    <xf numFmtId="176" fontId="4" fillId="0" borderId="0" xfId="11" applyFont="1" applyAlignment="1">
      <alignment horizontal="center"/>
    </xf>
    <xf numFmtId="0" fontId="4" fillId="0" borderId="3" xfId="0" applyNumberFormat="1" applyFont="1" applyBorder="1" applyAlignment="1" applyProtection="1">
      <alignment horizontal="center"/>
      <protection locked="0"/>
    </xf>
    <xf numFmtId="0" fontId="4" fillId="0" borderId="0" xfId="0" quotePrefix="1" applyNumberFormat="1" applyFont="1" applyAlignment="1" applyProtection="1">
      <alignment horizontal="center"/>
      <protection locked="0"/>
    </xf>
    <xf numFmtId="176" fontId="4" fillId="0" borderId="0" xfId="11" applyFont="1" applyAlignment="1"/>
    <xf numFmtId="2" fontId="4" fillId="0" borderId="0" xfId="0" applyNumberFormat="1" applyFont="1" applyAlignment="1" applyProtection="1">
      <protection locked="0"/>
    </xf>
    <xf numFmtId="37" fontId="2" fillId="0" borderId="0" xfId="0" applyNumberFormat="1" applyFont="1" applyFill="1" applyAlignment="1" applyProtection="1">
      <protection locked="0"/>
    </xf>
    <xf numFmtId="0" fontId="11" fillId="0" borderId="0" xfId="0" applyNumberFormat="1" applyFont="1" applyBorder="1" applyAlignment="1" applyProtection="1">
      <protection locked="0"/>
    </xf>
    <xf numFmtId="168" fontId="8" fillId="0" borderId="0" xfId="0" applyNumberFormat="1" applyFont="1" applyBorder="1" applyAlignment="1" applyProtection="1">
      <alignment horizontal="center"/>
      <protection locked="0"/>
    </xf>
    <xf numFmtId="0" fontId="8" fillId="0" borderId="0" xfId="0" applyNumberFormat="1" applyFont="1" applyBorder="1" applyAlignment="1" applyProtection="1">
      <protection locked="0"/>
    </xf>
    <xf numFmtId="37" fontId="7" fillId="0" borderId="0" xfId="0" applyNumberFormat="1" applyFont="1" applyAlignment="1" applyProtection="1">
      <alignment horizontal="right"/>
      <protection locked="0"/>
    </xf>
    <xf numFmtId="174" fontId="2" fillId="0" borderId="0" xfId="1" applyNumberFormat="1" applyFont="1"/>
    <xf numFmtId="164" fontId="20" fillId="0" borderId="0" xfId="0" applyFont="1"/>
    <xf numFmtId="168" fontId="2" fillId="0" borderId="0" xfId="0" applyNumberFormat="1" applyFont="1" applyAlignment="1">
      <alignment horizontal="center"/>
    </xf>
    <xf numFmtId="37" fontId="2" fillId="0" borderId="0" xfId="0" applyNumberFormat="1" applyFont="1"/>
    <xf numFmtId="168" fontId="8" fillId="0" borderId="0" xfId="0" applyNumberFormat="1" applyFont="1" applyAlignment="1" applyProtection="1">
      <protection locked="0"/>
    </xf>
    <xf numFmtId="0" fontId="20" fillId="0" borderId="0" xfId="0" applyNumberFormat="1" applyFont="1" applyAlignment="1" applyProtection="1">
      <protection locked="0"/>
    </xf>
    <xf numFmtId="0" fontId="8" fillId="0" borderId="0" xfId="1" applyNumberFormat="1" applyFont="1" applyBorder="1"/>
    <xf numFmtId="37" fontId="2" fillId="0" borderId="3" xfId="0" applyNumberFormat="1" applyFont="1" applyBorder="1" applyAlignment="1" applyProtection="1">
      <protection locked="0"/>
    </xf>
    <xf numFmtId="37" fontId="19" fillId="0" borderId="0" xfId="0" applyNumberFormat="1" applyFont="1" applyAlignment="1" applyProtection="1">
      <alignment horizontal="right"/>
      <protection locked="0"/>
    </xf>
    <xf numFmtId="0" fontId="19" fillId="0" borderId="0" xfId="0" applyNumberFormat="1" applyFont="1" applyAlignment="1" applyProtection="1">
      <alignment horizontal="right"/>
      <protection locked="0"/>
    </xf>
    <xf numFmtId="167" fontId="4" fillId="0" borderId="0" xfId="4" applyNumberFormat="1" applyFont="1"/>
    <xf numFmtId="164" fontId="4" fillId="0" borderId="0" xfId="4" applyNumberFormat="1" applyFont="1" applyAlignment="1"/>
    <xf numFmtId="3" fontId="2" fillId="0" borderId="0" xfId="4" applyNumberFormat="1" applyFont="1" applyAlignment="1"/>
    <xf numFmtId="164" fontId="4" fillId="0" borderId="0" xfId="4" applyNumberFormat="1" applyFont="1"/>
    <xf numFmtId="37" fontId="2" fillId="0" borderId="0" xfId="0" applyNumberFormat="1" applyFont="1" applyBorder="1" applyAlignment="1">
      <alignment horizontal="right" vertical="top"/>
    </xf>
    <xf numFmtId="164" fontId="2" fillId="0" borderId="0" xfId="0" applyNumberFormat="1" applyFont="1" applyAlignment="1" applyProtection="1">
      <protection locked="0"/>
    </xf>
    <xf numFmtId="0" fontId="4" fillId="0" borderId="0" xfId="0" applyNumberFormat="1" applyFont="1" applyProtection="1">
      <protection locked="0"/>
    </xf>
    <xf numFmtId="0" fontId="8" fillId="0" borderId="0" xfId="10" applyNumberFormat="1" applyFont="1" applyAlignment="1">
      <alignment horizontal="centerContinuous"/>
    </xf>
    <xf numFmtId="0" fontId="10" fillId="0" borderId="0" xfId="10" applyFont="1" applyAlignment="1"/>
    <xf numFmtId="0" fontId="8" fillId="0" borderId="0" xfId="10" applyNumberFormat="1" applyFont="1" applyAlignment="1"/>
    <xf numFmtId="0" fontId="8" fillId="0" borderId="0" xfId="10" applyNumberFormat="1" applyFont="1" applyAlignment="1">
      <alignment horizontal="center"/>
    </xf>
    <xf numFmtId="0" fontId="8" fillId="0" borderId="1" xfId="10" applyNumberFormat="1" applyFont="1" applyBorder="1" applyAlignment="1">
      <alignment horizontal="center"/>
    </xf>
    <xf numFmtId="37" fontId="8" fillId="0" borderId="1" xfId="10" applyNumberFormat="1" applyFont="1" applyBorder="1" applyAlignment="1">
      <alignment horizontal="center"/>
    </xf>
    <xf numFmtId="37" fontId="8" fillId="0" borderId="0" xfId="10" applyNumberFormat="1" applyFont="1" applyAlignment="1">
      <alignment horizontal="center"/>
    </xf>
    <xf numFmtId="3" fontId="8" fillId="0" borderId="0" xfId="10" applyNumberFormat="1" applyFont="1" applyAlignment="1">
      <alignment horizontal="center"/>
    </xf>
    <xf numFmtId="3" fontId="8" fillId="0" borderId="1" xfId="10" applyNumberFormat="1" applyFont="1" applyBorder="1" applyAlignment="1">
      <alignment horizontal="center"/>
    </xf>
    <xf numFmtId="165" fontId="8" fillId="0" borderId="0" xfId="10" applyNumberFormat="1" applyFont="1" applyAlignment="1"/>
    <xf numFmtId="3" fontId="8" fillId="0" borderId="0" xfId="10" applyNumberFormat="1" applyFont="1" applyAlignment="1"/>
    <xf numFmtId="0" fontId="8" fillId="0" borderId="1" xfId="10" applyNumberFormat="1" applyFont="1" applyBorder="1" applyAlignment="1"/>
    <xf numFmtId="3" fontId="8" fillId="0" borderId="4" xfId="10" applyNumberFormat="1" applyFont="1" applyBorder="1" applyAlignment="1"/>
    <xf numFmtId="3" fontId="8" fillId="0" borderId="2" xfId="10" applyNumberFormat="1" applyFont="1" applyBorder="1" applyAlignment="1"/>
    <xf numFmtId="3" fontId="8" fillId="0" borderId="0" xfId="10" applyNumberFormat="1" applyFont="1" applyBorder="1" applyAlignment="1"/>
    <xf numFmtId="0" fontId="10" fillId="0" borderId="0" xfId="10" applyNumberFormat="1" applyFont="1" applyAlignment="1">
      <alignment horizontal="centerContinuous"/>
    </xf>
    <xf numFmtId="4" fontId="8" fillId="0" borderId="0" xfId="10" applyNumberFormat="1" applyFont="1" applyAlignment="1"/>
    <xf numFmtId="0" fontId="8" fillId="0" borderId="0" xfId="10" applyFont="1" applyAlignment="1"/>
    <xf numFmtId="0" fontId="10" fillId="0" borderId="0" xfId="10" applyFont="1"/>
    <xf numFmtId="0" fontId="10" fillId="0" borderId="0" xfId="0" applyNumberFormat="1" applyFont="1" applyAlignment="1">
      <alignment horizontal="centerContinuous"/>
    </xf>
    <xf numFmtId="0" fontId="4" fillId="0" borderId="0" xfId="0" applyNumberFormat="1" applyFont="1"/>
    <xf numFmtId="0" fontId="21" fillId="0" borderId="0" xfId="0" applyNumberFormat="1" applyFont="1" applyAlignment="1" applyProtection="1">
      <protection locked="0"/>
    </xf>
    <xf numFmtId="3" fontId="4" fillId="0" borderId="0" xfId="0" applyNumberFormat="1" applyFont="1"/>
    <xf numFmtId="0" fontId="4" fillId="0" borderId="0" xfId="8" applyFont="1" applyAlignment="1"/>
    <xf numFmtId="0" fontId="22" fillId="0" borderId="0" xfId="0" applyNumberFormat="1" applyFont="1" applyAlignment="1" applyProtection="1">
      <protection locked="0"/>
    </xf>
    <xf numFmtId="4" fontId="22" fillId="0" borderId="0" xfId="0" applyNumberFormat="1" applyFont="1" applyAlignment="1" applyProtection="1">
      <protection locked="0"/>
    </xf>
    <xf numFmtId="49"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174" fontId="22" fillId="0" borderId="0" xfId="1" applyNumberFormat="1" applyFont="1" applyAlignment="1" applyProtection="1">
      <protection locked="0"/>
    </xf>
    <xf numFmtId="37" fontId="4" fillId="0" borderId="0" xfId="0" applyNumberFormat="1" applyFont="1" applyAlignment="1" applyProtection="1">
      <protection locked="0"/>
    </xf>
    <xf numFmtId="0" fontId="23" fillId="0" borderId="0" xfId="0" applyNumberFormat="1" applyFont="1" applyAlignment="1" applyProtection="1">
      <protection locked="0"/>
    </xf>
    <xf numFmtId="0" fontId="7" fillId="0" borderId="0" xfId="4" applyNumberFormat="1" applyFont="1" applyAlignment="1"/>
    <xf numFmtId="0" fontId="22" fillId="0" borderId="0" xfId="4" applyFont="1" applyAlignment="1"/>
    <xf numFmtId="0" fontId="22" fillId="0" borderId="0" xfId="8" applyFont="1" applyAlignment="1"/>
    <xf numFmtId="174" fontId="8" fillId="0" borderId="0" xfId="1" applyNumberFormat="1" applyFont="1" applyAlignment="1" applyProtection="1">
      <protection locked="0"/>
    </xf>
    <xf numFmtId="37" fontId="2" fillId="0" borderId="0" xfId="0" applyNumberFormat="1" applyFont="1" applyFill="1"/>
    <xf numFmtId="37" fontId="2" fillId="0" borderId="0" xfId="0" applyNumberFormat="1" applyFont="1" applyFill="1" applyBorder="1"/>
    <xf numFmtId="168" fontId="8" fillId="0" borderId="0" xfId="0" applyNumberFormat="1" applyFont="1" applyBorder="1" applyAlignment="1" applyProtection="1">
      <protection locked="0"/>
    </xf>
    <xf numFmtId="0" fontId="8" fillId="0" borderId="0" xfId="0" applyNumberFormat="1" applyFont="1" applyAlignment="1" applyProtection="1">
      <alignment horizontal="right"/>
      <protection locked="0"/>
    </xf>
    <xf numFmtId="174" fontId="4" fillId="0" borderId="0" xfId="1" applyNumberFormat="1" applyFont="1" applyAlignment="1"/>
    <xf numFmtId="1" fontId="2" fillId="0" borderId="0" xfId="1" applyNumberFormat="1" applyFont="1" applyAlignment="1"/>
    <xf numFmtId="0" fontId="2" fillId="0" borderId="0" xfId="5" applyNumberFormat="1" applyFont="1" applyAlignment="1">
      <alignment horizontal="justify" vertical="top" wrapText="1"/>
    </xf>
    <xf numFmtId="0" fontId="4" fillId="0" borderId="0" xfId="0" applyNumberFormat="1" applyFont="1" applyBorder="1" applyAlignment="1" applyProtection="1">
      <alignment horizontal="center"/>
      <protection locked="0"/>
    </xf>
    <xf numFmtId="164" fontId="3" fillId="0" borderId="0" xfId="5" applyNumberFormat="1" applyFont="1" applyBorder="1" applyAlignment="1"/>
    <xf numFmtId="0" fontId="4" fillId="0" borderId="0" xfId="5" applyBorder="1" applyAlignment="1"/>
    <xf numFmtId="3" fontId="4" fillId="0" borderId="0" xfId="5" applyNumberFormat="1" applyBorder="1" applyAlignment="1"/>
    <xf numFmtId="164" fontId="2" fillId="0" borderId="0" xfId="5" applyNumberFormat="1" applyFont="1" applyBorder="1" applyAlignment="1"/>
    <xf numFmtId="3" fontId="2" fillId="0" borderId="0" xfId="5" applyNumberFormat="1" applyFont="1" applyBorder="1" applyAlignment="1"/>
    <xf numFmtId="0" fontId="4" fillId="0" borderId="0" xfId="5" applyBorder="1"/>
    <xf numFmtId="37" fontId="2" fillId="0" borderId="0" xfId="0" applyNumberFormat="1" applyFont="1" applyAlignment="1">
      <alignment horizontal="left"/>
    </xf>
    <xf numFmtId="173" fontId="2" fillId="0" borderId="0" xfId="13" applyNumberFormat="1" applyFont="1" applyAlignment="1" applyProtection="1">
      <protection locked="0"/>
    </xf>
    <xf numFmtId="41" fontId="2" fillId="0" borderId="0" xfId="0" applyNumberFormat="1" applyFont="1" applyAlignment="1" applyProtection="1">
      <protection locked="0"/>
    </xf>
    <xf numFmtId="174" fontId="2" fillId="0" borderId="0" xfId="0" applyNumberFormat="1" applyFont="1" applyAlignment="1" applyProtection="1">
      <protection locked="0"/>
    </xf>
    <xf numFmtId="180" fontId="2" fillId="0" borderId="0" xfId="1" applyNumberFormat="1" applyFont="1" applyBorder="1" applyAlignment="1">
      <alignment horizontal="right" vertical="top"/>
    </xf>
    <xf numFmtId="180" fontId="2" fillId="0" borderId="0" xfId="1" applyNumberFormat="1" applyFont="1" applyAlignment="1"/>
    <xf numFmtId="37" fontId="4" fillId="0" borderId="0" xfId="0" applyNumberFormat="1" applyFont="1" applyAlignment="1" applyProtection="1">
      <alignment horizontal="center"/>
      <protection locked="0"/>
    </xf>
    <xf numFmtId="37" fontId="4" fillId="0" borderId="0" xfId="0" applyNumberFormat="1" applyFont="1" applyAlignment="1" applyProtection="1">
      <alignment horizontal="right"/>
      <protection locked="0"/>
    </xf>
    <xf numFmtId="16" fontId="4" fillId="0" borderId="0" xfId="0" quotePrefix="1" applyNumberFormat="1" applyFont="1" applyAlignment="1" applyProtection="1">
      <alignment horizontal="center"/>
      <protection locked="0"/>
    </xf>
    <xf numFmtId="2" fontId="4" fillId="0" borderId="0" xfId="0" quotePrefix="1" applyNumberFormat="1" applyFont="1" applyAlignment="1" applyProtection="1">
      <alignment horizontal="center"/>
      <protection locked="0"/>
    </xf>
    <xf numFmtId="0" fontId="4" fillId="0" borderId="0" xfId="0" applyNumberFormat="1" applyFont="1" applyBorder="1" applyAlignment="1" applyProtection="1">
      <protection locked="0"/>
    </xf>
    <xf numFmtId="0" fontId="22" fillId="0" borderId="0" xfId="0" applyNumberFormat="1" applyFont="1" applyBorder="1" applyAlignment="1" applyProtection="1">
      <protection locked="0"/>
    </xf>
    <xf numFmtId="0" fontId="22" fillId="0" borderId="0" xfId="0" applyNumberFormat="1" applyFont="1" applyBorder="1" applyAlignment="1" applyProtection="1">
      <alignment horizontal="centerContinuous"/>
      <protection locked="0"/>
    </xf>
    <xf numFmtId="0" fontId="22" fillId="0" borderId="0" xfId="0" applyNumberFormat="1" applyFont="1" applyBorder="1" applyAlignment="1" applyProtection="1">
      <alignment horizontal="center"/>
      <protection locked="0"/>
    </xf>
    <xf numFmtId="43" fontId="4" fillId="0" borderId="0" xfId="1" applyFont="1" applyBorder="1" applyAlignment="1" applyProtection="1">
      <protection locked="0"/>
    </xf>
    <xf numFmtId="174" fontId="4" fillId="0" borderId="0" xfId="1" applyNumberFormat="1" applyFont="1" applyBorder="1" applyAlignment="1" applyProtection="1">
      <protection locked="0"/>
    </xf>
    <xf numFmtId="0" fontId="21" fillId="0" borderId="0" xfId="0" applyNumberFormat="1" applyFont="1" applyBorder="1" applyAlignment="1" applyProtection="1">
      <protection locked="0"/>
    </xf>
    <xf numFmtId="43" fontId="21" fillId="0" borderId="0" xfId="1" applyFont="1" applyBorder="1" applyAlignment="1" applyProtection="1">
      <protection locked="0"/>
    </xf>
    <xf numFmtId="4" fontId="22" fillId="0" borderId="0" xfId="0" applyNumberFormat="1" applyFont="1" applyBorder="1" applyAlignment="1" applyProtection="1">
      <protection locked="0"/>
    </xf>
    <xf numFmtId="174" fontId="22" fillId="0" borderId="0" xfId="1" applyNumberFormat="1" applyFont="1" applyBorder="1" applyAlignment="1" applyProtection="1">
      <protection locked="0"/>
    </xf>
    <xf numFmtId="0" fontId="4" fillId="0" borderId="0" xfId="7" applyFont="1" applyBorder="1" applyAlignment="1"/>
    <xf numFmtId="164" fontId="2" fillId="0" borderId="0" xfId="7" applyNumberFormat="1" applyFont="1" applyBorder="1" applyAlignment="1"/>
    <xf numFmtId="37" fontId="2" fillId="0" borderId="0" xfId="7" applyNumberFormat="1" applyFont="1" applyBorder="1" applyAlignment="1"/>
    <xf numFmtId="164" fontId="0" fillId="0" borderId="0" xfId="0" applyAlignment="1">
      <alignment horizontal="center"/>
    </xf>
    <xf numFmtId="164" fontId="0" fillId="0" borderId="0" xfId="0"/>
    <xf numFmtId="164" fontId="0" fillId="0" borderId="3" xfId="0" applyBorder="1" applyAlignment="1">
      <alignment horizontal="center"/>
    </xf>
    <xf numFmtId="3" fontId="4" fillId="0" borderId="3" xfId="0" applyNumberFormat="1" applyFont="1" applyBorder="1" applyAlignment="1">
      <alignment horizontal="center"/>
    </xf>
    <xf numFmtId="164" fontId="0" fillId="0" borderId="0" xfId="0" applyBorder="1" applyAlignment="1">
      <alignment horizontal="center"/>
    </xf>
    <xf numFmtId="3" fontId="4" fillId="0" borderId="0" xfId="0" applyNumberFormat="1" applyFont="1" applyBorder="1" applyAlignment="1">
      <alignment horizontal="center"/>
    </xf>
    <xf numFmtId="164" fontId="17" fillId="0" borderId="0" xfId="0" applyFont="1"/>
    <xf numFmtId="3" fontId="22" fillId="0" borderId="0" xfId="0" applyNumberFormat="1" applyFont="1"/>
    <xf numFmtId="3" fontId="4" fillId="0" borderId="0" xfId="0" applyNumberFormat="1" applyFont="1" applyBorder="1"/>
    <xf numFmtId="164" fontId="0" fillId="0" borderId="0" xfId="0" applyAlignment="1">
      <alignment horizontal="right"/>
    </xf>
    <xf numFmtId="164" fontId="22" fillId="0" borderId="0" xfId="0" applyFont="1"/>
    <xf numFmtId="164" fontId="0" fillId="0" borderId="0" xfId="0" applyAlignment="1">
      <alignment horizontal="left"/>
    </xf>
    <xf numFmtId="0" fontId="8" fillId="0" borderId="0" xfId="4" applyNumberFormat="1" applyFont="1" applyAlignment="1"/>
    <xf numFmtId="0" fontId="4" fillId="0" borderId="0" xfId="10" applyAlignment="1"/>
    <xf numFmtId="165" fontId="24" fillId="0" borderId="0" xfId="10" applyNumberFormat="1" applyFont="1" applyAlignment="1"/>
    <xf numFmtId="0" fontId="3" fillId="0" borderId="0" xfId="10" applyNumberFormat="1" applyFont="1" applyAlignment="1"/>
    <xf numFmtId="4" fontId="25" fillId="0" borderId="0" xfId="10" applyNumberFormat="1" applyFont="1" applyAlignment="1"/>
    <xf numFmtId="4" fontId="3" fillId="0" borderId="0" xfId="10" applyNumberFormat="1" applyFont="1" applyAlignment="1"/>
    <xf numFmtId="0" fontId="8" fillId="0" borderId="0" xfId="10" applyNumberFormat="1" applyFont="1" applyAlignment="1">
      <alignment horizontal="left"/>
    </xf>
    <xf numFmtId="0" fontId="8" fillId="0" borderId="0" xfId="10" applyFont="1" applyBorder="1" applyAlignment="1"/>
    <xf numFmtId="0" fontId="8" fillId="0" borderId="0" xfId="10" applyFont="1" applyBorder="1" applyAlignment="1">
      <alignment horizontal="center"/>
    </xf>
    <xf numFmtId="0" fontId="8" fillId="0" borderId="0" xfId="10" applyNumberFormat="1" applyFont="1" applyBorder="1" applyAlignment="1">
      <alignment horizontal="centerContinuous"/>
    </xf>
    <xf numFmtId="0" fontId="8" fillId="0" borderId="0" xfId="10" applyNumberFormat="1" applyFont="1" applyBorder="1" applyAlignment="1">
      <alignment horizontal="center"/>
    </xf>
    <xf numFmtId="0" fontId="8" fillId="0" borderId="0" xfId="0" applyNumberFormat="1" applyFont="1" applyAlignment="1">
      <alignment horizontal="center"/>
    </xf>
    <xf numFmtId="0" fontId="8" fillId="0" borderId="0" xfId="0" applyNumberFormat="1" applyFont="1" applyAlignment="1"/>
    <xf numFmtId="2" fontId="8" fillId="0" borderId="0" xfId="0" applyNumberFormat="1" applyFont="1" applyAlignment="1"/>
    <xf numFmtId="165" fontId="8" fillId="0" borderId="0" xfId="10" applyNumberFormat="1" applyFont="1" applyAlignment="1">
      <alignment horizontal="right"/>
    </xf>
    <xf numFmtId="164" fontId="2" fillId="0" borderId="0" xfId="0" applyFont="1" applyBorder="1"/>
    <xf numFmtId="37" fontId="2" fillId="0" borderId="0" xfId="0" applyNumberFormat="1" applyFont="1" applyBorder="1"/>
    <xf numFmtId="37" fontId="2" fillId="0" borderId="0" xfId="0" applyNumberFormat="1" applyFont="1" applyBorder="1" applyAlignment="1" applyProtection="1">
      <protection locked="0"/>
    </xf>
    <xf numFmtId="42" fontId="8" fillId="0" borderId="0" xfId="0" applyNumberFormat="1" applyFont="1" applyBorder="1" applyAlignment="1" applyProtection="1">
      <protection locked="0"/>
    </xf>
    <xf numFmtId="1" fontId="8" fillId="0" borderId="0" xfId="0" applyNumberFormat="1" applyFont="1" applyBorder="1" applyAlignment="1" applyProtection="1">
      <protection locked="0"/>
    </xf>
    <xf numFmtId="49" fontId="8" fillId="0" borderId="0" xfId="0" applyNumberFormat="1" applyFont="1" applyBorder="1" applyAlignment="1" applyProtection="1">
      <protection locked="0"/>
    </xf>
    <xf numFmtId="0" fontId="8" fillId="0" borderId="0" xfId="1" applyNumberFormat="1" applyFont="1" applyFill="1" applyBorder="1"/>
    <xf numFmtId="174" fontId="8" fillId="0" borderId="0" xfId="1" applyNumberFormat="1" applyFont="1" applyFill="1" applyBorder="1"/>
    <xf numFmtId="174" fontId="2" fillId="0" borderId="3" xfId="1" applyNumberFormat="1" applyFont="1" applyFill="1" applyBorder="1"/>
    <xf numFmtId="174" fontId="8" fillId="0" borderId="3" xfId="1" applyNumberFormat="1" applyFont="1" applyBorder="1"/>
    <xf numFmtId="37" fontId="2" fillId="0" borderId="3" xfId="0" applyNumberFormat="1" applyFont="1" applyFill="1" applyBorder="1"/>
    <xf numFmtId="164" fontId="26" fillId="0" borderId="0" xfId="0" applyFont="1"/>
    <xf numFmtId="164" fontId="1" fillId="0" borderId="0" xfId="0" applyFont="1"/>
    <xf numFmtId="37" fontId="2" fillId="0" borderId="4" xfId="0" applyNumberFormat="1" applyFont="1" applyFill="1" applyBorder="1"/>
    <xf numFmtId="0" fontId="26" fillId="0" borderId="0" xfId="0" applyNumberFormat="1" applyFont="1" applyAlignment="1" applyProtection="1">
      <protection locked="0"/>
    </xf>
    <xf numFmtId="39" fontId="2" fillId="0" borderId="0" xfId="0" applyNumberFormat="1" applyFont="1" applyAlignment="1"/>
    <xf numFmtId="37" fontId="2" fillId="0" borderId="4" xfId="0" applyNumberFormat="1" applyFont="1" applyFill="1" applyBorder="1" applyAlignment="1" applyProtection="1">
      <protection locked="0"/>
    </xf>
    <xf numFmtId="2" fontId="5" fillId="0" borderId="0" xfId="0" applyNumberFormat="1" applyFont="1" applyBorder="1" applyAlignment="1" applyProtection="1">
      <protection locked="0"/>
    </xf>
    <xf numFmtId="0" fontId="19" fillId="0" borderId="0" xfId="10" applyFont="1" applyAlignment="1"/>
    <xf numFmtId="49" fontId="8" fillId="0" borderId="0" xfId="0" applyNumberFormat="1" applyFont="1" applyFill="1" applyBorder="1" applyAlignment="1" applyProtection="1">
      <protection locked="0"/>
    </xf>
    <xf numFmtId="164" fontId="2" fillId="0" borderId="0" xfId="0" applyFont="1" applyFill="1"/>
    <xf numFmtId="164" fontId="20" fillId="0" borderId="0" xfId="0" applyFont="1" applyFill="1"/>
    <xf numFmtId="168" fontId="2" fillId="0" borderId="0" xfId="0" applyNumberFormat="1" applyFont="1" applyFill="1" applyAlignment="1">
      <alignment horizontal="center"/>
    </xf>
    <xf numFmtId="164" fontId="8" fillId="0" borderId="0" xfId="0" applyFont="1" applyFill="1"/>
    <xf numFmtId="0" fontId="2" fillId="0" borderId="0" xfId="0" applyNumberFormat="1" applyFont="1" applyFill="1" applyAlignment="1" applyProtection="1">
      <protection locked="0"/>
    </xf>
    <xf numFmtId="2" fontId="8" fillId="0" borderId="0" xfId="0" applyNumberFormat="1" applyFont="1" applyBorder="1" applyAlignment="1" applyProtection="1">
      <protection locked="0"/>
    </xf>
    <xf numFmtId="41" fontId="8" fillId="0" borderId="0" xfId="0" applyNumberFormat="1" applyFont="1" applyBorder="1" applyAlignment="1">
      <alignment horizontal="center"/>
    </xf>
    <xf numFmtId="16" fontId="8" fillId="0" borderId="0" xfId="0" applyNumberFormat="1" applyFont="1" applyAlignment="1" applyProtection="1">
      <protection locked="0"/>
    </xf>
    <xf numFmtId="176" fontId="10" fillId="0" borderId="0" xfId="11" quotePrefix="1" applyFont="1" applyAlignment="1"/>
    <xf numFmtId="0" fontId="10" fillId="0" borderId="0" xfId="0" applyNumberFormat="1" applyFont="1" applyAlignment="1" applyProtection="1">
      <alignment horizontal="center"/>
      <protection locked="0"/>
    </xf>
    <xf numFmtId="185" fontId="4" fillId="0" borderId="0" xfId="2" applyNumberFormat="1" applyFont="1" applyAlignment="1" applyProtection="1">
      <protection locked="0"/>
    </xf>
    <xf numFmtId="43" fontId="2" fillId="0" borderId="0" xfId="0" applyNumberFormat="1" applyFont="1" applyAlignment="1" applyProtection="1">
      <protection locked="0"/>
    </xf>
    <xf numFmtId="183" fontId="4" fillId="0" borderId="0" xfId="1" applyNumberFormat="1" applyFont="1" applyAlignment="1" applyProtection="1">
      <protection locked="0"/>
    </xf>
    <xf numFmtId="43" fontId="4" fillId="0" borderId="0" xfId="1" applyFont="1" applyAlignment="1" applyProtection="1">
      <protection locked="0"/>
    </xf>
    <xf numFmtId="43" fontId="4" fillId="0" borderId="0" xfId="1" applyFont="1" applyBorder="1" applyAlignment="1" applyProtection="1">
      <alignment horizontal="center"/>
      <protection locked="0"/>
    </xf>
    <xf numFmtId="0" fontId="28" fillId="0" borderId="0" xfId="0" applyNumberFormat="1" applyFont="1" applyAlignment="1" applyProtection="1">
      <protection locked="0"/>
    </xf>
    <xf numFmtId="0" fontId="28" fillId="0" borderId="0" xfId="0" applyNumberFormat="1" applyFont="1" applyAlignment="1" applyProtection="1">
      <alignment horizontal="center"/>
      <protection locked="0"/>
    </xf>
    <xf numFmtId="44" fontId="4" fillId="0" borderId="0" xfId="2" applyFont="1" applyAlignment="1" applyProtection="1">
      <protection locked="0"/>
    </xf>
    <xf numFmtId="185" fontId="15" fillId="0" borderId="0" xfId="2" applyNumberFormat="1" applyFont="1" applyAlignment="1" applyProtection="1">
      <alignment horizontal="left"/>
      <protection locked="0"/>
    </xf>
    <xf numFmtId="44" fontId="4" fillId="0" borderId="0" xfId="2" applyNumberFormat="1" applyFont="1" applyAlignment="1" applyProtection="1">
      <protection locked="0"/>
    </xf>
    <xf numFmtId="182" fontId="4" fillId="0" borderId="0" xfId="2" applyNumberFormat="1" applyFont="1" applyAlignment="1" applyProtection="1">
      <protection locked="0"/>
    </xf>
    <xf numFmtId="185" fontId="15" fillId="0" borderId="0" xfId="2" applyNumberFormat="1" applyFont="1" applyAlignment="1" applyProtection="1">
      <protection locked="0"/>
    </xf>
    <xf numFmtId="178" fontId="4" fillId="0" borderId="0" xfId="1" applyNumberFormat="1" applyFont="1" applyAlignment="1" applyProtection="1">
      <protection locked="0"/>
    </xf>
    <xf numFmtId="184" fontId="4" fillId="0" borderId="0" xfId="2" applyNumberFormat="1" applyFont="1" applyAlignment="1" applyProtection="1">
      <protection locked="0"/>
    </xf>
    <xf numFmtId="180" fontId="4" fillId="0" borderId="0" xfId="1" applyNumberFormat="1" applyFont="1" applyAlignment="1" applyProtection="1">
      <protection locked="0"/>
    </xf>
    <xf numFmtId="0" fontId="10" fillId="0" borderId="0" xfId="0" applyNumberFormat="1" applyFont="1" applyAlignment="1" applyProtection="1">
      <alignment horizontal="left"/>
      <protection locked="0"/>
    </xf>
    <xf numFmtId="43" fontId="10" fillId="0" borderId="0" xfId="1" applyFont="1" applyAlignment="1"/>
    <xf numFmtId="44" fontId="10" fillId="0" borderId="0" xfId="2" applyFont="1" applyAlignment="1"/>
    <xf numFmtId="168" fontId="10" fillId="0" borderId="0" xfId="0" applyNumberFormat="1" applyFont="1" applyBorder="1" applyAlignment="1">
      <alignment horizontal="center"/>
    </xf>
    <xf numFmtId="168" fontId="10" fillId="0" borderId="0" xfId="0" applyNumberFormat="1" applyFont="1" applyAlignment="1">
      <alignment horizontal="center"/>
    </xf>
    <xf numFmtId="37" fontId="10" fillId="0" borderId="0" xfId="0" applyNumberFormat="1" applyFont="1" applyAlignment="1">
      <alignment horizontal="center"/>
    </xf>
    <xf numFmtId="37" fontId="10" fillId="0" borderId="0" xfId="0" applyNumberFormat="1" applyFont="1" applyAlignment="1" applyProtection="1">
      <alignment horizontal="center"/>
      <protection locked="0"/>
    </xf>
    <xf numFmtId="37" fontId="10" fillId="0" borderId="0" xfId="0" quotePrefix="1" applyNumberFormat="1" applyFont="1" applyAlignment="1" applyProtection="1">
      <alignment horizontal="center"/>
      <protection locked="0"/>
    </xf>
    <xf numFmtId="175" fontId="10" fillId="0" borderId="0" xfId="1" applyNumberFormat="1" applyFont="1" applyAlignment="1"/>
    <xf numFmtId="10" fontId="4" fillId="0" borderId="0" xfId="13" applyNumberFormat="1" applyFont="1" applyAlignment="1" applyProtection="1">
      <protection locked="0"/>
    </xf>
    <xf numFmtId="44" fontId="10" fillId="0" borderId="0" xfId="2" applyFont="1" applyAlignment="1" applyProtection="1">
      <protection locked="0"/>
    </xf>
    <xf numFmtId="43" fontId="10" fillId="0" borderId="0" xfId="0" applyNumberFormat="1" applyFont="1" applyAlignment="1" applyProtection="1">
      <protection locked="0"/>
    </xf>
    <xf numFmtId="177" fontId="10" fillId="0" borderId="0" xfId="2" applyNumberFormat="1" applyFont="1" applyAlignment="1" applyProtection="1">
      <protection locked="0"/>
    </xf>
    <xf numFmtId="3" fontId="10" fillId="0" borderId="0" xfId="10" applyNumberFormat="1" applyFont="1" applyAlignment="1"/>
    <xf numFmtId="3" fontId="4" fillId="0" borderId="0" xfId="0" applyNumberFormat="1" applyFont="1" applyAlignment="1" applyProtection="1">
      <protection locked="0"/>
    </xf>
    <xf numFmtId="43" fontId="10" fillId="0" borderId="0" xfId="11" applyNumberFormat="1" applyFont="1" applyAlignment="1"/>
    <xf numFmtId="174" fontId="10" fillId="0" borderId="0" xfId="0" applyNumberFormat="1" applyFont="1" applyAlignment="1" applyProtection="1">
      <protection locked="0"/>
    </xf>
    <xf numFmtId="181" fontId="10" fillId="0" borderId="0" xfId="11" applyNumberFormat="1" applyFont="1"/>
    <xf numFmtId="43" fontId="10" fillId="0" borderId="0" xfId="2" applyNumberFormat="1" applyFont="1" applyAlignment="1"/>
    <xf numFmtId="0" fontId="10" fillId="0" borderId="0" xfId="10" applyNumberFormat="1" applyFont="1" applyAlignment="1"/>
    <xf numFmtId="174" fontId="10" fillId="0" borderId="3" xfId="0" applyNumberFormat="1" applyFont="1" applyBorder="1" applyAlignment="1" applyProtection="1">
      <protection locked="0"/>
    </xf>
    <xf numFmtId="0" fontId="10" fillId="0" borderId="0" xfId="0" quotePrefix="1" applyNumberFormat="1" applyFont="1" applyAlignment="1" applyProtection="1">
      <alignment horizontal="left"/>
      <protection locked="0"/>
    </xf>
    <xf numFmtId="177" fontId="10" fillId="0" borderId="4" xfId="2" applyNumberFormat="1" applyFont="1" applyBorder="1" applyAlignment="1" applyProtection="1">
      <protection locked="0"/>
    </xf>
    <xf numFmtId="169" fontId="2" fillId="0" borderId="0" xfId="0" applyNumberFormat="1" applyFont="1" applyAlignment="1" applyProtection="1">
      <protection locked="0"/>
    </xf>
    <xf numFmtId="0" fontId="10" fillId="0" borderId="0" xfId="0" applyNumberFormat="1" applyFont="1" applyAlignment="1" applyProtection="1">
      <alignment horizontal="centerContinuous"/>
      <protection locked="0"/>
    </xf>
    <xf numFmtId="0" fontId="8" fillId="0" borderId="3" xfId="0" applyNumberFormat="1" applyFont="1" applyBorder="1" applyAlignment="1" applyProtection="1">
      <alignment horizontal="center"/>
      <protection locked="0"/>
    </xf>
    <xf numFmtId="43" fontId="4" fillId="0" borderId="0" xfId="1" applyNumberFormat="1" applyFont="1" applyAlignment="1" applyProtection="1">
      <protection locked="0"/>
    </xf>
    <xf numFmtId="176" fontId="4" fillId="0" borderId="3" xfId="11" applyFont="1" applyBorder="1" applyAlignment="1">
      <alignment horizontal="center"/>
    </xf>
    <xf numFmtId="0" fontId="2" fillId="0" borderId="0" xfId="0" applyNumberFormat="1" applyFont="1" applyAlignment="1" applyProtection="1">
      <protection locked="0"/>
    </xf>
    <xf numFmtId="176" fontId="4" fillId="0" borderId="0" xfId="11" applyFont="1" applyAlignment="1">
      <alignment horizontal="center"/>
    </xf>
    <xf numFmtId="174" fontId="30" fillId="0" borderId="0" xfId="1" applyNumberFormat="1" applyFont="1" applyAlignment="1" applyProtection="1">
      <protection locked="0"/>
    </xf>
    <xf numFmtId="174" fontId="30" fillId="0" borderId="0" xfId="1" applyNumberFormat="1" applyFont="1" applyBorder="1" applyAlignment="1" applyProtection="1">
      <protection locked="0"/>
    </xf>
    <xf numFmtId="174" fontId="30" fillId="0" borderId="0" xfId="1" applyNumberFormat="1" applyFont="1"/>
    <xf numFmtId="37" fontId="30" fillId="0" borderId="0" xfId="0" applyNumberFormat="1" applyFont="1" applyFill="1"/>
    <xf numFmtId="0" fontId="30" fillId="0" borderId="0" xfId="0" applyNumberFormat="1" applyFont="1" applyAlignment="1" applyProtection="1">
      <protection locked="0"/>
    </xf>
    <xf numFmtId="0" fontId="30" fillId="0" borderId="0" xfId="0" applyNumberFormat="1" applyFont="1" applyAlignment="1" applyProtection="1">
      <alignment horizontal="center"/>
      <protection locked="0"/>
    </xf>
    <xf numFmtId="37" fontId="30" fillId="0" borderId="0" xfId="0" applyNumberFormat="1" applyFont="1" applyAlignment="1" applyProtection="1">
      <protection locked="0"/>
    </xf>
    <xf numFmtId="180" fontId="30" fillId="0" borderId="0" xfId="1" applyNumberFormat="1" applyFont="1" applyAlignment="1" applyProtection="1">
      <protection locked="0"/>
    </xf>
    <xf numFmtId="0" fontId="29" fillId="0" borderId="0" xfId="8" applyFont="1" applyAlignment="1">
      <alignment horizontal="center"/>
    </xf>
    <xf numFmtId="174" fontId="29" fillId="0" borderId="0" xfId="1" applyNumberFormat="1" applyFont="1" applyAlignment="1"/>
    <xf numFmtId="174" fontId="29"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0" fontId="29" fillId="0" borderId="0" xfId="0" quotePrefix="1" applyNumberFormat="1" applyFont="1" applyAlignment="1" applyProtection="1">
      <alignment horizontal="left"/>
      <protection locked="0"/>
    </xf>
    <xf numFmtId="0" fontId="29" fillId="0" borderId="0" xfId="4" applyFont="1" applyAlignment="1"/>
    <xf numFmtId="0" fontId="30" fillId="0" borderId="0" xfId="4" applyNumberFormat="1" applyFont="1" applyAlignment="1"/>
    <xf numFmtId="16" fontId="30" fillId="0" borderId="0" xfId="0" applyNumberFormat="1" applyFont="1" applyAlignment="1" applyProtection="1">
      <protection locked="0"/>
    </xf>
    <xf numFmtId="175" fontId="4" fillId="0" borderId="0" xfId="1" applyNumberFormat="1" applyFont="1" applyAlignment="1"/>
    <xf numFmtId="3" fontId="4" fillId="0" borderId="3" xfId="0" applyNumberFormat="1" applyFont="1" applyBorder="1"/>
    <xf numFmtId="164" fontId="4" fillId="0" borderId="0" xfId="0" applyFont="1"/>
    <xf numFmtId="174" fontId="4" fillId="0" borderId="0" xfId="1" applyNumberFormat="1" applyFont="1" applyAlignment="1" applyProtection="1">
      <alignment horizontal="center"/>
      <protection locked="0"/>
    </xf>
    <xf numFmtId="43" fontId="4" fillId="0" borderId="0" xfId="1" applyFont="1" applyAlignment="1" applyProtection="1">
      <alignment horizontal="center"/>
      <protection locked="0"/>
    </xf>
    <xf numFmtId="0" fontId="2" fillId="0" borderId="0" xfId="0" applyNumberFormat="1" applyFont="1" applyAlignment="1" applyProtection="1">
      <protection locked="0"/>
    </xf>
    <xf numFmtId="0" fontId="2" fillId="0" borderId="0" xfId="0" applyNumberFormat="1" applyFont="1" applyAlignment="1" applyProtection="1">
      <protection locked="0"/>
    </xf>
    <xf numFmtId="43" fontId="2" fillId="0" borderId="0" xfId="1" applyFont="1" applyAlignment="1"/>
    <xf numFmtId="37" fontId="2" fillId="0" borderId="0" xfId="0" applyNumberFormat="1" applyFont="1" applyAlignment="1"/>
    <xf numFmtId="16" fontId="8" fillId="0" borderId="0" xfId="10" quotePrefix="1" applyNumberFormat="1" applyFont="1" applyAlignment="1">
      <alignment horizontal="center"/>
    </xf>
    <xf numFmtId="0" fontId="30" fillId="0" borderId="3" xfId="0" applyNumberFormat="1" applyFont="1" applyBorder="1" applyAlignment="1" applyProtection="1">
      <protection locked="0"/>
    </xf>
    <xf numFmtId="0" fontId="2" fillId="0" borderId="0" xfId="12" applyNumberFormat="1" applyFont="1" applyAlignment="1"/>
    <xf numFmtId="0" fontId="30" fillId="0" borderId="0" xfId="0" applyNumberFormat="1" applyFont="1" applyAlignment="1"/>
    <xf numFmtId="0" fontId="2" fillId="0" borderId="0" xfId="0" applyNumberFormat="1" applyFont="1" applyAlignment="1" applyProtection="1">
      <protection locked="0"/>
    </xf>
    <xf numFmtId="176" fontId="29" fillId="0" borderId="0" xfId="11" applyFont="1" applyAlignment="1"/>
    <xf numFmtId="174" fontId="2" fillId="0" borderId="0" xfId="1" applyNumberFormat="1" applyFont="1" applyAlignment="1" applyProtection="1">
      <alignment horizontal="center"/>
      <protection locked="0"/>
    </xf>
    <xf numFmtId="174" fontId="2" fillId="0" borderId="0" xfId="1" applyNumberFormat="1" applyFont="1" applyFill="1" applyAlignment="1" applyProtection="1">
      <alignment horizontal="center"/>
      <protection locked="0"/>
    </xf>
    <xf numFmtId="174" fontId="2" fillId="0" borderId="0" xfId="1" applyNumberFormat="1" applyFont="1" applyBorder="1" applyAlignment="1" applyProtection="1">
      <protection locked="0"/>
    </xf>
    <xf numFmtId="174" fontId="2" fillId="0" borderId="0" xfId="1" applyNumberFormat="1" applyFont="1" applyFill="1" applyAlignment="1" applyProtection="1">
      <protection locked="0"/>
    </xf>
    <xf numFmtId="174" fontId="2" fillId="0" borderId="0" xfId="1" applyNumberFormat="1" applyFont="1" applyBorder="1"/>
    <xf numFmtId="174" fontId="2" fillId="0" borderId="3" xfId="1" applyNumberFormat="1" applyFont="1" applyBorder="1" applyAlignment="1" applyProtection="1">
      <alignment horizontal="centerContinuous"/>
      <protection locked="0"/>
    </xf>
    <xf numFmtId="0" fontId="2" fillId="0" borderId="3" xfId="0" applyNumberFormat="1" applyFont="1" applyBorder="1" applyAlignment="1" applyProtection="1">
      <alignment horizontal="centerContinuous"/>
      <protection locked="0"/>
    </xf>
    <xf numFmtId="175" fontId="4" fillId="0" borderId="0" xfId="1" applyNumberFormat="1" applyFont="1" applyAlignment="1" applyProtection="1">
      <protection locked="0"/>
    </xf>
    <xf numFmtId="175" fontId="2" fillId="0" borderId="0" xfId="1" applyNumberFormat="1" applyFont="1" applyAlignment="1" applyProtection="1">
      <alignment horizontal="center"/>
      <protection locked="0"/>
    </xf>
    <xf numFmtId="175" fontId="8" fillId="0" borderId="3" xfId="0" applyNumberFormat="1" applyFont="1" applyBorder="1" applyAlignment="1">
      <alignment horizontal="centerContinuous"/>
    </xf>
    <xf numFmtId="175" fontId="2" fillId="0" borderId="0" xfId="1" applyNumberFormat="1" applyFont="1" applyFill="1" applyAlignment="1" applyProtection="1">
      <alignment horizontal="center"/>
      <protection locked="0"/>
    </xf>
    <xf numFmtId="175" fontId="2" fillId="0" borderId="0" xfId="1" applyNumberFormat="1" applyFont="1" applyAlignment="1" applyProtection="1">
      <protection locked="0"/>
    </xf>
    <xf numFmtId="175" fontId="2" fillId="0" borderId="0" xfId="1" applyNumberFormat="1" applyFont="1" applyBorder="1" applyAlignment="1" applyProtection="1">
      <protection locked="0"/>
    </xf>
    <xf numFmtId="175" fontId="2" fillId="0" borderId="0" xfId="1" applyNumberFormat="1" applyFont="1" applyFill="1" applyAlignment="1" applyProtection="1">
      <protection locked="0"/>
    </xf>
    <xf numFmtId="175" fontId="2" fillId="0" borderId="0" xfId="1" applyNumberFormat="1" applyFont="1"/>
    <xf numFmtId="175" fontId="2" fillId="0" borderId="0" xfId="1" applyNumberFormat="1" applyFont="1" applyBorder="1"/>
    <xf numFmtId="0" fontId="2" fillId="0" borderId="0" xfId="0" applyNumberFormat="1" applyFont="1" applyAlignment="1" applyProtection="1">
      <protection locked="0"/>
    </xf>
    <xf numFmtId="3" fontId="32" fillId="0" borderId="0" xfId="14" applyNumberFormat="1" applyFont="1" applyFill="1" applyBorder="1" applyAlignment="1"/>
    <xf numFmtId="3" fontId="33" fillId="0" borderId="0" xfId="14" applyNumberFormat="1" applyFont="1" applyFill="1" applyBorder="1" applyAlignment="1"/>
    <xf numFmtId="3" fontId="32" fillId="0" borderId="0" xfId="14" applyNumberFormat="1" applyFont="1" applyFill="1" applyBorder="1" applyAlignment="1">
      <alignment horizontal="left"/>
    </xf>
    <xf numFmtId="3" fontId="32" fillId="0" borderId="0" xfId="14" applyNumberFormat="1" applyFont="1" applyFill="1" applyBorder="1" applyAlignment="1">
      <alignment wrapText="1"/>
    </xf>
    <xf numFmtId="3" fontId="34" fillId="0" borderId="0" xfId="15" applyFont="1" applyFill="1" applyBorder="1" applyAlignment="1">
      <alignment horizontal="center"/>
    </xf>
    <xf numFmtId="3" fontId="32" fillId="0" borderId="3" xfId="14" applyNumberFormat="1" applyFont="1" applyFill="1" applyBorder="1" applyAlignment="1"/>
    <xf numFmtId="3" fontId="34" fillId="0" borderId="3" xfId="15" applyFont="1" applyFill="1" applyBorder="1" applyAlignment="1">
      <alignment horizontal="center"/>
    </xf>
    <xf numFmtId="3" fontId="35" fillId="0" borderId="0" xfId="15" applyFont="1" applyFill="1" applyBorder="1" applyAlignment="1">
      <alignment horizontal="center"/>
    </xf>
    <xf numFmtId="3" fontId="34" fillId="0" borderId="3" xfId="15" applyFont="1" applyFill="1" applyBorder="1" applyAlignment="1">
      <alignment horizontal="left"/>
    </xf>
    <xf numFmtId="3" fontId="34" fillId="0" borderId="0" xfId="15" applyFont="1" applyFill="1" applyBorder="1" applyAlignment="1">
      <alignment horizontal="left"/>
    </xf>
    <xf numFmtId="3" fontId="32" fillId="0" borderId="0" xfId="14" applyNumberFormat="1" applyFont="1" applyFill="1" applyBorder="1" applyAlignment="1">
      <alignment horizontal="left" wrapText="1"/>
    </xf>
    <xf numFmtId="3" fontId="34" fillId="0" borderId="0" xfId="15" applyFont="1" applyFill="1" applyBorder="1" applyAlignment="1">
      <alignment horizontal="left" wrapText="1"/>
    </xf>
    <xf numFmtId="3" fontId="35" fillId="0" borderId="0" xfId="15" applyFont="1" applyFill="1" applyBorder="1" applyAlignment="1">
      <alignment horizontal="left" wrapText="1"/>
    </xf>
    <xf numFmtId="177" fontId="32" fillId="0" borderId="0" xfId="16" applyNumberFormat="1" applyFont="1" applyFill="1" applyBorder="1" applyAlignment="1"/>
    <xf numFmtId="3" fontId="34" fillId="0" borderId="3" xfId="15" applyFont="1" applyFill="1" applyBorder="1" applyAlignment="1">
      <alignment horizontal="left" wrapText="1"/>
    </xf>
    <xf numFmtId="177" fontId="32" fillId="0" borderId="0" xfId="16" applyNumberFormat="1" applyFont="1" applyFill="1" applyBorder="1" applyAlignment="1" applyProtection="1">
      <protection locked="0"/>
    </xf>
    <xf numFmtId="41" fontId="32" fillId="0" borderId="0" xfId="16" applyNumberFormat="1" applyFont="1" applyFill="1" applyBorder="1" applyAlignment="1"/>
    <xf numFmtId="174" fontId="32" fillId="0" borderId="3" xfId="16" applyNumberFormat="1" applyFont="1" applyFill="1" applyBorder="1" applyAlignment="1" applyProtection="1">
      <protection locked="0"/>
    </xf>
    <xf numFmtId="174" fontId="32" fillId="0" borderId="0" xfId="16" applyNumberFormat="1" applyFont="1" applyFill="1" applyBorder="1" applyAlignment="1"/>
    <xf numFmtId="3" fontId="36" fillId="0" borderId="3" xfId="15" applyFont="1" applyFill="1" applyBorder="1" applyAlignment="1">
      <alignment horizontal="center"/>
    </xf>
    <xf numFmtId="174" fontId="32" fillId="0" borderId="0" xfId="16" applyNumberFormat="1" applyFont="1" applyFill="1" applyBorder="1" applyAlignment="1" applyProtection="1">
      <protection locked="0"/>
    </xf>
    <xf numFmtId="3" fontId="36" fillId="0" borderId="0" xfId="15" applyFont="1" applyFill="1" applyBorder="1" applyAlignment="1">
      <alignment horizontal="center"/>
    </xf>
    <xf numFmtId="174" fontId="34" fillId="0" borderId="0" xfId="16" applyNumberFormat="1" applyFont="1" applyFill="1" applyBorder="1" applyAlignment="1">
      <alignment horizontal="center"/>
    </xf>
    <xf numFmtId="174" fontId="34" fillId="0" borderId="0" xfId="15" applyNumberFormat="1" applyFont="1" applyFill="1" applyBorder="1" applyAlignment="1">
      <alignment horizontal="center"/>
    </xf>
    <xf numFmtId="3" fontId="37" fillId="0" borderId="0" xfId="15" applyFont="1" applyFill="1" applyBorder="1" applyAlignment="1">
      <alignment horizontal="left" wrapText="1"/>
    </xf>
    <xf numFmtId="174" fontId="32" fillId="0" borderId="0" xfId="14" applyNumberFormat="1" applyFont="1" applyFill="1" applyBorder="1" applyAlignment="1"/>
    <xf numFmtId="3" fontId="35" fillId="0" borderId="0" xfId="15" applyFont="1" applyFill="1" applyBorder="1" applyAlignment="1">
      <alignment wrapText="1"/>
    </xf>
    <xf numFmtId="3" fontId="33" fillId="0" borderId="0" xfId="14" applyNumberFormat="1" applyFont="1" applyAlignment="1"/>
    <xf numFmtId="3" fontId="35" fillId="0" borderId="0" xfId="15" applyFont="1" applyAlignment="1">
      <alignment horizontal="center"/>
    </xf>
    <xf numFmtId="3" fontId="35" fillId="0" borderId="3" xfId="15" applyFont="1" applyBorder="1" applyAlignment="1">
      <alignment horizontal="center"/>
    </xf>
    <xf numFmtId="3" fontId="35" fillId="0" borderId="0" xfId="15" applyFont="1" applyBorder="1" applyAlignment="1">
      <alignment horizontal="center"/>
    </xf>
    <xf numFmtId="3" fontId="35" fillId="0" borderId="3" xfId="15" applyFont="1" applyBorder="1" applyAlignment="1">
      <alignment wrapText="1"/>
    </xf>
    <xf numFmtId="3" fontId="35" fillId="0" borderId="0" xfId="15" applyFont="1" applyAlignment="1"/>
    <xf numFmtId="3" fontId="33" fillId="0" borderId="0" xfId="14" applyNumberFormat="1" applyFont="1" applyAlignment="1">
      <alignment wrapText="1"/>
    </xf>
    <xf numFmtId="3" fontId="35" fillId="0" borderId="0" xfId="15" applyFont="1" applyAlignment="1">
      <alignment horizontal="left"/>
    </xf>
    <xf numFmtId="3" fontId="32" fillId="0" borderId="0" xfId="14" applyNumberFormat="1" applyFont="1" applyAlignment="1"/>
    <xf numFmtId="3" fontId="35" fillId="0" borderId="0" xfId="15" applyFont="1" applyAlignment="1">
      <alignment wrapText="1"/>
    </xf>
    <xf numFmtId="3" fontId="32" fillId="0" borderId="0" xfId="14" applyNumberFormat="1" applyFont="1" applyAlignment="1">
      <alignment horizontal="left"/>
    </xf>
    <xf numFmtId="3" fontId="32" fillId="0" borderId="0" xfId="14" applyNumberFormat="1" applyFont="1" applyAlignment="1">
      <alignment wrapText="1"/>
    </xf>
    <xf numFmtId="168" fontId="2" fillId="0" borderId="0" xfId="0" applyNumberFormat="1" applyFont="1" applyBorder="1" applyAlignment="1" applyProtection="1">
      <protection locked="0"/>
    </xf>
    <xf numFmtId="174" fontId="8" fillId="0" borderId="0" xfId="1" applyNumberFormat="1" applyFont="1" applyBorder="1" applyAlignment="1" applyProtection="1">
      <protection locked="0"/>
    </xf>
    <xf numFmtId="0" fontId="2" fillId="0" borderId="0" xfId="0" applyNumberFormat="1" applyFont="1" applyAlignment="1" applyProtection="1">
      <protection locked="0"/>
    </xf>
    <xf numFmtId="174" fontId="2" fillId="0" borderId="0" xfId="1" applyNumberFormat="1" applyFont="1" applyFill="1" applyBorder="1"/>
    <xf numFmtId="37" fontId="30" fillId="0" borderId="0" xfId="0" applyNumberFormat="1" applyFont="1" applyBorder="1"/>
    <xf numFmtId="164" fontId="0" fillId="0" borderId="3" xfId="0" applyBorder="1" applyAlignment="1">
      <alignment horizontal="center"/>
    </xf>
    <xf numFmtId="164" fontId="0" fillId="0" borderId="0" xfId="0" applyAlignment="1">
      <alignment horizontal="center"/>
    </xf>
    <xf numFmtId="49" fontId="2" fillId="0" borderId="0" xfId="0" applyNumberFormat="1" applyFont="1" applyBorder="1" applyAlignment="1" applyProtection="1">
      <protection locked="0"/>
    </xf>
    <xf numFmtId="168" fontId="2" fillId="0" borderId="0" xfId="0" applyNumberFormat="1" applyFont="1" applyAlignment="1" applyProtection="1">
      <alignment horizontal="right"/>
      <protection locked="0"/>
    </xf>
    <xf numFmtId="0" fontId="2" fillId="0" borderId="0" xfId="0" applyNumberFormat="1" applyFont="1" applyAlignment="1" applyProtection="1">
      <protection locked="0"/>
    </xf>
    <xf numFmtId="164" fontId="0" fillId="0" borderId="0" xfId="0" applyBorder="1"/>
    <xf numFmtId="164" fontId="0" fillId="0" borderId="0" xfId="0" applyFill="1" applyBorder="1"/>
    <xf numFmtId="164" fontId="0" fillId="0" borderId="3" xfId="0" applyBorder="1"/>
    <xf numFmtId="164" fontId="40" fillId="0" borderId="0" xfId="0" applyFont="1"/>
    <xf numFmtId="164" fontId="40" fillId="0" borderId="0" xfId="0" applyFont="1" applyBorder="1"/>
    <xf numFmtId="164" fontId="40" fillId="0" borderId="0" xfId="0" applyFont="1" applyAlignment="1">
      <alignment horizontal="center"/>
    </xf>
    <xf numFmtId="39" fontId="40" fillId="0" borderId="0" xfId="0" applyNumberFormat="1" applyFont="1"/>
    <xf numFmtId="44" fontId="40" fillId="0" borderId="0" xfId="16" applyFont="1"/>
    <xf numFmtId="43" fontId="32" fillId="0" borderId="0" xfId="1" applyFont="1" applyFill="1" applyBorder="1" applyAlignment="1"/>
    <xf numFmtId="167" fontId="32" fillId="0" borderId="0" xfId="14" applyNumberFormat="1" applyFont="1" applyFill="1" applyBorder="1" applyAlignment="1"/>
    <xf numFmtId="187" fontId="32" fillId="0" borderId="0" xfId="14" applyNumberFormat="1" applyFont="1" applyFill="1" applyBorder="1" applyAlignment="1"/>
    <xf numFmtId="0" fontId="2" fillId="0" borderId="0" xfId="0" applyNumberFormat="1" applyFont="1" applyAlignment="1" applyProtection="1">
      <protection locked="0"/>
    </xf>
    <xf numFmtId="164" fontId="30" fillId="0" borderId="0" xfId="0" applyFont="1"/>
    <xf numFmtId="0" fontId="2" fillId="0" borderId="0" xfId="0" applyNumberFormat="1" applyFont="1" applyAlignment="1" applyProtection="1">
      <protection locked="0"/>
    </xf>
    <xf numFmtId="0" fontId="2" fillId="0" borderId="0" xfId="0" applyNumberFormat="1" applyFont="1" applyAlignment="1" applyProtection="1">
      <protection locked="0"/>
    </xf>
    <xf numFmtId="39" fontId="30" fillId="0" borderId="0" xfId="0" applyNumberFormat="1" applyFont="1" applyAlignment="1"/>
    <xf numFmtId="0" fontId="41" fillId="0" borderId="0" xfId="0" applyNumberFormat="1" applyFont="1" applyAlignment="1" applyProtection="1">
      <protection locked="0"/>
    </xf>
    <xf numFmtId="178" fontId="2" fillId="0" borderId="0" xfId="1" applyNumberFormat="1" applyFont="1" applyFill="1" applyAlignment="1" applyProtection="1">
      <protection locked="0"/>
    </xf>
    <xf numFmtId="174" fontId="2" fillId="0" borderId="0" xfId="0" applyNumberFormat="1" applyFont="1" applyFill="1" applyAlignment="1" applyProtection="1">
      <protection locked="0"/>
    </xf>
    <xf numFmtId="176" fontId="2" fillId="0" borderId="0" xfId="11" applyFont="1" applyAlignment="1"/>
    <xf numFmtId="43" fontId="4" fillId="0" borderId="0" xfId="1" applyFont="1" applyAlignment="1">
      <alignment horizontal="right"/>
    </xf>
    <xf numFmtId="43" fontId="4" fillId="0" borderId="0" xfId="1" applyFont="1" applyAlignment="1"/>
    <xf numFmtId="43" fontId="4" fillId="0" borderId="0" xfId="10" applyNumberFormat="1" applyFont="1" applyAlignment="1"/>
    <xf numFmtId="4" fontId="2" fillId="0" borderId="0" xfId="10" applyNumberFormat="1" applyFont="1" applyAlignment="1"/>
    <xf numFmtId="174" fontId="4" fillId="0" borderId="0" xfId="0" applyNumberFormat="1" applyFont="1" applyAlignment="1" applyProtection="1">
      <protection locked="0"/>
    </xf>
    <xf numFmtId="174" fontId="10" fillId="2" borderId="3" xfId="0" applyNumberFormat="1" applyFont="1" applyFill="1" applyBorder="1" applyAlignment="1" applyProtection="1">
      <protection locked="0"/>
    </xf>
    <xf numFmtId="44" fontId="2" fillId="0" borderId="0" xfId="0" applyNumberFormat="1" applyFont="1" applyAlignment="1" applyProtection="1">
      <protection locked="0"/>
    </xf>
    <xf numFmtId="3" fontId="2" fillId="0" borderId="0" xfId="10" applyNumberFormat="1" applyFont="1" applyAlignment="1"/>
    <xf numFmtId="176" fontId="4" fillId="0" borderId="0" xfId="11" quotePrefix="1" applyFont="1" applyAlignment="1"/>
    <xf numFmtId="0" fontId="2" fillId="0" borderId="0" xfId="0" applyNumberFormat="1" applyFont="1" applyAlignment="1" applyProtection="1">
      <protection locked="0"/>
    </xf>
    <xf numFmtId="41" fontId="8" fillId="0" borderId="0" xfId="0" applyNumberFormat="1" applyFont="1" applyBorder="1" applyAlignment="1" applyProtection="1">
      <protection locked="0"/>
    </xf>
    <xf numFmtId="37" fontId="2" fillId="0" borderId="3" xfId="0" applyNumberFormat="1" applyFont="1" applyBorder="1"/>
    <xf numFmtId="3" fontId="33" fillId="0" borderId="0" xfId="14" applyNumberFormat="1" applyFont="1" applyFill="1" applyAlignment="1"/>
    <xf numFmtId="3" fontId="33" fillId="0" borderId="0" xfId="15" applyFont="1" applyFill="1" applyAlignment="1">
      <alignment horizontal="center"/>
    </xf>
    <xf numFmtId="3" fontId="33" fillId="0" borderId="3" xfId="15" applyFont="1" applyFill="1" applyBorder="1" applyAlignment="1">
      <alignment horizontal="center"/>
    </xf>
    <xf numFmtId="41" fontId="33" fillId="0" borderId="0" xfId="16" applyNumberFormat="1" applyFont="1" applyFill="1" applyBorder="1" applyAlignment="1"/>
    <xf numFmtId="188" fontId="32" fillId="0" borderId="0" xfId="14" applyNumberFormat="1" applyFont="1" applyFill="1" applyBorder="1" applyAlignment="1"/>
    <xf numFmtId="0" fontId="2" fillId="0" borderId="0" xfId="0" applyNumberFormat="1" applyFont="1" applyAlignment="1" applyProtection="1">
      <protection locked="0"/>
    </xf>
    <xf numFmtId="43" fontId="2" fillId="0" borderId="0" xfId="1" applyFont="1" applyBorder="1" applyAlignment="1" applyProtection="1">
      <protection locked="0"/>
    </xf>
    <xf numFmtId="43" fontId="2" fillId="0" borderId="0" xfId="0" applyNumberFormat="1" applyFont="1" applyBorder="1" applyAlignment="1" applyProtection="1">
      <protection locked="0"/>
    </xf>
    <xf numFmtId="1" fontId="2" fillId="0" borderId="0" xfId="0" applyNumberFormat="1" applyFont="1" applyBorder="1" applyAlignment="1" applyProtection="1">
      <protection locked="0"/>
    </xf>
    <xf numFmtId="0" fontId="2" fillId="0" borderId="0" xfId="0" applyNumberFormat="1" applyFont="1" applyAlignment="1" applyProtection="1">
      <protection locked="0"/>
    </xf>
    <xf numFmtId="0" fontId="2" fillId="0" borderId="0" xfId="0" applyNumberFormat="1" applyFont="1" applyAlignment="1" applyProtection="1">
      <protection locked="0"/>
    </xf>
    <xf numFmtId="49" fontId="2" fillId="0" borderId="0" xfId="0" applyNumberFormat="1" applyFont="1" applyBorder="1" applyAlignment="1">
      <alignment horizontal="center"/>
    </xf>
    <xf numFmtId="1" fontId="2" fillId="0" borderId="0" xfId="0" applyNumberFormat="1" applyFont="1" applyBorder="1" applyAlignment="1">
      <alignment horizontal="center"/>
    </xf>
    <xf numFmtId="0" fontId="2" fillId="0" borderId="0" xfId="10" applyFont="1" applyAlignment="1"/>
    <xf numFmtId="37" fontId="2" fillId="0" borderId="1" xfId="10" applyNumberFormat="1" applyFont="1" applyBorder="1" applyAlignment="1">
      <alignment horizontal="center"/>
    </xf>
    <xf numFmtId="0" fontId="2" fillId="0" borderId="0" xfId="10" applyNumberFormat="1" applyFont="1" applyAlignment="1"/>
    <xf numFmtId="0" fontId="2" fillId="0" borderId="0" xfId="0" applyNumberFormat="1" applyFont="1" applyAlignment="1" applyProtection="1">
      <protection locked="0"/>
    </xf>
    <xf numFmtId="0" fontId="2" fillId="0" borderId="0" xfId="0" applyNumberFormat="1" applyFont="1" applyAlignment="1" applyProtection="1">
      <protection locked="0"/>
    </xf>
    <xf numFmtId="43" fontId="2" fillId="0" borderId="0" xfId="1" applyFont="1" applyAlignment="1" applyProtection="1">
      <protection locked="0"/>
    </xf>
    <xf numFmtId="0" fontId="2" fillId="0" borderId="0" xfId="0" applyNumberFormat="1" applyFont="1" applyAlignment="1" applyProtection="1">
      <protection locked="0"/>
    </xf>
    <xf numFmtId="176" fontId="4" fillId="0" borderId="0" xfId="11" applyFont="1" applyAlignment="1">
      <alignment horizontal="center"/>
    </xf>
    <xf numFmtId="190" fontId="32" fillId="0" borderId="0" xfId="14" applyNumberFormat="1" applyFont="1" applyFill="1" applyBorder="1" applyAlignment="1"/>
    <xf numFmtId="184" fontId="2" fillId="0" borderId="0" xfId="0" applyNumberFormat="1" applyFont="1" applyAlignment="1" applyProtection="1">
      <protection locked="0"/>
    </xf>
    <xf numFmtId="191" fontId="2" fillId="0" borderId="0" xfId="0" applyNumberFormat="1" applyFont="1" applyAlignment="1" applyProtection="1">
      <protection locked="0"/>
    </xf>
    <xf numFmtId="192" fontId="2" fillId="0" borderId="0" xfId="0" applyNumberFormat="1" applyFont="1" applyAlignment="1" applyProtection="1">
      <protection locked="0"/>
    </xf>
    <xf numFmtId="43" fontId="2" fillId="0" borderId="0" xfId="1" applyNumberFormat="1" applyFont="1" applyAlignment="1" applyProtection="1">
      <protection locked="0"/>
    </xf>
    <xf numFmtId="43" fontId="8" fillId="0" borderId="0" xfId="1" applyFont="1" applyBorder="1" applyAlignment="1" applyProtection="1">
      <protection locked="0"/>
    </xf>
    <xf numFmtId="43" fontId="8" fillId="0" borderId="0" xfId="1" applyFont="1" applyBorder="1"/>
    <xf numFmtId="176" fontId="42" fillId="0" borderId="0" xfId="11" applyFont="1" applyAlignment="1">
      <alignment horizontal="centerContinuous"/>
    </xf>
    <xf numFmtId="176" fontId="1" fillId="0" borderId="0" xfId="11" applyFont="1" applyAlignment="1">
      <alignment horizontal="centerContinuous"/>
    </xf>
    <xf numFmtId="2" fontId="4" fillId="0" borderId="0" xfId="7" applyNumberFormat="1" applyFont="1" applyAlignment="1"/>
    <xf numFmtId="189" fontId="4" fillId="0" borderId="0" xfId="7" applyNumberFormat="1" applyFont="1" applyBorder="1" applyAlignment="1"/>
    <xf numFmtId="0" fontId="2" fillId="0" borderId="0" xfId="0" applyNumberFormat="1" applyFont="1" applyAlignment="1" applyProtection="1">
      <protection locked="0"/>
    </xf>
    <xf numFmtId="177" fontId="2" fillId="0" borderId="0" xfId="0" applyNumberFormat="1" applyFont="1" applyAlignment="1" applyProtection="1">
      <protection locked="0"/>
    </xf>
    <xf numFmtId="176" fontId="4" fillId="0" borderId="0" xfId="11" applyFont="1" applyAlignment="1">
      <alignment horizontal="center"/>
    </xf>
    <xf numFmtId="43" fontId="4" fillId="0" borderId="0" xfId="1" applyFont="1" applyAlignment="1" applyProtection="1">
      <alignment horizontal="right"/>
      <protection locked="0"/>
    </xf>
    <xf numFmtId="37" fontId="4" fillId="0" borderId="0" xfId="0" quotePrefix="1" applyNumberFormat="1" applyFont="1" applyAlignment="1" applyProtection="1">
      <alignment horizontal="center"/>
      <protection locked="0"/>
    </xf>
    <xf numFmtId="0" fontId="2" fillId="0" borderId="3" xfId="0" applyNumberFormat="1" applyFont="1" applyBorder="1" applyAlignment="1" applyProtection="1">
      <alignment horizontal="center"/>
      <protection locked="0"/>
    </xf>
    <xf numFmtId="0" fontId="8" fillId="0" borderId="3" xfId="10" applyNumberFormat="1" applyFont="1" applyBorder="1" applyAlignment="1">
      <alignment horizontal="center"/>
    </xf>
    <xf numFmtId="0" fontId="8" fillId="0" borderId="0" xfId="10" applyNumberFormat="1" applyFont="1" applyAlignment="1">
      <alignment horizontal="right"/>
    </xf>
    <xf numFmtId="0" fontId="7" fillId="0" borderId="0" xfId="10" applyFont="1" applyAlignment="1"/>
    <xf numFmtId="0" fontId="2" fillId="0" borderId="0" xfId="0" applyNumberFormat="1" applyFont="1" applyAlignment="1" applyProtection="1">
      <protection locked="0"/>
    </xf>
    <xf numFmtId="174" fontId="10" fillId="0" borderId="3" xfId="1" applyNumberFormat="1" applyFont="1" applyBorder="1" applyAlignment="1"/>
    <xf numFmtId="0" fontId="2" fillId="0" borderId="3" xfId="0" applyNumberFormat="1" applyFont="1" applyBorder="1" applyAlignment="1" applyProtection="1">
      <protection locked="0"/>
    </xf>
    <xf numFmtId="0" fontId="15" fillId="0" borderId="0" xfId="0" applyNumberFormat="1" applyFont="1" applyAlignment="1">
      <alignment horizontal="centerContinuous"/>
    </xf>
    <xf numFmtId="0" fontId="15" fillId="0" borderId="0" xfId="0" applyNumberFormat="1" applyFont="1" applyAlignment="1"/>
    <xf numFmtId="0" fontId="15" fillId="0" borderId="0" xfId="0" applyNumberFormat="1" applyFont="1" applyAlignment="1">
      <alignment horizontal="center"/>
    </xf>
    <xf numFmtId="0" fontId="15" fillId="0" borderId="1" xfId="0" applyNumberFormat="1" applyFont="1" applyBorder="1" applyAlignment="1">
      <alignment horizontal="centerContinuous"/>
    </xf>
    <xf numFmtId="0" fontId="15" fillId="0" borderId="1" xfId="0" applyNumberFormat="1" applyFont="1" applyBorder="1" applyAlignment="1">
      <alignment horizontal="center"/>
    </xf>
    <xf numFmtId="0" fontId="15" fillId="0" borderId="0" xfId="0" applyNumberFormat="1" applyFont="1" applyAlignment="1" applyProtection="1">
      <protection locked="0"/>
    </xf>
    <xf numFmtId="164" fontId="15" fillId="0" borderId="0" xfId="0" applyNumberFormat="1" applyFont="1" applyAlignment="1"/>
    <xf numFmtId="171" fontId="15" fillId="0" borderId="0" xfId="0" applyNumberFormat="1" applyFont="1" applyAlignment="1"/>
    <xf numFmtId="164" fontId="15" fillId="0" borderId="0" xfId="0" applyFont="1" applyAlignment="1"/>
    <xf numFmtId="3" fontId="15" fillId="0" borderId="0" xfId="0" applyNumberFormat="1" applyFont="1" applyAlignment="1"/>
    <xf numFmtId="3" fontId="15" fillId="0" borderId="1" xfId="0" applyNumberFormat="1" applyFont="1" applyBorder="1" applyAlignment="1"/>
    <xf numFmtId="165" fontId="15" fillId="0" borderId="1" xfId="0" applyNumberFormat="1" applyFont="1" applyBorder="1" applyAlignment="1"/>
    <xf numFmtId="171" fontId="15" fillId="0" borderId="4" xfId="0" applyNumberFormat="1" applyFont="1" applyBorder="1" applyAlignment="1"/>
    <xf numFmtId="3" fontId="15" fillId="0" borderId="0" xfId="0" applyNumberFormat="1" applyFont="1" applyBorder="1" applyAlignment="1"/>
    <xf numFmtId="165" fontId="15" fillId="0" borderId="0" xfId="0" applyNumberFormat="1" applyFont="1" applyAlignment="1"/>
    <xf numFmtId="165" fontId="15" fillId="0" borderId="2" xfId="0" applyNumberFormat="1" applyFont="1" applyBorder="1" applyAlignment="1"/>
    <xf numFmtId="0" fontId="15" fillId="0" borderId="0" xfId="5" applyNumberFormat="1" applyFont="1" applyAlignment="1"/>
    <xf numFmtId="0" fontId="43" fillId="0" borderId="0" xfId="5" applyNumberFormat="1" applyFont="1" applyAlignment="1"/>
    <xf numFmtId="0" fontId="15" fillId="0" borderId="0" xfId="5" applyNumberFormat="1" applyFont="1" applyAlignment="1">
      <alignment horizontal="centerContinuous"/>
    </xf>
    <xf numFmtId="0" fontId="15" fillId="0" borderId="0" xfId="5" applyNumberFormat="1" applyFont="1" applyAlignment="1">
      <alignment horizontal="center"/>
    </xf>
    <xf numFmtId="0" fontId="15" fillId="0" borderId="1" xfId="5" applyNumberFormat="1" applyFont="1" applyBorder="1" applyAlignment="1">
      <alignment horizontal="centerContinuous"/>
    </xf>
    <xf numFmtId="0" fontId="15" fillId="0" borderId="1" xfId="5" applyNumberFormat="1" applyFont="1" applyBorder="1" applyAlignment="1">
      <alignment horizontal="center"/>
    </xf>
    <xf numFmtId="0" fontId="15" fillId="0" borderId="0" xfId="5" applyFont="1" applyAlignment="1"/>
    <xf numFmtId="164" fontId="15" fillId="0" borderId="0" xfId="5" applyNumberFormat="1" applyFont="1" applyAlignment="1"/>
    <xf numFmtId="171" fontId="15" fillId="0" borderId="0" xfId="5" applyNumberFormat="1" applyFont="1" applyAlignment="1"/>
    <xf numFmtId="164" fontId="44" fillId="0" borderId="0" xfId="5" applyNumberFormat="1" applyFont="1" applyBorder="1" applyAlignment="1"/>
    <xf numFmtId="3" fontId="15" fillId="0" borderId="0" xfId="5" applyNumberFormat="1" applyFont="1" applyAlignment="1"/>
    <xf numFmtId="164" fontId="44" fillId="0" borderId="3" xfId="5" applyNumberFormat="1" applyFont="1" applyBorder="1" applyAlignment="1"/>
    <xf numFmtId="171" fontId="15" fillId="0" borderId="1" xfId="5" applyNumberFormat="1" applyFont="1" applyBorder="1" applyAlignment="1"/>
    <xf numFmtId="165" fontId="15" fillId="0" borderId="0" xfId="5" applyNumberFormat="1" applyFont="1" applyBorder="1" applyAlignment="1"/>
    <xf numFmtId="171" fontId="15" fillId="0" borderId="4" xfId="5" applyNumberFormat="1" applyFont="1" applyBorder="1" applyAlignment="1"/>
    <xf numFmtId="164" fontId="15" fillId="0" borderId="4" xfId="5" applyNumberFormat="1" applyFont="1" applyBorder="1" applyAlignment="1"/>
    <xf numFmtId="0" fontId="15" fillId="0" borderId="0" xfId="0" applyNumberFormat="1" applyFont="1" applyAlignment="1">
      <alignment horizontal="centerContinuous" vertical="top" wrapText="1"/>
    </xf>
    <xf numFmtId="3" fontId="15" fillId="0" borderId="1" xfId="0" quotePrefix="1" applyNumberFormat="1" applyFont="1" applyBorder="1" applyAlignment="1">
      <alignment horizontal="center"/>
    </xf>
    <xf numFmtId="3" fontId="44" fillId="0" borderId="0" xfId="0" applyNumberFormat="1" applyFont="1" applyAlignment="1"/>
    <xf numFmtId="164" fontId="44" fillId="0" borderId="0" xfId="0" applyFont="1" applyAlignment="1"/>
    <xf numFmtId="164" fontId="15" fillId="0" borderId="4" xfId="0" applyFont="1" applyBorder="1" applyAlignment="1"/>
    <xf numFmtId="3" fontId="15" fillId="0" borderId="2" xfId="0" applyNumberFormat="1" applyFont="1" applyBorder="1" applyAlignment="1"/>
    <xf numFmtId="165" fontId="15" fillId="0" borderId="0" xfId="0" applyNumberFormat="1" applyFont="1" applyBorder="1" applyAlignment="1"/>
    <xf numFmtId="3" fontId="15" fillId="0" borderId="4" xfId="0" applyNumberFormat="1" applyFont="1" applyBorder="1" applyAlignment="1"/>
    <xf numFmtId="0" fontId="15" fillId="0" borderId="0" xfId="0" applyNumberFormat="1" applyFont="1" applyBorder="1"/>
    <xf numFmtId="42" fontId="15" fillId="0" borderId="0" xfId="0" applyNumberFormat="1" applyFont="1" applyAlignment="1"/>
    <xf numFmtId="41" fontId="15" fillId="0" borderId="0" xfId="0" applyNumberFormat="1" applyFont="1" applyAlignment="1"/>
    <xf numFmtId="41" fontId="15" fillId="0" borderId="1" xfId="0" applyNumberFormat="1" applyFont="1" applyBorder="1" applyAlignment="1"/>
    <xf numFmtId="41" fontId="15" fillId="0" borderId="4" xfId="0" applyNumberFormat="1" applyFont="1" applyBorder="1" applyAlignment="1"/>
    <xf numFmtId="164" fontId="15" fillId="0" borderId="4" xfId="0" applyNumberFormat="1" applyFont="1" applyBorder="1" applyAlignment="1"/>
    <xf numFmtId="0" fontId="43" fillId="0" borderId="0" xfId="0" applyNumberFormat="1" applyFont="1" applyAlignment="1"/>
    <xf numFmtId="0" fontId="44" fillId="0" borderId="0" xfId="5" applyNumberFormat="1" applyFont="1" applyAlignment="1"/>
    <xf numFmtId="164" fontId="15" fillId="0" borderId="1" xfId="5" applyNumberFormat="1" applyFont="1" applyBorder="1" applyAlignment="1"/>
    <xf numFmtId="0" fontId="15" fillId="0" borderId="2" xfId="5" applyNumberFormat="1" applyFont="1" applyBorder="1" applyAlignment="1"/>
    <xf numFmtId="164" fontId="44" fillId="0" borderId="0" xfId="5" applyNumberFormat="1" applyFont="1" applyAlignment="1"/>
    <xf numFmtId="3" fontId="15" fillId="0" borderId="1" xfId="5" applyNumberFormat="1" applyFont="1" applyBorder="1" applyAlignment="1"/>
    <xf numFmtId="165" fontId="15" fillId="0" borderId="1" xfId="5" applyNumberFormat="1" applyFont="1" applyBorder="1" applyAlignment="1"/>
    <xf numFmtId="3" fontId="15" fillId="0" borderId="2" xfId="5" applyNumberFormat="1" applyFont="1" applyBorder="1" applyAlignment="1"/>
    <xf numFmtId="165" fontId="15" fillId="0" borderId="0" xfId="5" applyNumberFormat="1" applyFont="1" applyAlignment="1"/>
    <xf numFmtId="165" fontId="15" fillId="0" borderId="2" xfId="5" applyNumberFormat="1" applyFont="1" applyBorder="1" applyAlignment="1"/>
    <xf numFmtId="0" fontId="2" fillId="0" borderId="0" xfId="0" applyNumberFormat="1" applyFont="1" applyAlignment="1" applyProtection="1">
      <protection locked="0"/>
    </xf>
    <xf numFmtId="0" fontId="15" fillId="0" borderId="0" xfId="0" applyNumberFormat="1" applyFont="1" applyAlignment="1">
      <alignment horizontal="center"/>
    </xf>
    <xf numFmtId="3" fontId="35" fillId="0" borderId="0" xfId="15" applyFont="1" applyFill="1" applyBorder="1" applyAlignment="1">
      <alignment horizontal="right" wrapText="1"/>
    </xf>
    <xf numFmtId="3" fontId="35" fillId="0" borderId="0" xfId="15" applyFont="1" applyFill="1" applyBorder="1" applyAlignment="1">
      <alignment horizontal="center" wrapText="1"/>
    </xf>
    <xf numFmtId="0" fontId="35" fillId="0" borderId="0" xfId="15" applyNumberFormat="1" applyFont="1" applyFill="1" applyBorder="1" applyAlignment="1">
      <alignment horizontal="center" wrapText="1"/>
    </xf>
    <xf numFmtId="3" fontId="35" fillId="2" borderId="0" xfId="15" applyFont="1" applyFill="1" applyBorder="1" applyAlignment="1">
      <alignment horizontal="right" wrapText="1"/>
    </xf>
    <xf numFmtId="3" fontId="35" fillId="3" borderId="0" xfId="15" applyFont="1" applyFill="1" applyBorder="1" applyAlignment="1">
      <alignment horizontal="left" wrapText="1"/>
    </xf>
    <xf numFmtId="3" fontId="35" fillId="4" borderId="0" xfId="15" applyFont="1" applyFill="1" applyBorder="1" applyAlignment="1">
      <alignment horizontal="right" wrapText="1"/>
    </xf>
    <xf numFmtId="3" fontId="35" fillId="5" borderId="0" xfId="15" applyFont="1" applyFill="1" applyBorder="1" applyAlignment="1">
      <alignment horizontal="right" wrapText="1"/>
    </xf>
    <xf numFmtId="3" fontId="35" fillId="6" borderId="0" xfId="15" applyFont="1" applyFill="1" applyBorder="1" applyAlignment="1">
      <alignment horizontal="right" wrapText="1"/>
    </xf>
    <xf numFmtId="3" fontId="35" fillId="7" borderId="0" xfId="15" applyFont="1" applyFill="1" applyBorder="1" applyAlignment="1">
      <alignment horizontal="right" wrapText="1"/>
    </xf>
    <xf numFmtId="3" fontId="35" fillId="8" borderId="0" xfId="15" applyFont="1" applyFill="1" applyBorder="1" applyAlignment="1">
      <alignment horizontal="right" wrapText="1"/>
    </xf>
    <xf numFmtId="3" fontId="32" fillId="5" borderId="0" xfId="14" applyNumberFormat="1" applyFont="1" applyFill="1" applyBorder="1" applyAlignment="1"/>
    <xf numFmtId="0" fontId="15" fillId="0" borderId="0" xfId="8" applyNumberFormat="1" applyFont="1" applyAlignment="1"/>
    <xf numFmtId="0" fontId="15" fillId="0" borderId="0" xfId="8" applyFont="1" applyAlignment="1"/>
    <xf numFmtId="3" fontId="15" fillId="0" borderId="3" xfId="8" applyNumberFormat="1" applyFont="1" applyBorder="1" applyAlignment="1"/>
    <xf numFmtId="3" fontId="15" fillId="0" borderId="0" xfId="8" applyNumberFormat="1" applyFont="1" applyAlignment="1">
      <alignment horizontal="left"/>
    </xf>
    <xf numFmtId="0" fontId="15" fillId="0" borderId="0" xfId="8" applyNumberFormat="1" applyFont="1" applyAlignment="1">
      <alignment horizontal="centerContinuous"/>
    </xf>
    <xf numFmtId="0" fontId="15" fillId="0" borderId="0" xfId="8" applyNumberFormat="1" applyFont="1" applyAlignment="1">
      <alignment horizontal="center"/>
    </xf>
    <xf numFmtId="164" fontId="15" fillId="0" borderId="0" xfId="8" applyNumberFormat="1" applyFont="1" applyAlignment="1"/>
    <xf numFmtId="0" fontId="15" fillId="0" borderId="1" xfId="8" applyNumberFormat="1" applyFont="1" applyBorder="1" applyAlignment="1"/>
    <xf numFmtId="164" fontId="15" fillId="0" borderId="0" xfId="8" applyNumberFormat="1" applyFont="1" applyAlignment="1">
      <alignment horizontal="center"/>
    </xf>
    <xf numFmtId="0" fontId="15" fillId="0" borderId="0" xfId="0" applyNumberFormat="1" applyFont="1" applyAlignment="1" applyProtection="1">
      <alignment horizontal="center"/>
      <protection locked="0"/>
    </xf>
    <xf numFmtId="2" fontId="15" fillId="0" borderId="0" xfId="8" applyNumberFormat="1" applyFont="1" applyAlignment="1"/>
    <xf numFmtId="2" fontId="15" fillId="0" borderId="1" xfId="8" applyNumberFormat="1" applyFont="1" applyBorder="1" applyAlignment="1"/>
    <xf numFmtId="164" fontId="15" fillId="0" borderId="4" xfId="8" applyNumberFormat="1" applyFont="1" applyBorder="1" applyAlignment="1"/>
    <xf numFmtId="0" fontId="15" fillId="0" borderId="2" xfId="8" applyNumberFormat="1" applyFont="1" applyBorder="1" applyAlignment="1"/>
    <xf numFmtId="0" fontId="15" fillId="0" borderId="0" xfId="8" applyNumberFormat="1" applyFont="1" applyBorder="1" applyAlignment="1"/>
    <xf numFmtId="0" fontId="15" fillId="0" borderId="0" xfId="7" applyNumberFormat="1" applyFont="1" applyAlignment="1"/>
    <xf numFmtId="0" fontId="15" fillId="0" borderId="0" xfId="7" applyNumberFormat="1" applyFont="1" applyAlignment="1">
      <alignment horizontal="center"/>
    </xf>
    <xf numFmtId="0" fontId="15" fillId="0" borderId="0" xfId="7" applyFont="1" applyAlignment="1"/>
    <xf numFmtId="0" fontId="15" fillId="0" borderId="0" xfId="7" applyNumberFormat="1" applyFont="1" applyAlignment="1">
      <alignment horizontal="centerContinuous"/>
    </xf>
    <xf numFmtId="0" fontId="15" fillId="0" borderId="1" xfId="7" applyNumberFormat="1" applyFont="1" applyBorder="1" applyAlignment="1">
      <alignment horizontal="center"/>
    </xf>
    <xf numFmtId="0" fontId="15" fillId="0" borderId="1" xfId="7" applyNumberFormat="1" applyFont="1" applyBorder="1" applyAlignment="1">
      <alignment horizontal="centerContinuous"/>
    </xf>
    <xf numFmtId="170" fontId="15" fillId="0" borderId="0" xfId="7" applyNumberFormat="1" applyFont="1" applyAlignment="1"/>
    <xf numFmtId="165" fontId="15" fillId="0" borderId="0" xfId="7" applyNumberFormat="1" applyFont="1" applyAlignment="1"/>
    <xf numFmtId="164" fontId="15" fillId="0" borderId="0" xfId="7" applyNumberFormat="1" applyFont="1" applyAlignment="1"/>
    <xf numFmtId="37" fontId="15" fillId="0" borderId="1" xfId="7" applyNumberFormat="1" applyFont="1" applyBorder="1" applyAlignment="1"/>
    <xf numFmtId="165" fontId="15" fillId="0" borderId="1" xfId="7" applyNumberFormat="1" applyFont="1" applyBorder="1" applyAlignment="1"/>
    <xf numFmtId="0" fontId="15" fillId="0" borderId="1" xfId="7" applyNumberFormat="1" applyFont="1" applyBorder="1" applyAlignment="1"/>
    <xf numFmtId="170" fontId="15" fillId="0" borderId="4" xfId="7" applyNumberFormat="1" applyFont="1" applyBorder="1" applyAlignment="1"/>
    <xf numFmtId="164" fontId="15" fillId="0" borderId="4" xfId="7" applyNumberFormat="1" applyFont="1" applyBorder="1" applyAlignment="1"/>
    <xf numFmtId="0" fontId="15" fillId="0" borderId="0" xfId="3" applyNumberFormat="1" applyFont="1" applyAlignment="1">
      <alignment horizontal="centerContinuous"/>
    </xf>
    <xf numFmtId="0" fontId="15" fillId="0" borderId="0" xfId="3" applyNumberFormat="1" applyFont="1" applyAlignment="1"/>
    <xf numFmtId="0" fontId="15" fillId="0" borderId="0" xfId="3" applyFont="1" applyAlignment="1"/>
    <xf numFmtId="0" fontId="15" fillId="0" borderId="1" xfId="3" applyNumberFormat="1" applyFont="1" applyBorder="1" applyAlignment="1">
      <alignment horizontal="center"/>
    </xf>
    <xf numFmtId="0" fontId="15" fillId="0" borderId="0" xfId="3" applyNumberFormat="1" applyFont="1" applyAlignment="1">
      <alignment horizontal="center"/>
    </xf>
    <xf numFmtId="0" fontId="15" fillId="0" borderId="1" xfId="3" applyNumberFormat="1" applyFont="1" applyBorder="1" applyAlignment="1">
      <alignment horizontal="centerContinuous"/>
    </xf>
    <xf numFmtId="0" fontId="15" fillId="0" borderId="1" xfId="3" applyNumberFormat="1" applyFont="1" applyBorder="1" applyAlignment="1"/>
    <xf numFmtId="164" fontId="15" fillId="0" borderId="0" xfId="3" applyNumberFormat="1" applyFont="1" applyAlignment="1"/>
    <xf numFmtId="170" fontId="15" fillId="0" borderId="0" xfId="3" applyNumberFormat="1" applyFont="1" applyAlignment="1"/>
    <xf numFmtId="164" fontId="44" fillId="0" borderId="0" xfId="3" applyNumberFormat="1" applyFont="1" applyAlignment="1"/>
    <xf numFmtId="164" fontId="44" fillId="0" borderId="0" xfId="3" applyNumberFormat="1" applyFont="1" applyAlignment="1" applyProtection="1">
      <protection locked="0"/>
    </xf>
    <xf numFmtId="170" fontId="15" fillId="0" borderId="1" xfId="3" applyNumberFormat="1" applyFont="1" applyBorder="1" applyAlignment="1"/>
    <xf numFmtId="164" fontId="15" fillId="0" borderId="1" xfId="3" applyNumberFormat="1" applyFont="1" applyBorder="1" applyAlignment="1"/>
    <xf numFmtId="170" fontId="15" fillId="0" borderId="4" xfId="3" applyNumberFormat="1" applyFont="1" applyBorder="1" applyAlignment="1"/>
    <xf numFmtId="37" fontId="15" fillId="0" borderId="0" xfId="3" applyNumberFormat="1" applyFont="1" applyBorder="1" applyAlignment="1"/>
    <xf numFmtId="164" fontId="15" fillId="0" borderId="2" xfId="3" applyNumberFormat="1" applyFont="1" applyBorder="1" applyAlignment="1"/>
    <xf numFmtId="0" fontId="15" fillId="0" borderId="0" xfId="4" applyNumberFormat="1" applyFont="1" applyAlignment="1">
      <alignment horizontal="centerContinuous"/>
    </xf>
    <xf numFmtId="0" fontId="15" fillId="0" borderId="0" xfId="4" applyNumberFormat="1" applyFont="1" applyAlignment="1"/>
    <xf numFmtId="0" fontId="15" fillId="0" borderId="1" xfId="4" applyNumberFormat="1" applyFont="1" applyBorder="1" applyAlignment="1">
      <alignment horizontal="center"/>
    </xf>
    <xf numFmtId="0" fontId="15" fillId="0" borderId="0" xfId="4" applyNumberFormat="1" applyFont="1" applyAlignment="1">
      <alignment horizontal="center"/>
    </xf>
    <xf numFmtId="0" fontId="15" fillId="0" borderId="1" xfId="4" applyNumberFormat="1" applyFont="1" applyBorder="1" applyAlignment="1">
      <alignment horizontal="centerContinuous"/>
    </xf>
    <xf numFmtId="0" fontId="15" fillId="0" borderId="1" xfId="4" applyNumberFormat="1" applyFont="1" applyBorder="1" applyAlignment="1">
      <alignment horizontal="left"/>
    </xf>
    <xf numFmtId="167" fontId="15" fillId="0" borderId="0" xfId="4" applyNumberFormat="1" applyFont="1" applyAlignment="1"/>
    <xf numFmtId="0" fontId="15" fillId="0" borderId="0" xfId="4" applyNumberFormat="1" applyFont="1" applyAlignment="1">
      <alignment horizontal="right"/>
    </xf>
    <xf numFmtId="167" fontId="15" fillId="0" borderId="0" xfId="4" applyNumberFormat="1" applyFont="1" applyAlignment="1" applyProtection="1">
      <protection locked="0"/>
    </xf>
    <xf numFmtId="167" fontId="15" fillId="0" borderId="1" xfId="4" applyNumberFormat="1" applyFont="1" applyBorder="1" applyAlignment="1"/>
    <xf numFmtId="167" fontId="15" fillId="0" borderId="4" xfId="4" applyNumberFormat="1" applyFont="1" applyBorder="1" applyAlignment="1"/>
    <xf numFmtId="0" fontId="15" fillId="0" borderId="2" xfId="4" applyNumberFormat="1" applyFont="1" applyBorder="1" applyAlignment="1"/>
    <xf numFmtId="0" fontId="15" fillId="0" borderId="0" xfId="4" applyNumberFormat="1" applyFont="1" applyBorder="1" applyAlignment="1"/>
    <xf numFmtId="0" fontId="43" fillId="0" borderId="0" xfId="4" applyNumberFormat="1" applyFont="1" applyAlignment="1"/>
    <xf numFmtId="0" fontId="15" fillId="0" borderId="0" xfId="4" applyFont="1" applyAlignment="1"/>
    <xf numFmtId="0" fontId="15" fillId="0" borderId="1" xfId="4" applyNumberFormat="1" applyFont="1" applyBorder="1" applyAlignment="1"/>
    <xf numFmtId="3" fontId="15" fillId="0" borderId="0" xfId="4" applyNumberFormat="1" applyFont="1" applyAlignment="1"/>
    <xf numFmtId="3" fontId="15" fillId="0" borderId="1" xfId="4" applyNumberFormat="1" applyFont="1" applyBorder="1" applyAlignment="1"/>
    <xf numFmtId="3" fontId="15" fillId="0" borderId="4" xfId="4" applyNumberFormat="1" applyFont="1" applyBorder="1" applyAlignment="1"/>
    <xf numFmtId="0" fontId="45" fillId="0" borderId="0" xfId="4" applyNumberFormat="1" applyFont="1" applyAlignment="1"/>
    <xf numFmtId="2" fontId="15" fillId="0" borderId="0" xfId="7" applyNumberFormat="1" applyFont="1" applyAlignment="1"/>
    <xf numFmtId="3" fontId="15" fillId="0" borderId="0" xfId="7" applyNumberFormat="1" applyFont="1" applyAlignment="1"/>
    <xf numFmtId="2" fontId="15" fillId="0" borderId="1" xfId="7" applyNumberFormat="1" applyFont="1" applyBorder="1" applyAlignment="1"/>
    <xf numFmtId="3" fontId="15" fillId="0" borderId="1" xfId="7" applyNumberFormat="1" applyFont="1" applyBorder="1" applyAlignment="1"/>
    <xf numFmtId="164" fontId="15" fillId="0" borderId="1" xfId="7" applyNumberFormat="1" applyFont="1" applyBorder="1" applyAlignment="1"/>
    <xf numFmtId="2" fontId="15" fillId="0" borderId="4" xfId="7" applyNumberFormat="1" applyFont="1" applyBorder="1" applyAlignment="1"/>
    <xf numFmtId="0" fontId="15" fillId="0" borderId="0" xfId="7" applyNumberFormat="1" applyFont="1" applyBorder="1" applyAlignment="1"/>
    <xf numFmtId="3" fontId="15" fillId="0" borderId="0" xfId="9" applyNumberFormat="1" applyFont="1" applyAlignment="1"/>
    <xf numFmtId="3" fontId="15" fillId="0" borderId="4" xfId="7" applyNumberFormat="1" applyFont="1" applyBorder="1" applyAlignment="1"/>
    <xf numFmtId="0" fontId="15" fillId="0" borderId="2" xfId="7" applyNumberFormat="1" applyFont="1" applyBorder="1" applyAlignment="1"/>
    <xf numFmtId="164" fontId="15" fillId="0" borderId="0" xfId="7" applyNumberFormat="1" applyFont="1" applyAlignment="1" applyProtection="1">
      <protection locked="0"/>
    </xf>
    <xf numFmtId="164" fontId="15" fillId="0" borderId="2" xfId="7" applyNumberFormat="1" applyFont="1" applyBorder="1" applyAlignment="1"/>
    <xf numFmtId="0" fontId="15" fillId="0" borderId="3" xfId="7" applyNumberFormat="1" applyFont="1" applyBorder="1" applyAlignment="1"/>
    <xf numFmtId="165" fontId="15" fillId="0" borderId="2" xfId="7" applyNumberFormat="1" applyFont="1" applyBorder="1" applyAlignment="1"/>
    <xf numFmtId="0" fontId="15" fillId="0" borderId="1" xfId="0" applyNumberFormat="1" applyFont="1" applyBorder="1" applyAlignment="1"/>
    <xf numFmtId="167" fontId="15" fillId="0" borderId="0" xfId="0" applyNumberFormat="1" applyFont="1" applyAlignment="1"/>
    <xf numFmtId="167" fontId="15" fillId="0" borderId="0" xfId="0" applyNumberFormat="1" applyFont="1" applyAlignment="1" applyProtection="1">
      <protection locked="0"/>
    </xf>
    <xf numFmtId="167" fontId="15" fillId="0" borderId="1" xfId="0" applyNumberFormat="1" applyFont="1" applyBorder="1" applyAlignment="1"/>
    <xf numFmtId="167" fontId="15" fillId="0" borderId="2" xfId="0" applyNumberFormat="1" applyFont="1" applyBorder="1" applyAlignment="1"/>
    <xf numFmtId="0" fontId="15" fillId="0" borderId="0" xfId="0" applyNumberFormat="1" applyFont="1" applyAlignment="1">
      <alignment horizontal="right"/>
    </xf>
    <xf numFmtId="170" fontId="15" fillId="0" borderId="0" xfId="0" applyNumberFormat="1" applyFont="1" applyAlignment="1"/>
    <xf numFmtId="164" fontId="15" fillId="0" borderId="0" xfId="0" applyNumberFormat="1" applyFont="1" applyAlignment="1" applyProtection="1">
      <protection locked="0"/>
    </xf>
    <xf numFmtId="37" fontId="15" fillId="0" borderId="1" xfId="0" applyNumberFormat="1" applyFont="1" applyBorder="1" applyAlignment="1"/>
    <xf numFmtId="164" fontId="15" fillId="0" borderId="1" xfId="0" applyFont="1" applyBorder="1" applyAlignment="1"/>
    <xf numFmtId="164" fontId="15" fillId="0" borderId="2" xfId="0" applyFont="1" applyBorder="1" applyAlignment="1"/>
    <xf numFmtId="164" fontId="15" fillId="0" borderId="0" xfId="0" applyFont="1" applyBorder="1" applyAlignment="1"/>
    <xf numFmtId="0" fontId="15" fillId="0" borderId="0" xfId="6" applyNumberFormat="1" applyFont="1" applyAlignment="1">
      <alignment horizontal="centerContinuous"/>
    </xf>
    <xf numFmtId="0" fontId="15" fillId="0" borderId="0" xfId="6" applyNumberFormat="1" applyFont="1" applyAlignment="1"/>
    <xf numFmtId="0" fontId="15" fillId="0" borderId="0" xfId="6" applyNumberFormat="1" applyFont="1" applyAlignment="1">
      <alignment horizontal="center"/>
    </xf>
    <xf numFmtId="0" fontId="15" fillId="0" borderId="1" xfId="6" applyNumberFormat="1" applyFont="1" applyBorder="1" applyAlignment="1">
      <alignment horizontal="center"/>
    </xf>
    <xf numFmtId="0" fontId="15" fillId="0" borderId="1" xfId="6" applyNumberFormat="1" applyFont="1" applyBorder="1" applyAlignment="1">
      <alignment horizontal="centerContinuous"/>
    </xf>
    <xf numFmtId="37" fontId="15" fillId="0" borderId="0" xfId="6" applyNumberFormat="1" applyFont="1" applyAlignment="1"/>
    <xf numFmtId="164" fontId="44" fillId="0" borderId="0" xfId="6" applyNumberFormat="1" applyFont="1" applyAlignment="1"/>
    <xf numFmtId="164" fontId="15" fillId="0" borderId="0" xfId="6" applyNumberFormat="1" applyFont="1" applyAlignment="1"/>
    <xf numFmtId="37" fontId="15" fillId="0" borderId="1" xfId="6" applyNumberFormat="1" applyFont="1" applyBorder="1" applyAlignment="1"/>
    <xf numFmtId="166" fontId="15" fillId="0" borderId="0" xfId="6" applyNumberFormat="1" applyFont="1" applyAlignment="1"/>
    <xf numFmtId="164" fontId="15" fillId="0" borderId="1" xfId="6" applyNumberFormat="1" applyFont="1" applyBorder="1" applyAlignment="1"/>
    <xf numFmtId="37" fontId="15" fillId="0" borderId="4" xfId="6" applyNumberFormat="1" applyFont="1" applyBorder="1" applyAlignment="1"/>
    <xf numFmtId="3" fontId="15" fillId="0" borderId="2" xfId="6" applyNumberFormat="1" applyFont="1" applyBorder="1" applyAlignment="1"/>
    <xf numFmtId="37" fontId="15" fillId="0" borderId="0" xfId="6" applyNumberFormat="1" applyFont="1" applyBorder="1" applyAlignment="1"/>
    <xf numFmtId="164" fontId="15" fillId="0" borderId="2" xfId="6" applyNumberFormat="1" applyFont="1" applyBorder="1" applyAlignment="1"/>
    <xf numFmtId="3" fontId="15" fillId="0" borderId="0" xfId="6" applyNumberFormat="1" applyFont="1" applyAlignment="1"/>
    <xf numFmtId="0" fontId="15" fillId="0" borderId="0" xfId="6" applyFont="1" applyAlignment="1"/>
    <xf numFmtId="0" fontId="15" fillId="0" borderId="1" xfId="6" applyNumberFormat="1" applyFont="1" applyBorder="1" applyAlignment="1"/>
    <xf numFmtId="2" fontId="15" fillId="0" borderId="0" xfId="6" applyNumberFormat="1" applyFont="1" applyAlignment="1"/>
    <xf numFmtId="2" fontId="15" fillId="0" borderId="1" xfId="6" applyNumberFormat="1" applyFont="1" applyBorder="1" applyAlignment="1"/>
    <xf numFmtId="2" fontId="15" fillId="0" borderId="4" xfId="6" applyNumberFormat="1" applyFont="1" applyBorder="1" applyAlignment="1"/>
    <xf numFmtId="2" fontId="15" fillId="0" borderId="0" xfId="6" applyNumberFormat="1" applyFont="1" applyBorder="1" applyAlignment="1"/>
    <xf numFmtId="0" fontId="15" fillId="0" borderId="2" xfId="6" applyNumberFormat="1" applyFont="1" applyBorder="1" applyAlignment="1"/>
    <xf numFmtId="37" fontId="15" fillId="0" borderId="0" xfId="0" applyNumberFormat="1" applyFont="1" applyBorder="1" applyAlignment="1"/>
    <xf numFmtId="37" fontId="15" fillId="0" borderId="3" xfId="0" applyNumberFormat="1" applyFont="1" applyBorder="1" applyAlignment="1"/>
    <xf numFmtId="37" fontId="15" fillId="0" borderId="4" xfId="0" applyNumberFormat="1" applyFont="1" applyBorder="1" applyAlignment="1"/>
    <xf numFmtId="0" fontId="15" fillId="0" borderId="2" xfId="0" applyNumberFormat="1" applyFont="1" applyBorder="1"/>
    <xf numFmtId="164" fontId="0" fillId="0" borderId="0" xfId="0" applyAlignment="1">
      <alignment horizontal="center"/>
    </xf>
    <xf numFmtId="1" fontId="0" fillId="0" borderId="0" xfId="0" applyNumberFormat="1" applyAlignment="1">
      <alignment horizontal="center"/>
    </xf>
    <xf numFmtId="177" fontId="40" fillId="0" borderId="0" xfId="2" applyNumberFormat="1" applyFont="1"/>
    <xf numFmtId="177" fontId="40" fillId="0" borderId="0" xfId="1" applyNumberFormat="1" applyFont="1"/>
    <xf numFmtId="177" fontId="40" fillId="0" borderId="3" xfId="1" applyNumberFormat="1" applyFont="1" applyBorder="1"/>
    <xf numFmtId="3" fontId="33" fillId="0" borderId="0" xfId="14" applyNumberFormat="1" applyFont="1" applyFill="1" applyBorder="1" applyAlignment="1">
      <alignment horizontal="center"/>
    </xf>
    <xf numFmtId="37" fontId="40" fillId="0" borderId="0" xfId="0" applyNumberFormat="1" applyFont="1"/>
    <xf numFmtId="3" fontId="8" fillId="0" borderId="0" xfId="0" applyNumberFormat="1" applyFont="1" applyBorder="1" applyAlignment="1" applyProtection="1">
      <protection locked="0"/>
    </xf>
    <xf numFmtId="0" fontId="2" fillId="0" borderId="0" xfId="0" applyNumberFormat="1" applyFont="1" applyBorder="1" applyAlignment="1" applyProtection="1">
      <alignment horizontal="center"/>
      <protection locked="0"/>
    </xf>
    <xf numFmtId="174" fontId="33" fillId="0" borderId="0" xfId="1" applyNumberFormat="1" applyFont="1" applyFill="1" applyBorder="1" applyAlignment="1"/>
    <xf numFmtId="174" fontId="2" fillId="0" borderId="3" xfId="1" applyNumberFormat="1" applyFont="1" applyFill="1" applyBorder="1" applyAlignment="1" applyProtection="1">
      <protection locked="0"/>
    </xf>
    <xf numFmtId="10" fontId="2" fillId="0" borderId="0" xfId="13" applyNumberFormat="1" applyFont="1" applyBorder="1" applyAlignment="1" applyProtection="1">
      <protection locked="0"/>
    </xf>
    <xf numFmtId="176" fontId="4" fillId="0" borderId="0" xfId="11" applyFont="1"/>
    <xf numFmtId="170" fontId="4" fillId="0" borderId="0" xfId="7" applyNumberFormat="1" applyFont="1" applyAlignment="1"/>
    <xf numFmtId="0" fontId="15" fillId="0" borderId="0" xfId="0" applyNumberFormat="1" applyFont="1" applyAlignment="1" applyProtection="1">
      <protection locked="0"/>
    </xf>
    <xf numFmtId="176" fontId="10" fillId="0" borderId="0" xfId="11" quotePrefix="1" applyFont="1" applyFill="1" applyAlignment="1"/>
    <xf numFmtId="176" fontId="4" fillId="0" borderId="0" xfId="11" applyFont="1" applyFill="1"/>
    <xf numFmtId="176" fontId="15" fillId="0" borderId="0" xfId="11" applyFont="1" applyAlignment="1"/>
    <xf numFmtId="176" fontId="15" fillId="0" borderId="0" xfId="11" applyFont="1" applyAlignment="1">
      <alignment horizontal="center"/>
    </xf>
    <xf numFmtId="176" fontId="15" fillId="0" borderId="3" xfId="11" applyFont="1" applyBorder="1" applyAlignment="1">
      <alignment horizontal="center"/>
    </xf>
    <xf numFmtId="41" fontId="15" fillId="0" borderId="0" xfId="11" quotePrefix="1" applyNumberFormat="1" applyFont="1" applyAlignment="1">
      <alignment horizontal="center"/>
    </xf>
    <xf numFmtId="41" fontId="15" fillId="0" borderId="0" xfId="11" applyNumberFormat="1" applyFont="1" applyAlignment="1"/>
    <xf numFmtId="177" fontId="15" fillId="0" borderId="0" xfId="2" applyNumberFormat="1" applyFont="1" applyAlignment="1"/>
    <xf numFmtId="176" fontId="15" fillId="0" borderId="0" xfId="11" quotePrefix="1" applyFont="1" applyAlignment="1"/>
    <xf numFmtId="43" fontId="15" fillId="0" borderId="0" xfId="1" applyFont="1" applyAlignment="1"/>
    <xf numFmtId="44" fontId="15" fillId="0" borderId="0" xfId="2" applyFont="1" applyAlignment="1"/>
    <xf numFmtId="43" fontId="15" fillId="0" borderId="0" xfId="1" applyNumberFormat="1" applyFont="1" applyAlignment="1"/>
    <xf numFmtId="41" fontId="15" fillId="0" borderId="0" xfId="11" applyNumberFormat="1" applyFont="1" applyBorder="1" applyAlignment="1"/>
    <xf numFmtId="43" fontId="15" fillId="0" borderId="0" xfId="1" applyNumberFormat="1" applyFont="1" applyBorder="1" applyAlignment="1"/>
    <xf numFmtId="41" fontId="15" fillId="0" borderId="3" xfId="11" applyNumberFormat="1" applyFont="1" applyBorder="1"/>
    <xf numFmtId="42" fontId="15" fillId="0" borderId="4" xfId="11" applyNumberFormat="1" applyFont="1" applyBorder="1" applyAlignment="1"/>
    <xf numFmtId="179" fontId="15" fillId="0" borderId="4" xfId="11" applyNumberFormat="1" applyFont="1" applyBorder="1" applyAlignment="1"/>
    <xf numFmtId="176" fontId="43" fillId="0" borderId="0" xfId="11" applyFont="1" applyAlignment="1"/>
    <xf numFmtId="0" fontId="43" fillId="0" borderId="0" xfId="0" applyNumberFormat="1" applyFont="1" applyAlignment="1" applyProtection="1">
      <protection locked="0"/>
    </xf>
    <xf numFmtId="168" fontId="15" fillId="0" borderId="0" xfId="0" applyNumberFormat="1" applyFont="1" applyBorder="1" applyAlignment="1">
      <alignment horizontal="center"/>
    </xf>
    <xf numFmtId="168" fontId="15" fillId="0" borderId="0" xfId="0" applyNumberFormat="1" applyFont="1" applyAlignment="1">
      <alignment horizontal="center"/>
    </xf>
    <xf numFmtId="176" fontId="15" fillId="0" borderId="0" xfId="11" applyNumberFormat="1" applyFont="1" applyAlignment="1"/>
    <xf numFmtId="175" fontId="15" fillId="0" borderId="0" xfId="1" applyNumberFormat="1" applyFont="1" applyAlignment="1"/>
    <xf numFmtId="44" fontId="15" fillId="0" borderId="0" xfId="0" applyNumberFormat="1" applyFont="1" applyFill="1"/>
    <xf numFmtId="44" fontId="15" fillId="0" borderId="0" xfId="2" applyFont="1" applyAlignment="1" applyProtection="1">
      <protection locked="0"/>
    </xf>
    <xf numFmtId="43" fontId="15" fillId="0" borderId="0" xfId="1" applyFont="1" applyAlignment="1" applyProtection="1">
      <protection locked="0"/>
    </xf>
    <xf numFmtId="181" fontId="15" fillId="0" borderId="0" xfId="11" applyNumberFormat="1" applyFont="1"/>
    <xf numFmtId="43" fontId="15" fillId="0" borderId="3" xfId="1" applyFont="1" applyBorder="1" applyAlignment="1"/>
    <xf numFmtId="44" fontId="15" fillId="0" borderId="0" xfId="2" applyNumberFormat="1" applyFont="1" applyAlignment="1" applyProtection="1">
      <protection locked="0"/>
    </xf>
    <xf numFmtId="43" fontId="15" fillId="0" borderId="0" xfId="1" applyFont="1" applyFill="1"/>
    <xf numFmtId="0" fontId="4" fillId="0" borderId="0" xfId="0" applyNumberFormat="1" applyFont="1" applyAlignment="1" applyProtection="1">
      <alignment horizontal="centerContinuous"/>
      <protection locked="0"/>
    </xf>
    <xf numFmtId="0" fontId="4" fillId="0" borderId="0" xfId="0" applyNumberFormat="1" applyFont="1" applyAlignment="1" applyProtection="1">
      <alignment horizontal="center"/>
      <protection locked="0"/>
    </xf>
    <xf numFmtId="0" fontId="15" fillId="0" borderId="0" xfId="0" applyNumberFormat="1" applyFont="1" applyAlignment="1" applyProtection="1">
      <protection locked="0"/>
    </xf>
    <xf numFmtId="0" fontId="17" fillId="0" borderId="0" xfId="0" applyNumberFormat="1" applyFont="1" applyAlignment="1" applyProtection="1">
      <protection locked="0"/>
    </xf>
    <xf numFmtId="0" fontId="4" fillId="0" borderId="3" xfId="0" applyNumberFormat="1" applyFont="1" applyBorder="1" applyAlignment="1" applyProtection="1">
      <protection locked="0"/>
    </xf>
    <xf numFmtId="0" fontId="15" fillId="0" borderId="3" xfId="0" applyNumberFormat="1" applyFont="1" applyBorder="1" applyAlignment="1" applyProtection="1">
      <alignment horizontal="center"/>
      <protection locked="0"/>
    </xf>
    <xf numFmtId="0" fontId="46" fillId="0" borderId="0" xfId="0" applyNumberFormat="1" applyFont="1" applyAlignment="1" applyProtection="1">
      <alignment horizontal="center"/>
      <protection locked="0"/>
    </xf>
    <xf numFmtId="0" fontId="15" fillId="0" borderId="0" xfId="0" quotePrefix="1" applyNumberFormat="1" applyFont="1" applyAlignment="1" applyProtection="1">
      <alignment horizontal="center"/>
      <protection locked="0"/>
    </xf>
    <xf numFmtId="8" fontId="15" fillId="0" borderId="0" xfId="2" applyNumberFormat="1" applyFont="1" applyAlignment="1" applyProtection="1">
      <protection locked="0"/>
    </xf>
    <xf numFmtId="0" fontId="46" fillId="0" borderId="0" xfId="0" applyNumberFormat="1" applyFont="1" applyAlignment="1" applyProtection="1">
      <protection locked="0"/>
    </xf>
    <xf numFmtId="185" fontId="45" fillId="0" borderId="0" xfId="2" applyNumberFormat="1" applyFont="1" applyAlignment="1" applyProtection="1">
      <protection locked="0"/>
    </xf>
    <xf numFmtId="186" fontId="15" fillId="0" borderId="0" xfId="2" applyNumberFormat="1" applyFont="1" applyAlignment="1" applyProtection="1">
      <protection locked="0"/>
    </xf>
    <xf numFmtId="183" fontId="15" fillId="0" borderId="0" xfId="1" applyNumberFormat="1" applyFont="1" applyAlignment="1" applyProtection="1">
      <protection locked="0"/>
    </xf>
    <xf numFmtId="44" fontId="45" fillId="0" borderId="0" xfId="2" applyFont="1" applyAlignment="1" applyProtection="1">
      <protection locked="0"/>
    </xf>
    <xf numFmtId="0" fontId="15" fillId="0" borderId="0" xfId="0" applyNumberFormat="1" applyFont="1" applyAlignment="1" applyProtection="1">
      <alignment horizontal="left"/>
      <protection locked="0"/>
    </xf>
    <xf numFmtId="0" fontId="45" fillId="0" borderId="0" xfId="0" applyNumberFormat="1" applyFont="1" applyAlignment="1" applyProtection="1">
      <protection locked="0"/>
    </xf>
    <xf numFmtId="0" fontId="15" fillId="0" borderId="3" xfId="0" applyNumberFormat="1" applyFont="1" applyBorder="1" applyAlignment="1" applyProtection="1">
      <protection locked="0"/>
    </xf>
    <xf numFmtId="0" fontId="4" fillId="0" borderId="0" xfId="0" applyNumberFormat="1" applyFont="1" applyAlignment="1" applyProtection="1">
      <alignment horizontal="center"/>
      <protection locked="0"/>
    </xf>
    <xf numFmtId="168" fontId="2" fillId="0" borderId="0" xfId="0" applyNumberFormat="1" applyFont="1" applyFill="1" applyAlignment="1" applyProtection="1">
      <alignment horizontal="center"/>
      <protection locked="0"/>
    </xf>
    <xf numFmtId="164" fontId="11" fillId="0" borderId="0" xfId="0" applyFont="1" applyFill="1"/>
    <xf numFmtId="0" fontId="8" fillId="0" borderId="1" xfId="12" applyNumberFormat="1" applyFont="1" applyFill="1" applyBorder="1" applyAlignment="1">
      <alignment horizontal="right"/>
    </xf>
    <xf numFmtId="0" fontId="8" fillId="0" borderId="1" xfId="12" applyNumberFormat="1" applyFont="1" applyFill="1" applyBorder="1" applyAlignment="1"/>
    <xf numFmtId="0" fontId="8" fillId="0" borderId="0" xfId="12" applyNumberFormat="1" applyFont="1" applyFill="1" applyAlignment="1"/>
    <xf numFmtId="165" fontId="8" fillId="0" borderId="0" xfId="12" applyNumberFormat="1" applyFont="1" applyFill="1" applyAlignment="1"/>
    <xf numFmtId="37" fontId="8" fillId="0" borderId="0" xfId="12" applyNumberFormat="1" applyFont="1" applyFill="1" applyBorder="1" applyAlignment="1"/>
    <xf numFmtId="3" fontId="8" fillId="0" borderId="0" xfId="12" applyNumberFormat="1" applyFont="1" applyFill="1" applyBorder="1" applyAlignment="1"/>
    <xf numFmtId="0" fontId="8" fillId="0" borderId="0" xfId="12" applyNumberFormat="1" applyFont="1" applyFill="1" applyAlignment="1">
      <alignment horizontal="right"/>
    </xf>
    <xf numFmtId="166" fontId="8" fillId="0" borderId="0" xfId="9" applyNumberFormat="1" applyFont="1" applyFill="1"/>
    <xf numFmtId="37" fontId="2" fillId="0" borderId="3" xfId="12" applyNumberFormat="1" applyFont="1" applyFill="1" applyBorder="1" applyAlignment="1"/>
    <xf numFmtId="3" fontId="8" fillId="0" borderId="3" xfId="12" applyNumberFormat="1" applyFont="1" applyFill="1" applyBorder="1" applyAlignment="1"/>
    <xf numFmtId="0" fontId="2" fillId="0" borderId="0" xfId="12" applyNumberFormat="1" applyFont="1" applyFill="1" applyAlignment="1"/>
    <xf numFmtId="174" fontId="8" fillId="0" borderId="4" xfId="1" applyNumberFormat="1" applyFont="1" applyFill="1" applyBorder="1" applyAlignment="1"/>
    <xf numFmtId="3" fontId="8" fillId="0" borderId="4" xfId="12" applyNumberFormat="1" applyFont="1" applyFill="1" applyBorder="1" applyAlignment="1"/>
    <xf numFmtId="164" fontId="8" fillId="0" borderId="4" xfId="12" applyNumberFormat="1" applyFont="1" applyFill="1" applyBorder="1" applyAlignment="1"/>
    <xf numFmtId="3" fontId="8" fillId="0" borderId="0" xfId="12" applyNumberFormat="1" applyFont="1" applyFill="1" applyAlignment="1"/>
    <xf numFmtId="164" fontId="8" fillId="0" borderId="0" xfId="12" applyNumberFormat="1" applyFont="1" applyFill="1" applyAlignment="1"/>
    <xf numFmtId="0" fontId="9" fillId="0" borderId="0" xfId="12" applyNumberFormat="1" applyFont="1" applyFill="1" applyAlignment="1"/>
    <xf numFmtId="3" fontId="2" fillId="0" borderId="0" xfId="0" applyNumberFormat="1" applyFont="1" applyFill="1" applyAlignment="1" applyProtection="1">
      <protection locked="0"/>
    </xf>
    <xf numFmtId="0" fontId="8" fillId="0" borderId="0" xfId="9" applyNumberFormat="1" applyFont="1" applyFill="1" applyAlignment="1"/>
    <xf numFmtId="3" fontId="8" fillId="0" borderId="0" xfId="9" applyNumberFormat="1" applyFont="1" applyFill="1" applyAlignment="1"/>
    <xf numFmtId="0" fontId="8" fillId="0" borderId="0" xfId="0" applyNumberFormat="1" applyFont="1" applyFill="1" applyAlignment="1" applyProtection="1">
      <protection locked="0"/>
    </xf>
    <xf numFmtId="0" fontId="8" fillId="0" borderId="0" xfId="12" applyNumberFormat="1" applyFont="1" applyFill="1" applyAlignment="1">
      <alignment horizontal="center"/>
    </xf>
    <xf numFmtId="0" fontId="8" fillId="0" borderId="3" xfId="12" applyNumberFormat="1" applyFont="1" applyFill="1" applyBorder="1" applyAlignment="1">
      <alignment horizontal="center"/>
    </xf>
    <xf numFmtId="3" fontId="8" fillId="0" borderId="1" xfId="12" applyNumberFormat="1" applyFont="1" applyFill="1" applyBorder="1" applyAlignment="1"/>
    <xf numFmtId="167" fontId="8" fillId="0" borderId="4" xfId="12" applyNumberFormat="1" applyFont="1" applyFill="1" applyBorder="1" applyAlignment="1"/>
    <xf numFmtId="0" fontId="8" fillId="0" borderId="3" xfId="0" applyNumberFormat="1" applyFont="1" applyFill="1" applyBorder="1" applyAlignment="1" applyProtection="1">
      <protection locked="0"/>
    </xf>
    <xf numFmtId="184" fontId="15" fillId="0" borderId="0" xfId="2" applyNumberFormat="1" applyFont="1" applyAlignment="1" applyProtection="1">
      <protection locked="0"/>
    </xf>
    <xf numFmtId="2" fontId="15" fillId="0" borderId="0" xfId="6" applyNumberFormat="1" applyFont="1" applyFill="1" applyAlignment="1"/>
    <xf numFmtId="2" fontId="15" fillId="0" borderId="0" xfId="7" applyNumberFormat="1" applyFont="1" applyFill="1" applyAlignment="1"/>
    <xf numFmtId="0" fontId="15" fillId="0" borderId="0" xfId="7" applyNumberFormat="1" applyFont="1" applyFill="1" applyAlignment="1"/>
    <xf numFmtId="3" fontId="15" fillId="0" borderId="1" xfId="8" applyNumberFormat="1" applyFont="1" applyFill="1" applyBorder="1" applyAlignment="1"/>
    <xf numFmtId="166" fontId="15" fillId="0" borderId="0" xfId="7" applyNumberFormat="1" applyFont="1" applyFill="1" applyAlignment="1"/>
    <xf numFmtId="165" fontId="8" fillId="0" borderId="0" xfId="10" applyNumberFormat="1" applyFont="1" applyFill="1" applyAlignment="1"/>
    <xf numFmtId="3" fontId="32" fillId="0" borderId="3" xfId="14" applyNumberFormat="1" applyFont="1" applyFill="1" applyBorder="1" applyAlignment="1">
      <alignment horizontal="left"/>
    </xf>
    <xf numFmtId="174" fontId="2" fillId="0" borderId="3" xfId="1" applyNumberFormat="1" applyFont="1" applyBorder="1" applyAlignment="1">
      <alignment horizontal="center"/>
    </xf>
    <xf numFmtId="174" fontId="2" fillId="0" borderId="3" xfId="1" applyNumberFormat="1" applyFont="1" applyBorder="1" applyAlignment="1" applyProtection="1">
      <alignment horizontal="center"/>
      <protection locked="0"/>
    </xf>
    <xf numFmtId="5" fontId="8" fillId="0" borderId="0" xfId="0" applyNumberFormat="1" applyFont="1" applyFill="1" applyBorder="1" applyAlignment="1" applyProtection="1">
      <protection locked="0"/>
    </xf>
    <xf numFmtId="0" fontId="2" fillId="0" borderId="0" xfId="0" applyNumberFormat="1" applyFont="1" applyFill="1" applyAlignment="1" applyProtection="1">
      <alignment horizontal="center"/>
      <protection locked="0"/>
    </xf>
    <xf numFmtId="0" fontId="9" fillId="0" borderId="0" xfId="0" applyNumberFormat="1" applyFont="1" applyFill="1" applyAlignment="1" applyProtection="1">
      <protection locked="0"/>
    </xf>
    <xf numFmtId="0" fontId="9" fillId="0" borderId="0" xfId="0" applyNumberFormat="1" applyFont="1" applyFill="1" applyAlignment="1" applyProtection="1">
      <alignment horizontal="center"/>
      <protection locked="0"/>
    </xf>
    <xf numFmtId="10" fontId="2" fillId="0" borderId="0" xfId="0" applyNumberFormat="1" applyFont="1" applyFill="1" applyAlignment="1" applyProtection="1">
      <protection locked="0"/>
    </xf>
    <xf numFmtId="0" fontId="26" fillId="0" borderId="0" xfId="0" applyNumberFormat="1" applyFont="1" applyFill="1" applyAlignment="1" applyProtection="1">
      <protection locked="0"/>
    </xf>
    <xf numFmtId="43" fontId="2" fillId="0" borderId="0" xfId="1" applyFont="1" applyFill="1" applyAlignment="1" applyProtection="1">
      <protection locked="0"/>
    </xf>
    <xf numFmtId="10" fontId="2" fillId="0" borderId="0" xfId="13" applyNumberFormat="1" applyFont="1" applyFill="1" applyAlignment="1" applyProtection="1">
      <protection locked="0"/>
    </xf>
    <xf numFmtId="43" fontId="27" fillId="0" borderId="0" xfId="1" applyFont="1" applyFill="1" applyAlignment="1" applyProtection="1">
      <protection locked="0"/>
    </xf>
    <xf numFmtId="3" fontId="35" fillId="0" borderId="0" xfId="15" applyFont="1" applyAlignment="1">
      <alignment horizontal="center"/>
    </xf>
    <xf numFmtId="3" fontId="35" fillId="0" borderId="0" xfId="15" applyFont="1" applyFill="1" applyAlignment="1">
      <alignment horizontal="center"/>
    </xf>
    <xf numFmtId="175" fontId="2" fillId="0" borderId="6" xfId="0" quotePrefix="1" applyNumberFormat="1" applyFont="1" applyBorder="1" applyAlignment="1">
      <alignment horizontal="center"/>
    </xf>
    <xf numFmtId="175" fontId="8" fillId="0" borderId="6" xfId="0" applyNumberFormat="1" applyFont="1" applyBorder="1" applyAlignment="1">
      <alignment horizontal="center"/>
    </xf>
    <xf numFmtId="0" fontId="8" fillId="0" borderId="0" xfId="0" applyNumberFormat="1" applyFont="1" applyAlignment="1" applyProtection="1">
      <alignment horizontal="center"/>
      <protection locked="0"/>
    </xf>
    <xf numFmtId="0" fontId="2" fillId="0" borderId="3" xfId="0" applyNumberFormat="1" applyFont="1" applyBorder="1" applyAlignment="1" applyProtection="1">
      <alignment horizontal="center"/>
      <protection locked="0"/>
    </xf>
    <xf numFmtId="0" fontId="10" fillId="0" borderId="0" xfId="0" applyNumberFormat="1" applyFont="1" applyAlignment="1" applyProtection="1">
      <alignment horizontal="center"/>
      <protection locked="0"/>
    </xf>
    <xf numFmtId="0" fontId="4" fillId="0" borderId="0" xfId="0" applyNumberFormat="1" applyFont="1" applyAlignment="1" applyProtection="1">
      <alignment horizontal="center"/>
      <protection locked="0"/>
    </xf>
    <xf numFmtId="0" fontId="15" fillId="0" borderId="0" xfId="0" applyNumberFormat="1" applyFont="1" applyAlignment="1">
      <alignment horizontal="justify" vertical="top" wrapText="1"/>
    </xf>
    <xf numFmtId="0" fontId="15" fillId="0" borderId="0" xfId="0" applyNumberFormat="1" applyFont="1" applyAlignment="1">
      <alignment horizontal="justify" wrapText="1"/>
    </xf>
    <xf numFmtId="0" fontId="15" fillId="0" borderId="0" xfId="6" applyNumberFormat="1" applyFont="1" applyAlignment="1">
      <alignment horizontal="justify" vertical="top" wrapText="1"/>
    </xf>
    <xf numFmtId="0" fontId="2" fillId="0" borderId="0" xfId="0" applyNumberFormat="1" applyFont="1" applyAlignment="1">
      <alignment horizontal="justify" vertical="top" wrapText="1"/>
    </xf>
    <xf numFmtId="0" fontId="2" fillId="0" borderId="0" xfId="0" applyNumberFormat="1" applyFont="1" applyAlignment="1">
      <alignment horizontal="justify"/>
    </xf>
    <xf numFmtId="0" fontId="2" fillId="0" borderId="0" xfId="0" applyNumberFormat="1" applyFont="1" applyAlignment="1">
      <alignment horizontal="left" wrapText="1"/>
    </xf>
    <xf numFmtId="0" fontId="15" fillId="0" borderId="0" xfId="0" applyNumberFormat="1" applyFont="1" applyAlignment="1">
      <alignment horizontal="justify"/>
    </xf>
    <xf numFmtId="0" fontId="15" fillId="0" borderId="0" xfId="7" applyNumberFormat="1" applyFont="1" applyAlignment="1">
      <alignment horizontal="center"/>
    </xf>
    <xf numFmtId="0" fontId="15" fillId="0" borderId="0" xfId="7" applyNumberFormat="1" applyFont="1" applyAlignment="1">
      <alignment horizontal="justify" vertical="top" wrapText="1"/>
    </xf>
    <xf numFmtId="0" fontId="15" fillId="0" borderId="0" xfId="3" applyNumberFormat="1" applyFont="1" applyAlignment="1">
      <alignment horizontal="justify" vertical="top" wrapText="1"/>
    </xf>
    <xf numFmtId="0" fontId="15" fillId="0" borderId="5" xfId="7" applyNumberFormat="1" applyFont="1" applyBorder="1" applyAlignment="1">
      <alignment horizontal="center"/>
    </xf>
    <xf numFmtId="0" fontId="15" fillId="0" borderId="0" xfId="8" applyNumberFormat="1" applyFont="1" applyAlignment="1">
      <alignment horizontal="justify" vertical="top" wrapText="1"/>
    </xf>
    <xf numFmtId="0" fontId="15" fillId="0" borderId="0" xfId="0" applyNumberFormat="1" applyFont="1" applyAlignment="1" applyProtection="1">
      <protection locked="0"/>
    </xf>
    <xf numFmtId="0" fontId="15" fillId="0" borderId="0" xfId="4" applyNumberFormat="1" applyFont="1" applyAlignment="1">
      <alignment horizontal="justify" vertical="top" wrapText="1"/>
    </xf>
    <xf numFmtId="0" fontId="15" fillId="0" borderId="0" xfId="5" applyNumberFormat="1" applyFont="1" applyAlignment="1">
      <alignment horizontal="justify" vertical="top" wrapText="1"/>
    </xf>
    <xf numFmtId="0" fontId="15" fillId="0" borderId="0" xfId="5" applyNumberFormat="1" applyFont="1" applyAlignment="1">
      <alignment horizontal="center"/>
    </xf>
    <xf numFmtId="0" fontId="4" fillId="0" borderId="0" xfId="0" applyNumberFormat="1" applyFont="1" applyAlignment="1">
      <alignment horizontal="center"/>
    </xf>
    <xf numFmtId="0" fontId="15" fillId="0" borderId="0" xfId="0" applyNumberFormat="1" applyFont="1" applyAlignment="1">
      <alignment horizontal="center"/>
    </xf>
    <xf numFmtId="0" fontId="4" fillId="0" borderId="0" xfId="0" applyNumberFormat="1" applyFont="1" applyFill="1" applyAlignment="1" applyProtection="1">
      <alignment horizontal="center"/>
      <protection locked="0"/>
    </xf>
    <xf numFmtId="176" fontId="10" fillId="0" borderId="0" xfId="11" applyFont="1" applyAlignment="1">
      <alignment horizontal="center"/>
    </xf>
    <xf numFmtId="0" fontId="8" fillId="0" borderId="5" xfId="12" applyNumberFormat="1" applyFont="1" applyBorder="1" applyAlignment="1">
      <alignment horizontal="center"/>
    </xf>
    <xf numFmtId="0" fontId="8" fillId="0" borderId="0" xfId="12" applyNumberFormat="1" applyFont="1" applyFill="1" applyAlignment="1">
      <alignment horizontal="center"/>
    </xf>
    <xf numFmtId="176" fontId="10" fillId="0" borderId="3" xfId="11" applyFont="1" applyBorder="1" applyAlignment="1">
      <alignment horizontal="center"/>
    </xf>
    <xf numFmtId="176" fontId="4" fillId="0" borderId="0" xfId="11" applyFont="1" applyAlignment="1">
      <alignment horizontal="center"/>
    </xf>
    <xf numFmtId="176" fontId="15" fillId="0" borderId="3" xfId="11" applyFont="1" applyBorder="1" applyAlignment="1">
      <alignment horizontal="center"/>
    </xf>
    <xf numFmtId="41" fontId="15" fillId="0" borderId="6" xfId="11" quotePrefix="1" applyNumberFormat="1" applyFont="1" applyBorder="1" applyAlignment="1">
      <alignment horizontal="center"/>
    </xf>
    <xf numFmtId="164" fontId="0" fillId="0" borderId="3" xfId="0" applyBorder="1" applyAlignment="1">
      <alignment horizontal="center"/>
    </xf>
    <xf numFmtId="164" fontId="0" fillId="0" borderId="0" xfId="0" applyAlignment="1">
      <alignment horizontal="center"/>
    </xf>
    <xf numFmtId="43" fontId="4" fillId="0" borderId="3" xfId="1" applyFont="1" applyBorder="1" applyAlignment="1" applyProtection="1">
      <alignment horizontal="center"/>
      <protection locked="0"/>
    </xf>
    <xf numFmtId="0" fontId="28" fillId="0" borderId="0" xfId="0" applyNumberFormat="1" applyFont="1" applyAlignment="1" applyProtection="1">
      <alignment horizontal="center"/>
      <protection locked="0"/>
    </xf>
    <xf numFmtId="176" fontId="15" fillId="0" borderId="0" xfId="11" applyFont="1" applyAlignment="1">
      <alignment horizontal="center"/>
    </xf>
    <xf numFmtId="43" fontId="15" fillId="0" borderId="3" xfId="1" applyFont="1" applyBorder="1" applyAlignment="1" applyProtection="1">
      <alignment horizontal="center"/>
      <protection locked="0"/>
    </xf>
  </cellXfs>
  <cellStyles count="20">
    <cellStyle name="Comma" xfId="1" builtinId="3"/>
    <cellStyle name="Comma 2" xfId="17"/>
    <cellStyle name="Currency" xfId="2" builtinId="4"/>
    <cellStyle name="Currency 2" xfId="16"/>
    <cellStyle name="Normal" xfId="0" builtinId="0"/>
    <cellStyle name="Normal 2" xfId="14"/>
    <cellStyle name="Normal 2 2" xfId="18"/>
    <cellStyle name="Normal 3" xfId="19"/>
    <cellStyle name="Normal_Exhibits" xfId="15"/>
    <cellStyle name="Normal_F   5" xfId="3"/>
    <cellStyle name="Normal_F   6   7" xfId="4"/>
    <cellStyle name="Normal_F   8  9  10" xfId="5"/>
    <cellStyle name="Normal_F 2 B" xfId="6"/>
    <cellStyle name="Normal_F 3B 4B" xfId="7"/>
    <cellStyle name="Normal_F 5B" xfId="8"/>
    <cellStyle name="Normal_Factors" xfId="9"/>
    <cellStyle name="Normal_MetersServices" xfId="10"/>
    <cellStyle name="Normal_Sch M" xfId="11"/>
    <cellStyle name="Normal_Sched G" xfId="12"/>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0%20-%20PROJECT%20FILES\100350%20-%20HARRISBURG\KYAWC\056184-COS\5%20-%20Project%20Working%20File\A%20-%20ClientSuppliedFiles\Income%20Statemen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AWC/2015%20Case/No%204%20Feet%20of%20Main%20by%20Siz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0%20-%20PROJECT%20FILES\100350%20-%20HARRISBURG\KYAWC\056184-COS\5%20-%20Project%20Working%20File\A%20-%20ClientSuppliedFiles\KY_Rate_Case_24a%20System%20Delivery%20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AWC/2015%20Case/Exhibit%2037%20Schedules%20B1%20-%20B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0%20-%20PROJECT%20FILES\100350%20-%20HARRISBURG\KYAWC\056184-COS\5%20-%20Project%20Working%20File\A%20-%20ClientSuppliedFiles\KAW%20BPS%20updated%20for%20C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WC/2015%20Case/Income%20State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WC/2015%20Case/Rate%20Base%20KY%20Capital%20through%2008.3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0%20-%20PROJECT%20FILES\100350%20-%20HARRISBURG\KYAWC\056184-COS\5%20-%20Project%20Working%20File\A%20-%20ClientSuppliedFiles\additional%20rate%20base%20T&amp;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AWC/2015%20Case/No.%2012%20Support%20Services%20Exhibit%20(Mgmt%20Fe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AWC/2015%20Case/General%20Tax%20Exhib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AWC/2015%20Case/Revenu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AWC/2015%20Case/Exhibit%2037%20Schedules%20B1%20-%20B8%20%208.31.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0%20-%20PROJECT%20FILES\100350%20-%20HARRISBURG\KYAWC\056184-COS\5%20-%20Project%20Working%20File\A%20-%20ClientSuppliedFiles\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Inc Statment - SCH C.1"/>
      <sheetName val="MSFR Inc Stmt by Acct - SCH C.2"/>
      <sheetName val="MSFR IS Adjust D.1"/>
      <sheetName val="MSFR IS Adjust Support D-2"/>
      <sheetName val="Income Statement"/>
    </sheetNames>
    <sheetDataSet>
      <sheetData sheetId="0" refreshError="1">
        <row r="3">
          <cell r="C3" t="str">
            <v>Kentucky American Water Company</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s of Main"/>
      <sheetName val="Sheet2"/>
      <sheetName val="Sheet3"/>
    </sheetNames>
    <sheetDataSet>
      <sheetData sheetId="0">
        <row r="52">
          <cell r="G52">
            <v>840468</v>
          </cell>
        </row>
        <row r="67">
          <cell r="G67">
            <v>1270939</v>
          </cell>
        </row>
        <row r="104">
          <cell r="G104">
            <v>8838415</v>
          </cell>
        </row>
        <row r="136">
          <cell r="G136">
            <v>749968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System Delivery 2010-YTD"/>
    </sheetNames>
    <sheetDataSet>
      <sheetData sheetId="0">
        <row r="7">
          <cell r="B7">
            <v>1086726.99</v>
          </cell>
          <cell r="C7">
            <v>977801</v>
          </cell>
          <cell r="D7">
            <v>1043813.13</v>
          </cell>
          <cell r="E7">
            <v>1139993.1399999999</v>
          </cell>
          <cell r="F7">
            <v>1216074.99</v>
          </cell>
          <cell r="G7">
            <v>1303853.27</v>
          </cell>
          <cell r="H7">
            <v>1419525.56</v>
          </cell>
          <cell r="I7">
            <v>1569880.14</v>
          </cell>
          <cell r="J7">
            <v>1496577.99</v>
          </cell>
          <cell r="K7">
            <v>1376225.71</v>
          </cell>
          <cell r="L7">
            <v>1083672.56</v>
          </cell>
          <cell r="M7">
            <v>1103234.28</v>
          </cell>
        </row>
        <row r="11">
          <cell r="B11">
            <v>1092740.56</v>
          </cell>
          <cell r="C11">
            <v>980303.56</v>
          </cell>
          <cell r="D11">
            <v>1039413.99</v>
          </cell>
          <cell r="E11">
            <v>1025147.56</v>
          </cell>
          <cell r="F11">
            <v>1134545.28</v>
          </cell>
          <cell r="G11">
            <v>1356270.85</v>
          </cell>
          <cell r="H11">
            <v>1399417.28</v>
          </cell>
          <cell r="I11">
            <v>1405569.71</v>
          </cell>
          <cell r="J11">
            <v>1183950.56</v>
          </cell>
          <cell r="K11">
            <v>1143969.7</v>
          </cell>
          <cell r="L11">
            <v>1011987.13</v>
          </cell>
          <cell r="M11">
            <v>1012172.99</v>
          </cell>
        </row>
        <row r="15">
          <cell r="K15">
            <v>14338483.32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Linkin"/>
      <sheetName val="Link Out"/>
      <sheetName val="UPIS linkin"/>
      <sheetName val="UPIS Bal + Activity to Oct-15"/>
      <sheetName val="Accum depr linkin"/>
      <sheetName val="Additions linkin"/>
      <sheetName val="Retire linkin"/>
      <sheetName val="Advances linkin"/>
      <sheetName val="CIAC link in"/>
      <sheetName val="Control"/>
      <sheetName val="Sch B-1"/>
      <sheetName val="Sch B-2"/>
      <sheetName val="Sch B-3"/>
      <sheetName val="Sch B-4"/>
      <sheetName val="Sch B-5"/>
      <sheetName val="Sch B-6"/>
      <sheetName val="Sch B-7"/>
      <sheetName val="Sch B-8"/>
      <sheetName val="Deferred Taxes"/>
      <sheetName val="Regulatory Assets"/>
      <sheetName val="Materials"/>
      <sheetName val="Data-Depr Rates"/>
      <sheetName val="Other Rate Base"/>
      <sheetName val="UPAA"/>
    </sheetNames>
    <sheetDataSet>
      <sheetData sheetId="0"/>
      <sheetData sheetId="1"/>
      <sheetData sheetId="2"/>
      <sheetData sheetId="3">
        <row r="11">
          <cell r="BA11">
            <v>37450.43</v>
          </cell>
        </row>
        <row r="12">
          <cell r="BA12">
            <v>70260.820000000036</v>
          </cell>
        </row>
        <row r="13">
          <cell r="BA13">
            <v>1117540.9099999999</v>
          </cell>
        </row>
        <row r="14">
          <cell r="BA14">
            <v>277216.12000000005</v>
          </cell>
        </row>
        <row r="15">
          <cell r="BA15">
            <v>800183.34</v>
          </cell>
        </row>
        <row r="16">
          <cell r="BA16">
            <v>7474952.3199999975</v>
          </cell>
        </row>
        <row r="17">
          <cell r="BA17">
            <v>21197791.025384642</v>
          </cell>
        </row>
        <row r="18">
          <cell r="BA18">
            <v>10082746.72666668</v>
          </cell>
        </row>
        <row r="19">
          <cell r="BA19">
            <v>42698644.207333289</v>
          </cell>
        </row>
        <row r="20">
          <cell r="BA20">
            <v>936907.83666666772</v>
          </cell>
        </row>
        <row r="21">
          <cell r="BA21">
            <v>5167323.8630769206</v>
          </cell>
        </row>
        <row r="22">
          <cell r="BA22">
            <v>5757623.8633333305</v>
          </cell>
        </row>
        <row r="23">
          <cell r="BA23">
            <v>10570.369999999999</v>
          </cell>
        </row>
        <row r="24">
          <cell r="BA24">
            <v>1766443.66</v>
          </cell>
        </row>
        <row r="25">
          <cell r="BA25">
            <v>1343917.8833333342</v>
          </cell>
        </row>
        <row r="26">
          <cell r="BA26">
            <v>851671.61333333387</v>
          </cell>
        </row>
        <row r="27">
          <cell r="BA27">
            <v>1984278.4857692299</v>
          </cell>
        </row>
        <row r="28">
          <cell r="BA28">
            <v>18571193.686666682</v>
          </cell>
        </row>
        <row r="29">
          <cell r="BA29">
            <v>3256561.4341025651</v>
          </cell>
        </row>
        <row r="30">
          <cell r="BA30">
            <v>12893361.489615384</v>
          </cell>
        </row>
        <row r="31">
          <cell r="BA31">
            <v>15961789.835128205</v>
          </cell>
        </row>
        <row r="32">
          <cell r="BA32">
            <v>432759.61000000039</v>
          </cell>
        </row>
        <row r="33">
          <cell r="BA33">
            <v>7727.880000000001</v>
          </cell>
        </row>
        <row r="34">
          <cell r="BA34">
            <v>-19088.146666666667</v>
          </cell>
        </row>
        <row r="36">
          <cell r="BA36">
            <v>89060.120000000097</v>
          </cell>
        </row>
        <row r="37">
          <cell r="BA37">
            <v>46100314.733179532</v>
          </cell>
        </row>
        <row r="38">
          <cell r="BA38">
            <v>742339.73000000021</v>
          </cell>
        </row>
        <row r="39">
          <cell r="BA39">
            <v>1771358.2399999995</v>
          </cell>
        </row>
        <row r="40">
          <cell r="BA40">
            <v>14165130.553333323</v>
          </cell>
        </row>
        <row r="41">
          <cell r="BA41">
            <v>3146708.7205128223</v>
          </cell>
        </row>
        <row r="42">
          <cell r="BA42">
            <v>1096315.6099999999</v>
          </cell>
        </row>
        <row r="43">
          <cell r="BA43">
            <v>304540650.92475069</v>
          </cell>
        </row>
        <row r="44">
          <cell r="BA44">
            <v>-2967.8666666666677</v>
          </cell>
        </row>
        <row r="45">
          <cell r="BA45">
            <v>-515.19999999999993</v>
          </cell>
        </row>
        <row r="46">
          <cell r="BA46">
            <v>0</v>
          </cell>
        </row>
        <row r="47">
          <cell r="BA47">
            <v>-506.18666666666655</v>
          </cell>
        </row>
        <row r="48">
          <cell r="BA48">
            <v>51746247.211948864</v>
          </cell>
        </row>
        <row r="49">
          <cell r="BA49">
            <v>25385999.895641033</v>
          </cell>
        </row>
        <row r="50">
          <cell r="BA50">
            <v>-5450.0666666666657</v>
          </cell>
        </row>
        <row r="51">
          <cell r="BA51">
            <v>-32037.373333333333</v>
          </cell>
        </row>
        <row r="52">
          <cell r="BA52">
            <v>-38012.413333333338</v>
          </cell>
        </row>
        <row r="53">
          <cell r="BA53">
            <v>-71.16</v>
          </cell>
        </row>
        <row r="54">
          <cell r="BA54">
            <v>23953447.28333332</v>
          </cell>
        </row>
        <row r="55">
          <cell r="BA55">
            <v>950066.62000000046</v>
          </cell>
        </row>
        <row r="56">
          <cell r="BA56">
            <v>19923900.267994635</v>
          </cell>
        </row>
        <row r="57">
          <cell r="BA57">
            <v>96263.209999999977</v>
          </cell>
        </row>
        <row r="58">
          <cell r="BA58">
            <v>715689.10961538437</v>
          </cell>
        </row>
        <row r="59">
          <cell r="BA59">
            <v>879904.27820512885</v>
          </cell>
        </row>
        <row r="60">
          <cell r="BA60">
            <v>1854567.9600000007</v>
          </cell>
        </row>
        <row r="61">
          <cell r="BA61">
            <v>-185402.04000000004</v>
          </cell>
        </row>
        <row r="62">
          <cell r="BA62">
            <v>-24712.719999999994</v>
          </cell>
        </row>
        <row r="64">
          <cell r="BA64">
            <v>1566816.8733333349</v>
          </cell>
        </row>
        <row r="65">
          <cell r="BA65">
            <v>11705720.720000001</v>
          </cell>
        </row>
        <row r="66">
          <cell r="BA66">
            <v>0</v>
          </cell>
        </row>
        <row r="67">
          <cell r="BA67">
            <v>-2222.2266666666669</v>
          </cell>
        </row>
        <row r="68">
          <cell r="BA68">
            <v>-2057.0533333333328</v>
          </cell>
        </row>
        <row r="69">
          <cell r="BA69">
            <v>5516.4066666666658</v>
          </cell>
        </row>
        <row r="70">
          <cell r="BA70">
            <v>1821612.5166666671</v>
          </cell>
        </row>
        <row r="71">
          <cell r="BA71">
            <v>2512704.103333334</v>
          </cell>
        </row>
        <row r="72">
          <cell r="BA72">
            <v>330851.26000000013</v>
          </cell>
        </row>
        <row r="73">
          <cell r="BA73">
            <v>897299.30333333416</v>
          </cell>
        </row>
        <row r="74">
          <cell r="BA74">
            <v>64773.849999999962</v>
          </cell>
        </row>
        <row r="75">
          <cell r="BA75">
            <v>2684721.3558974392</v>
          </cell>
        </row>
        <row r="76">
          <cell r="BA76">
            <v>1238805.6900000016</v>
          </cell>
        </row>
        <row r="77">
          <cell r="BA77">
            <v>1365836.0866666681</v>
          </cell>
        </row>
        <row r="78">
          <cell r="BA78">
            <v>247632.67333333351</v>
          </cell>
        </row>
        <row r="79">
          <cell r="BA79">
            <v>3723028.8856410258</v>
          </cell>
        </row>
        <row r="80">
          <cell r="BA80">
            <v>87870.343333333352</v>
          </cell>
        </row>
        <row r="81">
          <cell r="BA81">
            <v>1692272.830000001</v>
          </cell>
        </row>
        <row r="82">
          <cell r="BA82">
            <v>135288.92346153848</v>
          </cell>
        </row>
        <row r="83">
          <cell r="BA83">
            <v>679624591.24725854</v>
          </cell>
        </row>
      </sheetData>
      <sheetData sheetId="4"/>
      <sheetData sheetId="5">
        <row r="14">
          <cell r="BA14">
            <v>0</v>
          </cell>
        </row>
        <row r="15">
          <cell r="BA15">
            <v>0</v>
          </cell>
        </row>
        <row r="16">
          <cell r="BA16">
            <v>0</v>
          </cell>
        </row>
        <row r="17">
          <cell r="BA17">
            <v>-2779696.0012074467</v>
          </cell>
        </row>
        <row r="18">
          <cell r="BA18">
            <v>-2809595.169541108</v>
          </cell>
        </row>
        <row r="19">
          <cell r="BA19">
            <v>-6146225.8974980926</v>
          </cell>
        </row>
        <row r="20">
          <cell r="BA20">
            <v>-655692.41423043108</v>
          </cell>
        </row>
        <row r="21">
          <cell r="BA21">
            <v>-673042.45238051587</v>
          </cell>
        </row>
        <row r="22">
          <cell r="BA22">
            <v>-1636258.7241190905</v>
          </cell>
        </row>
        <row r="23">
          <cell r="BA23">
            <v>-2026.8002353333331</v>
          </cell>
        </row>
        <row r="24">
          <cell r="BA24">
            <v>-492536.88278966618</v>
          </cell>
        </row>
        <row r="25">
          <cell r="BA25">
            <v>-170478.2754214165</v>
          </cell>
        </row>
        <row r="26">
          <cell r="BA26">
            <v>-291448.81191776373</v>
          </cell>
        </row>
        <row r="27">
          <cell r="BA27">
            <v>-457127.36359380902</v>
          </cell>
        </row>
        <row r="28">
          <cell r="BA28">
            <v>-4226186.7002100479</v>
          </cell>
        </row>
        <row r="29">
          <cell r="BA29">
            <v>-663206.87933193648</v>
          </cell>
        </row>
        <row r="30">
          <cell r="BA30">
            <v>-2721160.6673149099</v>
          </cell>
        </row>
        <row r="31">
          <cell r="BA31">
            <v>-536542.97402051906</v>
          </cell>
        </row>
        <row r="32">
          <cell r="BA32">
            <v>-22625.079855833334</v>
          </cell>
        </row>
        <row r="33">
          <cell r="BA33">
            <v>-288.106852</v>
          </cell>
        </row>
        <row r="34">
          <cell r="BA34">
            <v>-1243412.7211796443</v>
          </cell>
        </row>
        <row r="35">
          <cell r="BA35">
            <v>242.36999999999992</v>
          </cell>
        </row>
        <row r="36">
          <cell r="BA36">
            <v>70259.737618041545</v>
          </cell>
        </row>
        <row r="37">
          <cell r="BA37">
            <v>-11951445.610387342</v>
          </cell>
        </row>
        <row r="38">
          <cell r="BA38">
            <v>-903316.14345916605</v>
          </cell>
        </row>
        <row r="39">
          <cell r="BA39">
            <v>-252469.81721066681</v>
          </cell>
        </row>
        <row r="40">
          <cell r="BA40">
            <v>-4435153.2504054373</v>
          </cell>
        </row>
        <row r="41">
          <cell r="BA41">
            <v>-280848.53299396817</v>
          </cell>
        </row>
        <row r="42">
          <cell r="BA42">
            <v>-173036.17434699999</v>
          </cell>
        </row>
        <row r="43">
          <cell r="BA43">
            <v>-46934885.80996453</v>
          </cell>
        </row>
        <row r="44">
          <cell r="BA44">
            <v>-1106443.919989998</v>
          </cell>
        </row>
        <row r="45">
          <cell r="BA45">
            <v>-2404205.1057066699</v>
          </cell>
        </row>
        <row r="46">
          <cell r="BA46">
            <v>-1321799.1499999999</v>
          </cell>
        </row>
        <row r="47">
          <cell r="BA47">
            <v>-6691802.8596706726</v>
          </cell>
        </row>
        <row r="48">
          <cell r="BA48">
            <v>-24327075.76770566</v>
          </cell>
        </row>
        <row r="49">
          <cell r="BA49">
            <v>-1252559.8603536587</v>
          </cell>
        </row>
        <row r="50">
          <cell r="BA50">
            <v>-474414.91900659783</v>
          </cell>
        </row>
        <row r="51">
          <cell r="BA51">
            <v>673394.75872408925</v>
          </cell>
        </row>
        <row r="52">
          <cell r="BA52">
            <v>-526500.87905492994</v>
          </cell>
        </row>
        <row r="53">
          <cell r="BA53">
            <v>-70519.798524791709</v>
          </cell>
        </row>
        <row r="54">
          <cell r="BA54">
            <v>-8438899.8218959458</v>
          </cell>
        </row>
        <row r="55">
          <cell r="BA55">
            <v>18948.554109312481</v>
          </cell>
        </row>
        <row r="56">
          <cell r="BA56">
            <v>-4512257.6757786535</v>
          </cell>
        </row>
        <row r="57">
          <cell r="BA57">
            <v>-131241.14278333334</v>
          </cell>
        </row>
        <row r="58">
          <cell r="BA58">
            <v>-324263.97985333338</v>
          </cell>
        </row>
        <row r="59">
          <cell r="BA59">
            <v>-295222.61629460461</v>
          </cell>
        </row>
        <row r="60">
          <cell r="BA60">
            <v>-208828.23600000003</v>
          </cell>
        </row>
        <row r="61">
          <cell r="BA61">
            <v>-160842.34512500011</v>
          </cell>
        </row>
        <row r="62">
          <cell r="BA62">
            <v>-617888.68641666544</v>
          </cell>
        </row>
        <row r="64">
          <cell r="BA64">
            <v>774748.74154380313</v>
          </cell>
        </row>
        <row r="65">
          <cell r="BA65">
            <v>-5074097.0126666697</v>
          </cell>
        </row>
        <row r="66">
          <cell r="BA66">
            <v>-117366.60999999994</v>
          </cell>
        </row>
        <row r="67">
          <cell r="BA67">
            <v>-265252.56126388902</v>
          </cell>
        </row>
        <row r="68">
          <cell r="BA68">
            <v>-107439.05565277788</v>
          </cell>
        </row>
        <row r="69">
          <cell r="BA69">
            <v>3118.3851113611131</v>
          </cell>
        </row>
        <row r="70">
          <cell r="BA70">
            <v>-219760.04416266506</v>
          </cell>
        </row>
        <row r="71">
          <cell r="BA71">
            <v>-250282.60245152033</v>
          </cell>
        </row>
        <row r="72">
          <cell r="BA72">
            <v>-192589.28323361569</v>
          </cell>
        </row>
        <row r="73">
          <cell r="BA73">
            <v>-265094.62732842407</v>
          </cell>
        </row>
        <row r="74">
          <cell r="BA74">
            <v>5995.6625416666666</v>
          </cell>
        </row>
        <row r="75">
          <cell r="BA75">
            <v>-1021777.278212074</v>
          </cell>
        </row>
        <row r="76">
          <cell r="BA76">
            <v>-345158.45959854132</v>
          </cell>
        </row>
        <row r="77">
          <cell r="BA77">
            <v>-902202.32769799931</v>
          </cell>
        </row>
        <row r="78">
          <cell r="BA78">
            <v>31888.967032034714</v>
          </cell>
        </row>
        <row r="79">
          <cell r="BA79">
            <v>-875465.38626717601</v>
          </cell>
        </row>
        <row r="80">
          <cell r="BA80">
            <v>96421.277352409699</v>
          </cell>
        </row>
        <row r="81">
          <cell r="BA81">
            <v>-670587.51552083238</v>
          </cell>
        </row>
        <row r="82">
          <cell r="BA82">
            <v>-120750.52764583327</v>
          </cell>
        </row>
        <row r="83">
          <cell r="BA83">
            <v>-152076278.86229751</v>
          </cell>
        </row>
      </sheetData>
      <sheetData sheetId="6"/>
      <sheetData sheetId="7"/>
      <sheetData sheetId="8">
        <row r="6">
          <cell r="BA6">
            <v>-14060794.186153848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KAW BPS updated for COS"/>
    </sheetNames>
    <sheetDataSet>
      <sheetData sheetId="0">
        <row r="39">
          <cell r="G39">
            <v>6305</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Inc Statment - SCH C.1"/>
      <sheetName val="MSFR Inc Stmt by Acct - SCH C.2"/>
      <sheetName val="MSFR IS Adjust D.1"/>
      <sheetName val="MSFR IS Adjust Support D-2"/>
      <sheetName val="D-3"/>
      <sheetName val="102015"/>
      <sheetName val="102315"/>
      <sheetName val="102615"/>
      <sheetName val="102815"/>
      <sheetName val="121015"/>
      <sheetName val="122415"/>
      <sheetName val="123115"/>
    </sheetNames>
    <sheetDataSet>
      <sheetData sheetId="0"/>
      <sheetData sheetId="1"/>
      <sheetData sheetId="2">
        <row r="19">
          <cell r="Q19">
            <v>665027</v>
          </cell>
        </row>
        <row r="20">
          <cell r="Q20">
            <v>101804658.10692011</v>
          </cell>
        </row>
        <row r="43">
          <cell r="O43">
            <v>105133.80878532343</v>
          </cell>
        </row>
        <row r="56">
          <cell r="M56">
            <v>1140794.7924041064</v>
          </cell>
          <cell r="Q56">
            <v>1940161.3527884777</v>
          </cell>
        </row>
        <row r="57">
          <cell r="M57">
            <v>23716.632217297913</v>
          </cell>
          <cell r="Q57">
            <v>23716.632217297913</v>
          </cell>
        </row>
        <row r="59">
          <cell r="M59">
            <v>5055681.1258296194</v>
          </cell>
          <cell r="Q59">
            <v>9438879.4795502517</v>
          </cell>
        </row>
        <row r="60">
          <cell r="M60">
            <v>1504245.9874841962</v>
          </cell>
          <cell r="Q60">
            <v>1504245.9874841962</v>
          </cell>
        </row>
        <row r="61">
          <cell r="M61">
            <v>-76468</v>
          </cell>
          <cell r="Q61">
            <v>-76468</v>
          </cell>
        </row>
        <row r="62">
          <cell r="M62">
            <v>6193611.0443763556</v>
          </cell>
          <cell r="O62">
            <v>25572.801419303669</v>
          </cell>
          <cell r="Q62">
            <v>6219183.8457956593</v>
          </cell>
        </row>
        <row r="67">
          <cell r="M67">
            <v>25057566.632516682</v>
          </cell>
          <cell r="Q67">
            <v>33197802.215127155</v>
          </cell>
        </row>
      </sheetData>
      <sheetData sheetId="3">
        <row r="49">
          <cell r="E49" t="str">
            <v>Purchased water</v>
          </cell>
          <cell r="G49">
            <v>51010000</v>
          </cell>
          <cell r="I49" t="str">
            <v>Purchased Water</v>
          </cell>
          <cell r="K49" t="str">
            <v>610.1</v>
          </cell>
          <cell r="Q49">
            <v>230255</v>
          </cell>
        </row>
        <row r="50">
          <cell r="E50">
            <v>0</v>
          </cell>
          <cell r="G50">
            <v>51015000</v>
          </cell>
          <cell r="I50" t="str">
            <v>Purchased Water I/C</v>
          </cell>
          <cell r="K50" t="str">
            <v>610.1</v>
          </cell>
          <cell r="Q50">
            <v>0</v>
          </cell>
        </row>
        <row r="51">
          <cell r="E51">
            <v>0</v>
          </cell>
          <cell r="G51">
            <v>0</v>
          </cell>
          <cell r="I51">
            <v>0</v>
          </cell>
          <cell r="K51" t="str">
            <v>Total</v>
          </cell>
          <cell r="Q51">
            <v>230255</v>
          </cell>
        </row>
        <row r="52">
          <cell r="E52">
            <v>0</v>
          </cell>
          <cell r="G52">
            <v>0</v>
          </cell>
          <cell r="I52">
            <v>0</v>
          </cell>
          <cell r="K52">
            <v>0</v>
          </cell>
          <cell r="Q52">
            <v>0</v>
          </cell>
        </row>
        <row r="53">
          <cell r="E53" t="str">
            <v>Fuel and power</v>
          </cell>
          <cell r="G53">
            <v>51510000</v>
          </cell>
          <cell r="I53" t="str">
            <v>Purchased Power</v>
          </cell>
          <cell r="K53" t="str">
            <v>615.8</v>
          </cell>
          <cell r="Q53">
            <v>0</v>
          </cell>
        </row>
        <row r="54">
          <cell r="E54">
            <v>0</v>
          </cell>
          <cell r="G54">
            <v>51510011</v>
          </cell>
          <cell r="I54" t="str">
            <v>Purchased Power SS</v>
          </cell>
          <cell r="K54" t="str">
            <v>615.1</v>
          </cell>
          <cell r="Q54">
            <v>197891.53705887147</v>
          </cell>
        </row>
        <row r="55">
          <cell r="E55">
            <v>0</v>
          </cell>
          <cell r="G55">
            <v>51510012</v>
          </cell>
          <cell r="I55" t="str">
            <v>Purchased Power P</v>
          </cell>
          <cell r="K55" t="str">
            <v>615.1</v>
          </cell>
          <cell r="Q55">
            <v>629804.90313564136</v>
          </cell>
        </row>
        <row r="56">
          <cell r="E56">
            <v>0</v>
          </cell>
          <cell r="G56">
            <v>51510013</v>
          </cell>
          <cell r="I56" t="str">
            <v>Purchased Power WT</v>
          </cell>
          <cell r="K56" t="str">
            <v>615.3</v>
          </cell>
          <cell r="Q56">
            <v>3295454.9182485961</v>
          </cell>
        </row>
        <row r="57">
          <cell r="E57">
            <v>0</v>
          </cell>
          <cell r="G57">
            <v>51510014</v>
          </cell>
          <cell r="I57" t="str">
            <v>Purchased Power TD</v>
          </cell>
          <cell r="K57" t="str">
            <v>615.5</v>
          </cell>
          <cell r="Q57">
            <v>-111564.35844310872</v>
          </cell>
        </row>
        <row r="58">
          <cell r="E58">
            <v>0</v>
          </cell>
          <cell r="G58">
            <v>51520000</v>
          </cell>
          <cell r="I58" t="str">
            <v>Fuel for Power Prod</v>
          </cell>
          <cell r="K58" t="str">
            <v>616.1</v>
          </cell>
          <cell r="Q58">
            <v>0</v>
          </cell>
        </row>
        <row r="59">
          <cell r="E59">
            <v>0</v>
          </cell>
          <cell r="G59">
            <v>0</v>
          </cell>
          <cell r="I59">
            <v>0</v>
          </cell>
          <cell r="K59" t="str">
            <v>Total</v>
          </cell>
          <cell r="Q59">
            <v>4011587</v>
          </cell>
        </row>
        <row r="60">
          <cell r="E60">
            <v>0</v>
          </cell>
          <cell r="G60">
            <v>0</v>
          </cell>
          <cell r="I60">
            <v>0</v>
          </cell>
          <cell r="K60">
            <v>0</v>
          </cell>
          <cell r="Q60">
            <v>0</v>
          </cell>
        </row>
        <row r="61">
          <cell r="E61" t="str">
            <v>Chemicals</v>
          </cell>
          <cell r="G61">
            <v>51800000</v>
          </cell>
          <cell r="I61" t="str">
            <v>Chemicals</v>
          </cell>
          <cell r="K61" t="str">
            <v>618.3</v>
          </cell>
          <cell r="Q61">
            <v>1768379</v>
          </cell>
        </row>
        <row r="62">
          <cell r="E62">
            <v>0</v>
          </cell>
          <cell r="G62">
            <v>0</v>
          </cell>
          <cell r="I62">
            <v>0</v>
          </cell>
          <cell r="K62" t="str">
            <v>Total</v>
          </cell>
          <cell r="Q62">
            <v>1768379</v>
          </cell>
        </row>
        <row r="63">
          <cell r="E63">
            <v>0</v>
          </cell>
          <cell r="G63">
            <v>0</v>
          </cell>
          <cell r="I63">
            <v>0</v>
          </cell>
          <cell r="K63">
            <v>0</v>
          </cell>
          <cell r="Q63">
            <v>0</v>
          </cell>
        </row>
        <row r="64">
          <cell r="E64" t="str">
            <v>Waste disposal</v>
          </cell>
          <cell r="G64">
            <v>51110000</v>
          </cell>
          <cell r="I64" t="str">
            <v>Waste Disposal</v>
          </cell>
          <cell r="K64" t="str">
            <v>675.3</v>
          </cell>
          <cell r="Q64">
            <v>274562.87253559247</v>
          </cell>
        </row>
        <row r="65">
          <cell r="E65">
            <v>0</v>
          </cell>
          <cell r="G65">
            <v>51120000</v>
          </cell>
          <cell r="I65" t="str">
            <v>Amort Waste Disposal</v>
          </cell>
          <cell r="K65" t="str">
            <v>675.3</v>
          </cell>
          <cell r="Q65">
            <v>102817.12746440755</v>
          </cell>
        </row>
        <row r="66">
          <cell r="E66">
            <v>0</v>
          </cell>
          <cell r="G66">
            <v>0</v>
          </cell>
          <cell r="I66">
            <v>0</v>
          </cell>
          <cell r="K66" t="str">
            <v>Total</v>
          </cell>
          <cell r="Q66">
            <v>377380</v>
          </cell>
        </row>
        <row r="67">
          <cell r="E67">
            <v>0</v>
          </cell>
          <cell r="G67">
            <v>0</v>
          </cell>
          <cell r="I67">
            <v>0</v>
          </cell>
          <cell r="K67">
            <v>0</v>
          </cell>
          <cell r="Q67">
            <v>0</v>
          </cell>
        </row>
        <row r="68">
          <cell r="E68" t="str">
            <v>Salaries and wages</v>
          </cell>
          <cell r="G68">
            <v>50100000</v>
          </cell>
          <cell r="I68" t="str">
            <v>Labor Expense</v>
          </cell>
          <cell r="K68" t="str">
            <v>601.8</v>
          </cell>
          <cell r="Q68">
            <v>0</v>
          </cell>
        </row>
        <row r="69">
          <cell r="E69">
            <v>0</v>
          </cell>
          <cell r="G69">
            <v>50100001</v>
          </cell>
          <cell r="I69" t="str">
            <v>Labor ExpenseAccrual</v>
          </cell>
          <cell r="K69" t="str">
            <v>601.8</v>
          </cell>
          <cell r="Q69">
            <v>0</v>
          </cell>
        </row>
        <row r="70">
          <cell r="E70">
            <v>0</v>
          </cell>
          <cell r="G70">
            <v>50101210</v>
          </cell>
          <cell r="I70" t="str">
            <v>Labor Oper P PwrProd</v>
          </cell>
          <cell r="K70" t="str">
            <v>601.1</v>
          </cell>
          <cell r="Q70">
            <v>0</v>
          </cell>
        </row>
        <row r="71">
          <cell r="E71">
            <v>0</v>
          </cell>
          <cell r="G71">
            <v>50101300</v>
          </cell>
          <cell r="I71" t="str">
            <v>Labor Oper WT</v>
          </cell>
          <cell r="K71" t="str">
            <v>601.3</v>
          </cell>
          <cell r="Q71">
            <v>2661825.6021733289</v>
          </cell>
        </row>
        <row r="72">
          <cell r="E72">
            <v>0</v>
          </cell>
          <cell r="G72">
            <v>50101305</v>
          </cell>
          <cell r="I72" t="str">
            <v>Labor Oper WT SupEng</v>
          </cell>
          <cell r="K72" t="str">
            <v>601.3</v>
          </cell>
          <cell r="Q72">
            <v>215406.36582398627</v>
          </cell>
        </row>
        <row r="73">
          <cell r="E73">
            <v>0</v>
          </cell>
          <cell r="G73">
            <v>50101400</v>
          </cell>
          <cell r="I73" t="str">
            <v>Labor Oper TD</v>
          </cell>
          <cell r="K73" t="str">
            <v>601.5</v>
          </cell>
          <cell r="Q73">
            <v>528257.18360982032</v>
          </cell>
        </row>
        <row r="74">
          <cell r="E74">
            <v>0</v>
          </cell>
          <cell r="G74">
            <v>50101405</v>
          </cell>
          <cell r="I74" t="str">
            <v>Labor Oper TD SupEng</v>
          </cell>
          <cell r="K74" t="str">
            <v>601.5</v>
          </cell>
          <cell r="Q74">
            <v>86834.927333846645</v>
          </cell>
        </row>
        <row r="75">
          <cell r="E75">
            <v>0</v>
          </cell>
          <cell r="G75">
            <v>50101415</v>
          </cell>
          <cell r="I75" t="str">
            <v>Labor Oper TD Lines</v>
          </cell>
          <cell r="K75" t="str">
            <v>601.5</v>
          </cell>
          <cell r="Q75">
            <v>94387.308868860026</v>
          </cell>
        </row>
        <row r="76">
          <cell r="E76">
            <v>0</v>
          </cell>
          <cell r="G76">
            <v>50101420</v>
          </cell>
          <cell r="I76" t="str">
            <v>Labor Oper TD Meter</v>
          </cell>
          <cell r="K76" t="str">
            <v>601.5</v>
          </cell>
          <cell r="Q76">
            <v>938003.24696592707</v>
          </cell>
        </row>
        <row r="77">
          <cell r="E77">
            <v>0</v>
          </cell>
          <cell r="G77">
            <v>50101500</v>
          </cell>
          <cell r="I77" t="str">
            <v>Labor Oper CA</v>
          </cell>
          <cell r="K77" t="str">
            <v>601.7</v>
          </cell>
          <cell r="Q77">
            <v>29161.907011615374</v>
          </cell>
        </row>
        <row r="78">
          <cell r="E78">
            <v>0</v>
          </cell>
          <cell r="G78">
            <v>50101510</v>
          </cell>
          <cell r="I78" t="str">
            <v>Labor Oper CA MtrRd</v>
          </cell>
          <cell r="K78" t="str">
            <v>601.7</v>
          </cell>
          <cell r="Q78">
            <v>344107.96305432584</v>
          </cell>
        </row>
        <row r="79">
          <cell r="G79">
            <v>50101515</v>
          </cell>
          <cell r="I79" t="str">
            <v>Labor Oper CA CstRec</v>
          </cell>
          <cell r="K79" t="str">
            <v>601.7</v>
          </cell>
          <cell r="Q79">
            <v>0</v>
          </cell>
        </row>
        <row r="80">
          <cell r="G80">
            <v>50101520</v>
          </cell>
          <cell r="I80" t="str">
            <v>Labor Oper CA CstSrv</v>
          </cell>
          <cell r="K80" t="str">
            <v>601.7</v>
          </cell>
          <cell r="Q80">
            <v>328536.53328163107</v>
          </cell>
        </row>
        <row r="81">
          <cell r="G81">
            <v>50101600</v>
          </cell>
          <cell r="I81" t="str">
            <v>Labor Oper AG</v>
          </cell>
          <cell r="K81" t="str">
            <v>601.8</v>
          </cell>
          <cell r="Q81">
            <v>1249755.6519686107</v>
          </cell>
        </row>
        <row r="82">
          <cell r="G82">
            <v>50102215</v>
          </cell>
          <cell r="I82" t="str">
            <v>Labor Mnt P PwrProd</v>
          </cell>
          <cell r="K82" t="str">
            <v>601.2</v>
          </cell>
          <cell r="Q82">
            <v>0</v>
          </cell>
        </row>
        <row r="83">
          <cell r="G83">
            <v>50102300</v>
          </cell>
          <cell r="I83" t="str">
            <v>Labor Maint WT</v>
          </cell>
          <cell r="K83" t="str">
            <v>601.4</v>
          </cell>
          <cell r="Q83">
            <v>212231.76240447664</v>
          </cell>
        </row>
        <row r="84">
          <cell r="G84">
            <v>50102400</v>
          </cell>
          <cell r="I84" t="str">
            <v>Labor Maint TD</v>
          </cell>
          <cell r="K84" t="str">
            <v>601.6</v>
          </cell>
          <cell r="Q84">
            <v>704736.56230377965</v>
          </cell>
        </row>
        <row r="85">
          <cell r="G85">
            <v>50102410</v>
          </cell>
          <cell r="I85" t="str">
            <v>Labor Mnt TD Str&amp;Imp</v>
          </cell>
          <cell r="K85" t="str">
            <v>601.6</v>
          </cell>
          <cell r="Q85">
            <v>0</v>
          </cell>
        </row>
        <row r="86">
          <cell r="G86">
            <v>50102420</v>
          </cell>
          <cell r="I86" t="str">
            <v>Labor Mnt TD Mains</v>
          </cell>
          <cell r="K86" t="str">
            <v>601.6</v>
          </cell>
          <cell r="Q86">
            <v>90473.02285260467</v>
          </cell>
        </row>
        <row r="87">
          <cell r="G87">
            <v>50102425</v>
          </cell>
          <cell r="I87" t="str">
            <v>Labor Mnt TD FireMn</v>
          </cell>
          <cell r="K87" t="str">
            <v>601.6</v>
          </cell>
          <cell r="Q87">
            <v>0</v>
          </cell>
        </row>
        <row r="88">
          <cell r="G88">
            <v>50102430</v>
          </cell>
          <cell r="I88" t="str">
            <v>Labor Mnt TD Service</v>
          </cell>
          <cell r="K88" t="str">
            <v>601.6</v>
          </cell>
          <cell r="Q88">
            <v>284260.33938973042</v>
          </cell>
        </row>
        <row r="89">
          <cell r="G89">
            <v>50102435</v>
          </cell>
          <cell r="I89" t="str">
            <v>Labor Mnt TD Meter</v>
          </cell>
          <cell r="K89" t="str">
            <v>601.6</v>
          </cell>
          <cell r="Q89">
            <v>134409.53417861782</v>
          </cell>
        </row>
        <row r="90">
          <cell r="G90">
            <v>50102440</v>
          </cell>
          <cell r="I90" t="str">
            <v>Labor Mnt TD Hydrant</v>
          </cell>
          <cell r="K90" t="str">
            <v>601.6</v>
          </cell>
          <cell r="Q90">
            <v>105758.7383175435</v>
          </cell>
        </row>
        <row r="91">
          <cell r="G91">
            <v>50109900</v>
          </cell>
          <cell r="I91" t="str">
            <v>Labor Cap Credits</v>
          </cell>
          <cell r="K91" t="str">
            <v>601.8</v>
          </cell>
          <cell r="Q91">
            <v>-1561810.3183295894</v>
          </cell>
        </row>
        <row r="92">
          <cell r="G92">
            <v>50110000</v>
          </cell>
          <cell r="I92" t="str">
            <v>Labor NS OT -Natural</v>
          </cell>
          <cell r="K92" t="str">
            <v>601.8</v>
          </cell>
          <cell r="Q92">
            <v>0</v>
          </cell>
        </row>
        <row r="93">
          <cell r="G93">
            <v>50111210</v>
          </cell>
          <cell r="I93" t="str">
            <v>LaborOperNS OT P PP</v>
          </cell>
          <cell r="K93" t="str">
            <v>601.1</v>
          </cell>
          <cell r="Q93">
            <v>0</v>
          </cell>
        </row>
        <row r="94">
          <cell r="G94">
            <v>50111300</v>
          </cell>
          <cell r="I94" t="str">
            <v>LaborOper NS OT WT</v>
          </cell>
          <cell r="K94" t="str">
            <v>601.3</v>
          </cell>
          <cell r="Q94">
            <v>254002.06267956336</v>
          </cell>
        </row>
        <row r="95">
          <cell r="G95">
            <v>50111400</v>
          </cell>
          <cell r="I95" t="str">
            <v>LaborOper NS OT TD</v>
          </cell>
          <cell r="K95" t="str">
            <v>601.5</v>
          </cell>
          <cell r="Q95">
            <v>55981.190345563322</v>
          </cell>
        </row>
        <row r="96">
          <cell r="G96">
            <v>50111405</v>
          </cell>
          <cell r="I96" t="str">
            <v>LaborOperNS OT TD SE</v>
          </cell>
          <cell r="K96" t="str">
            <v>601.5</v>
          </cell>
          <cell r="Q96">
            <v>0</v>
          </cell>
        </row>
        <row r="97">
          <cell r="G97">
            <v>50111415</v>
          </cell>
          <cell r="I97" t="str">
            <v>LaborOperNS OT TD Ln</v>
          </cell>
          <cell r="K97" t="str">
            <v>601.5</v>
          </cell>
          <cell r="Q97">
            <v>3878.9690535712771</v>
          </cell>
        </row>
        <row r="98">
          <cell r="G98">
            <v>50111420</v>
          </cell>
          <cell r="I98" t="str">
            <v>LaborOperNS OT TD Mt</v>
          </cell>
          <cell r="K98" t="str">
            <v>601.5</v>
          </cell>
          <cell r="Q98">
            <v>125016.02902432195</v>
          </cell>
        </row>
        <row r="99">
          <cell r="G99">
            <v>50111500</v>
          </cell>
          <cell r="I99" t="str">
            <v>LaborOper NS OT CA</v>
          </cell>
          <cell r="K99" t="str">
            <v>601.7</v>
          </cell>
          <cell r="Q99">
            <v>523.45456975219281</v>
          </cell>
        </row>
        <row r="100">
          <cell r="G100">
            <v>50111510</v>
          </cell>
          <cell r="I100" t="str">
            <v>LaborOperNS OT CA MR</v>
          </cell>
          <cell r="K100" t="str">
            <v>601.7</v>
          </cell>
          <cell r="Q100">
            <v>23411.790118346038</v>
          </cell>
        </row>
        <row r="101">
          <cell r="G101">
            <v>50111520</v>
          </cell>
          <cell r="I101" t="str">
            <v>LaborOperNS OT CA CS</v>
          </cell>
          <cell r="K101" t="str">
            <v>601.7</v>
          </cell>
          <cell r="Q101">
            <v>6844.7374718683477</v>
          </cell>
        </row>
        <row r="102">
          <cell r="G102">
            <v>50111600</v>
          </cell>
          <cell r="I102" t="str">
            <v>LaborOper NS OT AG</v>
          </cell>
          <cell r="K102" t="str">
            <v>601.8</v>
          </cell>
          <cell r="Q102">
            <v>2005.6275634526953</v>
          </cell>
        </row>
        <row r="103">
          <cell r="G103">
            <v>50112215</v>
          </cell>
          <cell r="I103" t="str">
            <v>LaborMaintNSOT P PP</v>
          </cell>
          <cell r="K103" t="str">
            <v>601.2</v>
          </cell>
          <cell r="Q103">
            <v>0</v>
          </cell>
        </row>
        <row r="104">
          <cell r="G104">
            <v>50112300</v>
          </cell>
          <cell r="I104" t="str">
            <v>LaborMaint NS OT WT</v>
          </cell>
          <cell r="K104" t="str">
            <v>601.4</v>
          </cell>
          <cell r="Q104">
            <v>47827.816449314487</v>
          </cell>
        </row>
        <row r="105">
          <cell r="G105">
            <v>50112400</v>
          </cell>
          <cell r="I105" t="str">
            <v>LaborMaint NS OT TD</v>
          </cell>
          <cell r="K105" t="str">
            <v>601.6</v>
          </cell>
          <cell r="Q105">
            <v>65559.839999670017</v>
          </cell>
        </row>
        <row r="106">
          <cell r="G106">
            <v>50112420</v>
          </cell>
          <cell r="I106" t="str">
            <v>LaborMaintNSOT TD Mn</v>
          </cell>
          <cell r="K106" t="str">
            <v>601.6</v>
          </cell>
          <cell r="Q106">
            <v>30785.671883550844</v>
          </cell>
        </row>
        <row r="107">
          <cell r="G107">
            <v>50112430</v>
          </cell>
          <cell r="I107" t="str">
            <v>LaborMaintNSOT TD Sv</v>
          </cell>
          <cell r="K107" t="str">
            <v>601.6</v>
          </cell>
          <cell r="Q107">
            <v>47388.285302430173</v>
          </cell>
        </row>
        <row r="108">
          <cell r="G108">
            <v>50112435</v>
          </cell>
          <cell r="I108" t="str">
            <v>LaborMaintNSOT TD Mt</v>
          </cell>
          <cell r="K108" t="str">
            <v>601.6</v>
          </cell>
          <cell r="Q108">
            <v>4787.9023961572857</v>
          </cell>
        </row>
        <row r="109">
          <cell r="G109">
            <v>50112440</v>
          </cell>
          <cell r="I109" t="str">
            <v>LaborMaintNSOT TD Hy</v>
          </cell>
          <cell r="K109" t="str">
            <v>601.6</v>
          </cell>
          <cell r="Q109">
            <v>1598.8123271778932</v>
          </cell>
        </row>
        <row r="110">
          <cell r="G110">
            <v>50119900</v>
          </cell>
          <cell r="I110" t="str">
            <v>LaborNSOT CapCredits</v>
          </cell>
          <cell r="K110" t="str">
            <v>601.8</v>
          </cell>
          <cell r="Q110">
            <v>-83170.738177175866</v>
          </cell>
        </row>
        <row r="111">
          <cell r="G111">
            <v>50120000</v>
          </cell>
          <cell r="I111" t="str">
            <v>Labor OT - Natural</v>
          </cell>
          <cell r="K111" t="str">
            <v>601.8</v>
          </cell>
          <cell r="Q111">
            <v>0</v>
          </cell>
        </row>
        <row r="112">
          <cell r="G112">
            <v>50121300</v>
          </cell>
          <cell r="I112" t="str">
            <v>LaborOper OT WT</v>
          </cell>
          <cell r="K112" t="str">
            <v>601.3</v>
          </cell>
          <cell r="Q112">
            <v>947.33897677978382</v>
          </cell>
        </row>
        <row r="113">
          <cell r="G113">
            <v>50171000</v>
          </cell>
          <cell r="I113" t="str">
            <v>Annual Incent Plan</v>
          </cell>
          <cell r="K113" t="str">
            <v>601.8</v>
          </cell>
          <cell r="Q113">
            <v>303870.3229347592</v>
          </cell>
        </row>
        <row r="114">
          <cell r="G114">
            <v>50171600</v>
          </cell>
          <cell r="I114" t="str">
            <v>Comp Exp-Options</v>
          </cell>
          <cell r="K114" t="str">
            <v>601.8</v>
          </cell>
          <cell r="Q114">
            <v>1260.1824324324323</v>
          </cell>
        </row>
        <row r="115">
          <cell r="G115">
            <v>50171800</v>
          </cell>
          <cell r="I115" t="str">
            <v>Comp Exp-RSU's</v>
          </cell>
          <cell r="K115" t="str">
            <v>601.8</v>
          </cell>
          <cell r="Q115">
            <v>13274.817567567567</v>
          </cell>
        </row>
        <row r="116">
          <cell r="E116">
            <v>0</v>
          </cell>
          <cell r="G116">
            <v>50185000</v>
          </cell>
          <cell r="I116" t="str">
            <v>Severance</v>
          </cell>
          <cell r="K116" t="str">
            <v>601.8</v>
          </cell>
          <cell r="Q116">
            <v>0</v>
          </cell>
        </row>
        <row r="117">
          <cell r="G117">
            <v>0</v>
          </cell>
          <cell r="K117" t="str">
            <v>Total:</v>
          </cell>
          <cell r="Q117">
            <v>7352130.4441282153</v>
          </cell>
        </row>
        <row r="118">
          <cell r="G118">
            <v>0</v>
          </cell>
          <cell r="Q118">
            <v>0</v>
          </cell>
        </row>
        <row r="119">
          <cell r="E119" t="str">
            <v>Pension expense</v>
          </cell>
          <cell r="G119">
            <v>50610000</v>
          </cell>
          <cell r="I119" t="str">
            <v>Pension Expense</v>
          </cell>
          <cell r="K119" t="str">
            <v>604.8</v>
          </cell>
          <cell r="Q119">
            <v>739624</v>
          </cell>
        </row>
        <row r="120">
          <cell r="E120">
            <v>0</v>
          </cell>
          <cell r="G120">
            <v>50610100</v>
          </cell>
          <cell r="I120" t="str">
            <v>Pension Cap Credits</v>
          </cell>
          <cell r="K120" t="str">
            <v>604.8</v>
          </cell>
          <cell r="Q120">
            <v>-137553.65429193689</v>
          </cell>
        </row>
        <row r="121">
          <cell r="G121">
            <v>0</v>
          </cell>
          <cell r="K121" t="str">
            <v>Total</v>
          </cell>
          <cell r="Q121">
            <v>602070.34570806311</v>
          </cell>
        </row>
        <row r="122">
          <cell r="G122">
            <v>0</v>
          </cell>
          <cell r="Q122">
            <v>0</v>
          </cell>
        </row>
        <row r="123">
          <cell r="E123" t="str">
            <v>Group insurance expense</v>
          </cell>
          <cell r="G123">
            <v>50510000</v>
          </cell>
          <cell r="I123" t="str">
            <v>PBOP Expense</v>
          </cell>
          <cell r="K123" t="str">
            <v>604.8</v>
          </cell>
          <cell r="Q123">
            <v>713966</v>
          </cell>
        </row>
        <row r="124">
          <cell r="G124">
            <v>50510100</v>
          </cell>
          <cell r="I124" t="str">
            <v>PBOP Cap Credits</v>
          </cell>
          <cell r="K124" t="str">
            <v>604.8</v>
          </cell>
          <cell r="Q124">
            <v>-132781.83555454807</v>
          </cell>
        </row>
        <row r="125">
          <cell r="G125">
            <v>50550000</v>
          </cell>
          <cell r="I125" t="str">
            <v>Group Insur Expense</v>
          </cell>
          <cell r="K125" t="str">
            <v>604.8</v>
          </cell>
          <cell r="Q125">
            <v>1648027.3602339157</v>
          </cell>
        </row>
        <row r="126">
          <cell r="E126">
            <v>0</v>
          </cell>
          <cell r="G126">
            <v>50550100</v>
          </cell>
          <cell r="I126" t="str">
            <v>Group Ins Cap Credts</v>
          </cell>
          <cell r="K126" t="str">
            <v>604.8</v>
          </cell>
          <cell r="Q126">
            <v>-305758.687933326</v>
          </cell>
        </row>
        <row r="127">
          <cell r="G127">
            <v>0</v>
          </cell>
          <cell r="K127" t="str">
            <v>Total</v>
          </cell>
          <cell r="Q127">
            <v>1923452.8367460414</v>
          </cell>
        </row>
        <row r="128">
          <cell r="G128">
            <v>0</v>
          </cell>
          <cell r="Q128">
            <v>0</v>
          </cell>
        </row>
        <row r="129">
          <cell r="E129" t="str">
            <v>Other benefits</v>
          </cell>
          <cell r="G129">
            <v>50421000</v>
          </cell>
          <cell r="I129" t="str">
            <v>401k Expense</v>
          </cell>
          <cell r="K129" t="str">
            <v>604.8</v>
          </cell>
          <cell r="Q129">
            <v>218630.62585528786</v>
          </cell>
        </row>
        <row r="130">
          <cell r="G130">
            <v>50421100</v>
          </cell>
          <cell r="I130" t="str">
            <v>401k Exp Cap Credits</v>
          </cell>
          <cell r="K130" t="str">
            <v>604.8</v>
          </cell>
          <cell r="Q130">
            <v>-46278.483269225428</v>
          </cell>
        </row>
        <row r="131">
          <cell r="G131">
            <v>50422000</v>
          </cell>
          <cell r="I131" t="str">
            <v>DCP Expense</v>
          </cell>
          <cell r="K131" t="str">
            <v>604.8</v>
          </cell>
          <cell r="Q131">
            <v>246735.72411754652</v>
          </cell>
        </row>
        <row r="132">
          <cell r="G132">
            <v>50422100</v>
          </cell>
          <cell r="I132" t="str">
            <v>DCP Exp Cap Credits</v>
          </cell>
          <cell r="K132" t="str">
            <v>604.8</v>
          </cell>
          <cell r="Q132">
            <v>-45527.96707200419</v>
          </cell>
        </row>
        <row r="133">
          <cell r="G133">
            <v>50423000</v>
          </cell>
          <cell r="I133" t="str">
            <v>ESPP Expense</v>
          </cell>
          <cell r="K133" t="str">
            <v>604.8</v>
          </cell>
          <cell r="Q133">
            <v>7799.4498705980986</v>
          </cell>
        </row>
        <row r="134">
          <cell r="G134">
            <v>50426000</v>
          </cell>
          <cell r="I134" t="str">
            <v>Retiree Medical Exp</v>
          </cell>
          <cell r="K134" t="str">
            <v>604.8</v>
          </cell>
          <cell r="Q134">
            <v>19997.458553638349</v>
          </cell>
        </row>
        <row r="135">
          <cell r="G135">
            <v>50426100</v>
          </cell>
          <cell r="I135" t="str">
            <v>Retiree Med Cap Cr</v>
          </cell>
          <cell r="K135" t="str">
            <v>604.8</v>
          </cell>
          <cell r="Q135">
            <v>-3329.4530138934606</v>
          </cell>
        </row>
        <row r="136">
          <cell r="G136">
            <v>50450000</v>
          </cell>
          <cell r="I136" t="str">
            <v>Other Welfare</v>
          </cell>
          <cell r="K136" t="str">
            <v>604.8</v>
          </cell>
          <cell r="Q136">
            <v>26627.677643464493</v>
          </cell>
        </row>
        <row r="137">
          <cell r="G137">
            <v>50450013</v>
          </cell>
          <cell r="I137" t="str">
            <v>Other Welfare WT</v>
          </cell>
          <cell r="K137" t="str">
            <v>604.3</v>
          </cell>
          <cell r="Q137">
            <v>576.17222481858403</v>
          </cell>
        </row>
        <row r="138">
          <cell r="G138">
            <v>50450014</v>
          </cell>
          <cell r="I138" t="str">
            <v>Other Welfare TD</v>
          </cell>
          <cell r="K138" t="str">
            <v>604.5</v>
          </cell>
          <cell r="Q138">
            <v>530.52477742978783</v>
          </cell>
        </row>
        <row r="139">
          <cell r="G139">
            <v>50450015</v>
          </cell>
          <cell r="I139" t="str">
            <v>Other Welfare CA</v>
          </cell>
          <cell r="K139" t="str">
            <v>604.7</v>
          </cell>
          <cell r="Q139">
            <v>388.51049666464382</v>
          </cell>
        </row>
        <row r="140">
          <cell r="G140">
            <v>50450016</v>
          </cell>
          <cell r="I140" t="str">
            <v>Other Welfare AG</v>
          </cell>
          <cell r="K140" t="str">
            <v>604.8</v>
          </cell>
          <cell r="Q140">
            <v>10766.711257437415</v>
          </cell>
        </row>
        <row r="141">
          <cell r="G141">
            <v>50451000</v>
          </cell>
          <cell r="I141" t="str">
            <v>Employee Awards</v>
          </cell>
          <cell r="K141" t="str">
            <v>604.8</v>
          </cell>
          <cell r="Q141">
            <v>6000.1033623273324</v>
          </cell>
        </row>
        <row r="142">
          <cell r="G142">
            <v>50452000</v>
          </cell>
          <cell r="I142" t="str">
            <v>Emp Physical Exams</v>
          </cell>
          <cell r="K142" t="str">
            <v>604.8</v>
          </cell>
          <cell r="Q142">
            <v>4808.1977916198739</v>
          </cell>
        </row>
        <row r="143">
          <cell r="G143">
            <v>50454000</v>
          </cell>
          <cell r="I143" t="str">
            <v>Safety Incent Awards</v>
          </cell>
          <cell r="K143" t="str">
            <v>604.8</v>
          </cell>
          <cell r="Q143">
            <v>2738.8468433277762</v>
          </cell>
        </row>
        <row r="144">
          <cell r="G144">
            <v>50456000</v>
          </cell>
          <cell r="I144" t="str">
            <v>Tuition Aid</v>
          </cell>
          <cell r="K144" t="str">
            <v>604.8</v>
          </cell>
          <cell r="Q144">
            <v>13161.680663769592</v>
          </cell>
        </row>
        <row r="145">
          <cell r="G145">
            <v>50457000</v>
          </cell>
          <cell r="I145" t="str">
            <v>Training</v>
          </cell>
          <cell r="K145" t="str">
            <v>604.8</v>
          </cell>
          <cell r="Q145">
            <v>29195.092962154347</v>
          </cell>
        </row>
        <row r="146">
          <cell r="E146">
            <v>0</v>
          </cell>
          <cell r="G146">
            <v>50458000</v>
          </cell>
          <cell r="I146" t="str">
            <v>Referral Bonus</v>
          </cell>
          <cell r="K146" t="str">
            <v>604.8</v>
          </cell>
          <cell r="Q146">
            <v>0</v>
          </cell>
        </row>
        <row r="147">
          <cell r="G147">
            <v>0</v>
          </cell>
          <cell r="K147" t="str">
            <v>Total</v>
          </cell>
          <cell r="Q147">
            <v>492820.87306496163</v>
          </cell>
        </row>
        <row r="148">
          <cell r="G148">
            <v>0</v>
          </cell>
          <cell r="K148">
            <v>0</v>
          </cell>
          <cell r="Q148">
            <v>0</v>
          </cell>
        </row>
        <row r="149">
          <cell r="E149" t="str">
            <v>Service Company Costs</v>
          </cell>
          <cell r="G149">
            <v>53401000</v>
          </cell>
          <cell r="I149" t="str">
            <v>AWWSC Labor OPEX</v>
          </cell>
          <cell r="K149" t="str">
            <v>634.8</v>
          </cell>
          <cell r="Q149">
            <v>4079156.5329831042</v>
          </cell>
        </row>
        <row r="150">
          <cell r="G150">
            <v>53401100</v>
          </cell>
          <cell r="I150" t="str">
            <v>AWWSC Pension OPEX</v>
          </cell>
          <cell r="K150" t="str">
            <v>634.8</v>
          </cell>
          <cell r="Q150">
            <v>332779.74831510766</v>
          </cell>
        </row>
        <row r="151">
          <cell r="G151">
            <v>53401200</v>
          </cell>
          <cell r="I151" t="str">
            <v>AWWSC Group Ins OPEX</v>
          </cell>
          <cell r="K151" t="str">
            <v>634.8</v>
          </cell>
          <cell r="Q151">
            <v>533611.24538114644</v>
          </cell>
        </row>
        <row r="152">
          <cell r="G152">
            <v>53401300</v>
          </cell>
          <cell r="I152" t="str">
            <v>AWWSC Other Ben OPEX</v>
          </cell>
          <cell r="K152" t="str">
            <v>634.8</v>
          </cell>
          <cell r="Q152">
            <v>270410.15010032378</v>
          </cell>
        </row>
        <row r="153">
          <cell r="G153">
            <v>53401400</v>
          </cell>
          <cell r="I153" t="str">
            <v>AWWSC Cont Svcs OPEX</v>
          </cell>
          <cell r="K153" t="str">
            <v>634.8</v>
          </cell>
          <cell r="Q153">
            <v>629969.39816586138</v>
          </cell>
        </row>
        <row r="154">
          <cell r="G154">
            <v>53401500</v>
          </cell>
          <cell r="I154" t="str">
            <v>AWWSC Off Suppl OPEX</v>
          </cell>
          <cell r="K154" t="str">
            <v>634.8</v>
          </cell>
          <cell r="Q154">
            <v>429628.90074113908</v>
          </cell>
        </row>
        <row r="155">
          <cell r="G155">
            <v>53401600</v>
          </cell>
          <cell r="I155" t="str">
            <v>AWWSC Transportaion</v>
          </cell>
          <cell r="K155" t="str">
            <v>634.8</v>
          </cell>
          <cell r="Q155">
            <v>67986.591965552754</v>
          </cell>
        </row>
        <row r="156">
          <cell r="G156">
            <v>53401700</v>
          </cell>
          <cell r="I156" t="str">
            <v>AWWSC Rents OPEX</v>
          </cell>
          <cell r="K156" t="str">
            <v>634.8</v>
          </cell>
          <cell r="Q156">
            <v>265942.68555272295</v>
          </cell>
        </row>
        <row r="157">
          <cell r="G157">
            <v>53401800</v>
          </cell>
          <cell r="I157" t="str">
            <v>AWWSC Other operting supplies</v>
          </cell>
          <cell r="K157" t="str">
            <v>634.8</v>
          </cell>
          <cell r="Q157">
            <v>35179.176017758626</v>
          </cell>
        </row>
        <row r="158">
          <cell r="G158">
            <v>53401900</v>
          </cell>
          <cell r="I158" t="str">
            <v>AWWSC Maint OPEX</v>
          </cell>
          <cell r="K158" t="str">
            <v>634.8</v>
          </cell>
          <cell r="Q158">
            <v>302054.33943006338</v>
          </cell>
        </row>
        <row r="159">
          <cell r="G159">
            <v>53402100</v>
          </cell>
          <cell r="I159" t="str">
            <v>AWWSC Oth O&amp;M OPEX</v>
          </cell>
          <cell r="K159" t="str">
            <v>634.8</v>
          </cell>
          <cell r="Q159">
            <v>268903.43446280749</v>
          </cell>
        </row>
        <row r="160">
          <cell r="G160">
            <v>53402200</v>
          </cell>
          <cell r="I160" t="str">
            <v>AWWSC Dpr/Amrt OPEX</v>
          </cell>
          <cell r="K160" t="str">
            <v>634.8</v>
          </cell>
          <cell r="Q160">
            <v>963700.58999193204</v>
          </cell>
        </row>
        <row r="161">
          <cell r="G161">
            <v>53402300</v>
          </cell>
          <cell r="I161" t="str">
            <v>AWWSC Gen Tax OPEX</v>
          </cell>
          <cell r="K161" t="str">
            <v>634.8</v>
          </cell>
          <cell r="Q161">
            <v>341706.24823191762</v>
          </cell>
        </row>
        <row r="162">
          <cell r="G162">
            <v>53402400</v>
          </cell>
          <cell r="I162" t="str">
            <v>AWWSC Interest OPEX</v>
          </cell>
          <cell r="K162" t="str">
            <v>634.8</v>
          </cell>
          <cell r="Q162">
            <v>87661.347979078782</v>
          </cell>
        </row>
        <row r="163">
          <cell r="G163">
            <v>53402500</v>
          </cell>
          <cell r="I163" t="str">
            <v>AWWSC Oth Inc OPEX</v>
          </cell>
          <cell r="K163" t="str">
            <v>634.8</v>
          </cell>
          <cell r="Q163">
            <v>-9917.9820251336405</v>
          </cell>
        </row>
        <row r="164">
          <cell r="E164">
            <v>0</v>
          </cell>
          <cell r="G164">
            <v>53402600</v>
          </cell>
          <cell r="I164" t="str">
            <v>AWWSC Inc Tax OPEX</v>
          </cell>
          <cell r="K164" t="str">
            <v>634.8</v>
          </cell>
          <cell r="Q164">
            <v>4908.9427658661025</v>
          </cell>
        </row>
        <row r="165">
          <cell r="G165">
            <v>0</v>
          </cell>
          <cell r="K165" t="str">
            <v>Total</v>
          </cell>
          <cell r="Q165">
            <v>8603681.3500592448</v>
          </cell>
        </row>
        <row r="166">
          <cell r="G166">
            <v>0</v>
          </cell>
          <cell r="K166">
            <v>0</v>
          </cell>
          <cell r="Q166">
            <v>0</v>
          </cell>
        </row>
        <row r="167">
          <cell r="E167" t="str">
            <v>Contracted services</v>
          </cell>
          <cell r="G167">
            <v>53110000</v>
          </cell>
          <cell r="I167" t="str">
            <v>Contr Svc-Eng</v>
          </cell>
          <cell r="K167" t="str">
            <v>631.8</v>
          </cell>
          <cell r="Q167">
            <v>0</v>
          </cell>
        </row>
        <row r="168">
          <cell r="G168">
            <v>53110011</v>
          </cell>
          <cell r="I168" t="str">
            <v>Contr Svc-Eng SS</v>
          </cell>
          <cell r="K168" t="str">
            <v>631.1</v>
          </cell>
          <cell r="Q168">
            <v>682.14177952465366</v>
          </cell>
        </row>
        <row r="169">
          <cell r="G169">
            <v>53110016</v>
          </cell>
          <cell r="I169" t="str">
            <v>Contr Svc-Eng AG</v>
          </cell>
          <cell r="K169" t="str">
            <v>631.8</v>
          </cell>
          <cell r="Q169">
            <v>22233.392520428872</v>
          </cell>
        </row>
        <row r="170">
          <cell r="G170">
            <v>53150000</v>
          </cell>
          <cell r="I170" t="str">
            <v>Contr Svc-Other</v>
          </cell>
          <cell r="K170" t="str">
            <v>636.8</v>
          </cell>
          <cell r="Q170">
            <v>0</v>
          </cell>
        </row>
        <row r="171">
          <cell r="G171">
            <v>53150011</v>
          </cell>
          <cell r="I171" t="str">
            <v>Contr Svc-Other SS</v>
          </cell>
          <cell r="K171" t="str">
            <v>636.1</v>
          </cell>
          <cell r="Q171">
            <v>0</v>
          </cell>
        </row>
        <row r="172">
          <cell r="G172">
            <v>53150013</v>
          </cell>
          <cell r="I172" t="str">
            <v>Contr Svc-Other WT</v>
          </cell>
          <cell r="K172" t="str">
            <v>636.3</v>
          </cell>
          <cell r="Q172">
            <v>29764.41494606404</v>
          </cell>
        </row>
        <row r="173">
          <cell r="G173">
            <v>53150014</v>
          </cell>
          <cell r="I173" t="str">
            <v>Contr Svc-Other TD</v>
          </cell>
          <cell r="K173" t="str">
            <v>636.5</v>
          </cell>
          <cell r="Q173">
            <v>93439.249420238077</v>
          </cell>
        </row>
        <row r="174">
          <cell r="G174">
            <v>53150015</v>
          </cell>
          <cell r="I174" t="str">
            <v>Contr Svc-Other CA</v>
          </cell>
          <cell r="K174" t="str">
            <v>636.7</v>
          </cell>
          <cell r="Q174">
            <v>34286.040456056035</v>
          </cell>
        </row>
        <row r="175">
          <cell r="G175">
            <v>53150016</v>
          </cell>
          <cell r="I175" t="str">
            <v>Contr Svc-Other AG</v>
          </cell>
          <cell r="K175" t="str">
            <v>636.8</v>
          </cell>
          <cell r="Q175">
            <v>46209.347223097997</v>
          </cell>
        </row>
        <row r="176">
          <cell r="G176">
            <v>53151000</v>
          </cell>
          <cell r="I176" t="str">
            <v>Contr Svc-Temp EE</v>
          </cell>
          <cell r="K176" t="str">
            <v>636.8</v>
          </cell>
          <cell r="Q176">
            <v>0</v>
          </cell>
        </row>
        <row r="177">
          <cell r="G177">
            <v>53151016</v>
          </cell>
          <cell r="I177" t="str">
            <v>Contr Svc-Temp EE AG</v>
          </cell>
          <cell r="K177" t="str">
            <v>636.8</v>
          </cell>
          <cell r="Q177">
            <v>17741.887556545764</v>
          </cell>
        </row>
        <row r="178">
          <cell r="G178">
            <v>53152000</v>
          </cell>
          <cell r="I178" t="str">
            <v>Contr Svc-Lab Testng</v>
          </cell>
          <cell r="K178" t="str">
            <v>635.3</v>
          </cell>
          <cell r="Q178">
            <v>55864.754047824223</v>
          </cell>
        </row>
        <row r="179">
          <cell r="G179">
            <v>53153000</v>
          </cell>
          <cell r="I179" t="str">
            <v>Contr Svc-Accounting</v>
          </cell>
          <cell r="K179" t="str">
            <v>632.8</v>
          </cell>
          <cell r="Q179">
            <v>243824.93485297516</v>
          </cell>
        </row>
        <row r="180">
          <cell r="G180">
            <v>53154000</v>
          </cell>
          <cell r="I180" t="str">
            <v>Contr Svc-Audit Fees</v>
          </cell>
          <cell r="K180" t="str">
            <v>632.8</v>
          </cell>
          <cell r="Q180">
            <v>83272.679210075832</v>
          </cell>
        </row>
        <row r="181">
          <cell r="G181">
            <v>53155000</v>
          </cell>
          <cell r="I181" t="str">
            <v>Contr Svc-Legal</v>
          </cell>
          <cell r="K181" t="str">
            <v>633.8</v>
          </cell>
          <cell r="Q181">
            <v>127877.66440366844</v>
          </cell>
        </row>
        <row r="182">
          <cell r="E182">
            <v>0</v>
          </cell>
          <cell r="G182">
            <v>53157000</v>
          </cell>
          <cell r="I182" t="str">
            <v>Contr Svc-Outplacemt</v>
          </cell>
          <cell r="K182" t="str">
            <v>675.8</v>
          </cell>
          <cell r="Q182">
            <v>3474.4935835008982</v>
          </cell>
        </row>
        <row r="183">
          <cell r="G183">
            <v>0</v>
          </cell>
          <cell r="K183" t="str">
            <v>Total</v>
          </cell>
          <cell r="Q183">
            <v>758671</v>
          </cell>
        </row>
        <row r="184">
          <cell r="G184">
            <v>0</v>
          </cell>
          <cell r="K184">
            <v>0</v>
          </cell>
          <cell r="Q184">
            <v>0</v>
          </cell>
        </row>
        <row r="185">
          <cell r="E185" t="str">
            <v>Building Maintenance and Services</v>
          </cell>
          <cell r="G185">
            <v>52532000</v>
          </cell>
          <cell r="I185" t="str">
            <v>Electricity</v>
          </cell>
          <cell r="K185" t="str">
            <v>675.8</v>
          </cell>
          <cell r="Q185">
            <v>0</v>
          </cell>
        </row>
        <row r="186">
          <cell r="G186">
            <v>52532011</v>
          </cell>
          <cell r="I186" t="str">
            <v>Electricity SS</v>
          </cell>
          <cell r="K186" t="str">
            <v>675.1</v>
          </cell>
          <cell r="Q186">
            <v>921.81464593557246</v>
          </cell>
        </row>
        <row r="187">
          <cell r="G187">
            <v>52532013</v>
          </cell>
          <cell r="I187" t="str">
            <v>Electricity WT</v>
          </cell>
          <cell r="K187" t="str">
            <v>675.3</v>
          </cell>
          <cell r="Q187">
            <v>9430.4745519588614</v>
          </cell>
        </row>
        <row r="188">
          <cell r="G188">
            <v>52532014</v>
          </cell>
          <cell r="I188" t="str">
            <v>Electricity TD</v>
          </cell>
          <cell r="K188" t="str">
            <v>675.5</v>
          </cell>
          <cell r="Q188">
            <v>36906.247608201447</v>
          </cell>
        </row>
        <row r="189">
          <cell r="G189">
            <v>52532016</v>
          </cell>
          <cell r="I189" t="str">
            <v>Electricity AG</v>
          </cell>
          <cell r="K189" t="str">
            <v>675.8</v>
          </cell>
          <cell r="Q189">
            <v>85081.420326266962</v>
          </cell>
        </row>
        <row r="190">
          <cell r="G190">
            <v>52546000</v>
          </cell>
          <cell r="I190" t="str">
            <v>Grounds Keeping</v>
          </cell>
          <cell r="K190" t="str">
            <v>675.8</v>
          </cell>
          <cell r="Q190">
            <v>0</v>
          </cell>
        </row>
        <row r="191">
          <cell r="G191">
            <v>52546011</v>
          </cell>
          <cell r="I191" t="str">
            <v>Grounds Keeping SS</v>
          </cell>
          <cell r="K191" t="str">
            <v>675.1</v>
          </cell>
          <cell r="Q191">
            <v>0</v>
          </cell>
        </row>
        <row r="192">
          <cell r="G192">
            <v>52546013</v>
          </cell>
          <cell r="I192" t="str">
            <v>Grounds Keeping WT</v>
          </cell>
          <cell r="K192" t="str">
            <v>675.3</v>
          </cell>
          <cell r="Q192">
            <v>12315.029370981974</v>
          </cell>
        </row>
        <row r="193">
          <cell r="G193">
            <v>52546014</v>
          </cell>
          <cell r="I193" t="str">
            <v>Grounds Keeping TD</v>
          </cell>
          <cell r="K193" t="str">
            <v>675.5</v>
          </cell>
          <cell r="Q193">
            <v>42292.130932768836</v>
          </cell>
        </row>
        <row r="194">
          <cell r="G194">
            <v>52546016</v>
          </cell>
          <cell r="I194" t="str">
            <v>Grounds Keeping AG</v>
          </cell>
          <cell r="K194" t="str">
            <v>675.8</v>
          </cell>
          <cell r="Q194">
            <v>116283.29247099631</v>
          </cell>
        </row>
        <row r="195">
          <cell r="G195">
            <v>52548000</v>
          </cell>
          <cell r="I195" t="str">
            <v>Heating Oil/Gas</v>
          </cell>
          <cell r="K195" t="str">
            <v>675.8</v>
          </cell>
          <cell r="Q195">
            <v>0</v>
          </cell>
        </row>
        <row r="196">
          <cell r="G196">
            <v>52548013</v>
          </cell>
          <cell r="I196" t="str">
            <v>Heating Oil/Gas WT</v>
          </cell>
          <cell r="K196" t="str">
            <v>675.3</v>
          </cell>
          <cell r="Q196">
            <v>2294.1791469070708</v>
          </cell>
        </row>
        <row r="197">
          <cell r="G197">
            <v>52548014</v>
          </cell>
          <cell r="I197" t="str">
            <v>Heating Oil/Gas TD</v>
          </cell>
          <cell r="K197" t="str">
            <v>675.5</v>
          </cell>
          <cell r="Q197">
            <v>-5075.1592866115789</v>
          </cell>
        </row>
        <row r="198">
          <cell r="G198">
            <v>52548016</v>
          </cell>
          <cell r="I198" t="str">
            <v>Heating Oil/Gas AG</v>
          </cell>
          <cell r="K198" t="str">
            <v>675.8</v>
          </cell>
          <cell r="Q198">
            <v>-1219.5918489765579</v>
          </cell>
        </row>
        <row r="199">
          <cell r="G199">
            <v>52550000</v>
          </cell>
          <cell r="I199" t="str">
            <v>Janitorial</v>
          </cell>
          <cell r="K199" t="str">
            <v>675.8</v>
          </cell>
          <cell r="Q199">
            <v>0</v>
          </cell>
        </row>
        <row r="200">
          <cell r="G200">
            <v>52550013</v>
          </cell>
          <cell r="I200" t="str">
            <v>Janitorial WT</v>
          </cell>
          <cell r="K200" t="str">
            <v>675.3</v>
          </cell>
          <cell r="Q200">
            <v>7087.0974323754544</v>
          </cell>
        </row>
        <row r="201">
          <cell r="G201">
            <v>52550014</v>
          </cell>
          <cell r="I201" t="str">
            <v>Janitorial TD</v>
          </cell>
          <cell r="K201" t="str">
            <v>675.5</v>
          </cell>
          <cell r="Q201">
            <v>13296.399457525742</v>
          </cell>
        </row>
        <row r="202">
          <cell r="G202">
            <v>52550016</v>
          </cell>
          <cell r="I202" t="str">
            <v>Janitorial AG</v>
          </cell>
          <cell r="K202" t="str">
            <v>675.8</v>
          </cell>
          <cell r="Q202">
            <v>43529.848350626155</v>
          </cell>
        </row>
        <row r="203">
          <cell r="G203">
            <v>52571000</v>
          </cell>
          <cell r="I203" t="str">
            <v>Security Svc</v>
          </cell>
          <cell r="K203" t="str">
            <v>675.8</v>
          </cell>
          <cell r="Q203">
            <v>0</v>
          </cell>
        </row>
        <row r="204">
          <cell r="G204">
            <v>52571011</v>
          </cell>
          <cell r="I204" t="str">
            <v>Security Svc SS</v>
          </cell>
          <cell r="K204" t="str">
            <v>675.1</v>
          </cell>
          <cell r="Q204">
            <v>21838.721134327578</v>
          </cell>
        </row>
        <row r="205">
          <cell r="G205">
            <v>52571014</v>
          </cell>
          <cell r="I205" t="str">
            <v>Security Svc TD</v>
          </cell>
          <cell r="K205" t="str">
            <v>675.5</v>
          </cell>
          <cell r="Q205">
            <v>403.94124934255422</v>
          </cell>
        </row>
        <row r="206">
          <cell r="G206">
            <v>52571016</v>
          </cell>
          <cell r="I206" t="str">
            <v>Security Svc AG</v>
          </cell>
          <cell r="K206" t="str">
            <v>675.8</v>
          </cell>
          <cell r="Q206">
            <v>42688.304081162496</v>
          </cell>
        </row>
        <row r="207">
          <cell r="G207">
            <v>52571100</v>
          </cell>
          <cell r="I207" t="str">
            <v>Add'l Security Costs</v>
          </cell>
          <cell r="K207" t="str">
            <v>675.8</v>
          </cell>
          <cell r="Q207">
            <v>2496.149771578348</v>
          </cell>
        </row>
        <row r="208">
          <cell r="G208">
            <v>52578000</v>
          </cell>
          <cell r="I208" t="str">
            <v>Trash Removal</v>
          </cell>
          <cell r="K208" t="str">
            <v>675.8</v>
          </cell>
          <cell r="Q208">
            <v>0</v>
          </cell>
        </row>
        <row r="209">
          <cell r="G209">
            <v>52578013</v>
          </cell>
          <cell r="I209" t="str">
            <v>Trash Removal WT</v>
          </cell>
          <cell r="K209" t="str">
            <v>675.3</v>
          </cell>
          <cell r="Q209">
            <v>12897.636942149118</v>
          </cell>
        </row>
        <row r="210">
          <cell r="G210">
            <v>52578014</v>
          </cell>
          <cell r="I210" t="str">
            <v>Trash Removal TD</v>
          </cell>
          <cell r="K210" t="str">
            <v>675.5</v>
          </cell>
          <cell r="Q210">
            <v>0</v>
          </cell>
        </row>
        <row r="211">
          <cell r="G211">
            <v>52578016</v>
          </cell>
          <cell r="I211" t="str">
            <v>Trash Removal AG</v>
          </cell>
          <cell r="K211" t="str">
            <v>675.8</v>
          </cell>
          <cell r="Q211">
            <v>16377.746167254203</v>
          </cell>
        </row>
        <row r="212">
          <cell r="G212">
            <v>52583000</v>
          </cell>
          <cell r="I212" t="str">
            <v>Water &amp; WW</v>
          </cell>
          <cell r="K212" t="str">
            <v>675.8</v>
          </cell>
          <cell r="Q212">
            <v>0</v>
          </cell>
        </row>
        <row r="213">
          <cell r="G213">
            <v>52583011</v>
          </cell>
          <cell r="I213" t="str">
            <v>Water &amp; WW SS</v>
          </cell>
          <cell r="K213" t="str">
            <v>675.1</v>
          </cell>
          <cell r="Q213">
            <v>103046.44845407877</v>
          </cell>
        </row>
        <row r="214">
          <cell r="G214">
            <v>52583013</v>
          </cell>
          <cell r="I214" t="str">
            <v>Water &amp; WW WT</v>
          </cell>
          <cell r="K214" t="str">
            <v>675.3</v>
          </cell>
          <cell r="Q214">
            <v>0</v>
          </cell>
        </row>
        <row r="215">
          <cell r="E215">
            <v>0</v>
          </cell>
          <cell r="G215">
            <v>52583016</v>
          </cell>
          <cell r="I215" t="str">
            <v>Water &amp; WW AG</v>
          </cell>
          <cell r="K215" t="str">
            <v>675.8</v>
          </cell>
          <cell r="Q215">
            <v>32809.869041150676</v>
          </cell>
        </row>
        <row r="216">
          <cell r="G216">
            <v>0</v>
          </cell>
          <cell r="K216" t="str">
            <v>Total</v>
          </cell>
          <cell r="Q216">
            <v>595702.00000000012</v>
          </cell>
        </row>
        <row r="217">
          <cell r="G217">
            <v>0</v>
          </cell>
          <cell r="K217">
            <v>0</v>
          </cell>
          <cell r="Q217">
            <v>0</v>
          </cell>
        </row>
        <row r="218">
          <cell r="E218" t="str">
            <v>Telecommunication expenses</v>
          </cell>
          <cell r="G218">
            <v>52574000</v>
          </cell>
          <cell r="I218" t="str">
            <v>Telephone</v>
          </cell>
          <cell r="K218" t="str">
            <v>675.8</v>
          </cell>
          <cell r="Q218">
            <v>0</v>
          </cell>
        </row>
        <row r="219">
          <cell r="G219">
            <v>52574013</v>
          </cell>
          <cell r="I219" t="str">
            <v>Telephone WT</v>
          </cell>
          <cell r="K219" t="str">
            <v>675.3</v>
          </cell>
          <cell r="Q219">
            <v>16738.821974626579</v>
          </cell>
        </row>
        <row r="220">
          <cell r="G220">
            <v>52574014</v>
          </cell>
          <cell r="I220" t="str">
            <v>Telephone TD</v>
          </cell>
          <cell r="K220" t="str">
            <v>675.5</v>
          </cell>
          <cell r="Q220">
            <v>5082.4423640439627</v>
          </cell>
        </row>
        <row r="221">
          <cell r="G221">
            <v>52574015</v>
          </cell>
          <cell r="I221" t="str">
            <v>Telephone CA</v>
          </cell>
          <cell r="K221" t="str">
            <v>675.7</v>
          </cell>
          <cell r="Q221">
            <v>109545.98661640121</v>
          </cell>
        </row>
        <row r="222">
          <cell r="G222">
            <v>52574016</v>
          </cell>
          <cell r="I222" t="str">
            <v>Telephone AG</v>
          </cell>
          <cell r="K222" t="str">
            <v>675.8</v>
          </cell>
          <cell r="Q222">
            <v>24412.973358745938</v>
          </cell>
        </row>
        <row r="223">
          <cell r="G223">
            <v>52574100</v>
          </cell>
          <cell r="I223" t="str">
            <v>Cell Phone</v>
          </cell>
          <cell r="K223" t="str">
            <v>675.8</v>
          </cell>
          <cell r="Q223">
            <v>0</v>
          </cell>
        </row>
        <row r="224">
          <cell r="G224">
            <v>52574111</v>
          </cell>
          <cell r="I224" t="str">
            <v>Cell Phone SS</v>
          </cell>
          <cell r="K224" t="str">
            <v>675.1</v>
          </cell>
          <cell r="Q224">
            <v>0</v>
          </cell>
        </row>
        <row r="225">
          <cell r="G225">
            <v>52574113</v>
          </cell>
          <cell r="I225" t="str">
            <v>Cell Phone WT</v>
          </cell>
          <cell r="K225" t="str">
            <v>675.3</v>
          </cell>
          <cell r="Q225">
            <v>6064.8515461666993</v>
          </cell>
        </row>
        <row r="226">
          <cell r="G226">
            <v>52574114</v>
          </cell>
          <cell r="I226" t="str">
            <v>Cell Phone TD</v>
          </cell>
          <cell r="K226" t="str">
            <v>675.5</v>
          </cell>
          <cell r="Q226">
            <v>1272.7142509298831</v>
          </cell>
        </row>
        <row r="227">
          <cell r="G227">
            <v>52574115</v>
          </cell>
          <cell r="I227" t="str">
            <v>Cell Phone CA</v>
          </cell>
          <cell r="K227" t="str">
            <v>675.7</v>
          </cell>
          <cell r="Q227">
            <v>8818.5423799968103</v>
          </cell>
        </row>
        <row r="228">
          <cell r="G228">
            <v>52574116</v>
          </cell>
          <cell r="I228" t="str">
            <v>Cell Phone AG</v>
          </cell>
          <cell r="K228" t="str">
            <v>675.8</v>
          </cell>
          <cell r="Q228">
            <v>78500.173533387628</v>
          </cell>
        </row>
        <row r="229">
          <cell r="E229">
            <v>0</v>
          </cell>
          <cell r="G229">
            <v>52574200</v>
          </cell>
          <cell r="I229" t="str">
            <v>Data Lines AG</v>
          </cell>
          <cell r="K229" t="str">
            <v>675.8</v>
          </cell>
          <cell r="Q229">
            <v>111.49397570129554</v>
          </cell>
        </row>
        <row r="230">
          <cell r="G230">
            <v>0</v>
          </cell>
          <cell r="K230" t="str">
            <v>Total</v>
          </cell>
          <cell r="Q230">
            <v>250548</v>
          </cell>
        </row>
        <row r="231">
          <cell r="G231">
            <v>0</v>
          </cell>
          <cell r="K231">
            <v>0</v>
          </cell>
          <cell r="Q231">
            <v>0</v>
          </cell>
        </row>
        <row r="232">
          <cell r="E232" t="str">
            <v>Postage, printing and stationary</v>
          </cell>
          <cell r="G232">
            <v>52562500</v>
          </cell>
          <cell r="I232" t="str">
            <v>Overnight Shippng</v>
          </cell>
          <cell r="K232" t="str">
            <v>675.8</v>
          </cell>
          <cell r="Q232">
            <v>0</v>
          </cell>
        </row>
        <row r="233">
          <cell r="G233">
            <v>52562511</v>
          </cell>
          <cell r="I233" t="str">
            <v>Overnight Shippng SS</v>
          </cell>
          <cell r="K233" t="str">
            <v>675.1</v>
          </cell>
          <cell r="Q233">
            <v>0</v>
          </cell>
        </row>
        <row r="234">
          <cell r="G234">
            <v>52562513</v>
          </cell>
          <cell r="I234" t="str">
            <v>Overnight Shippng WT</v>
          </cell>
          <cell r="K234" t="str">
            <v>675.3</v>
          </cell>
          <cell r="Q234">
            <v>9946.9266801439771</v>
          </cell>
        </row>
        <row r="235">
          <cell r="G235">
            <v>52562514</v>
          </cell>
          <cell r="I235" t="str">
            <v>Overnight Shippng TD</v>
          </cell>
          <cell r="K235" t="str">
            <v>675.5</v>
          </cell>
          <cell r="Q235">
            <v>314.38242690202651</v>
          </cell>
        </row>
        <row r="236">
          <cell r="G236">
            <v>52562516</v>
          </cell>
          <cell r="I236" t="str">
            <v>Overnight Shippng AG</v>
          </cell>
          <cell r="K236" t="str">
            <v>675.8</v>
          </cell>
          <cell r="Q236">
            <v>1420.8308268823037</v>
          </cell>
        </row>
        <row r="237">
          <cell r="G237">
            <v>52566000</v>
          </cell>
          <cell r="I237" t="str">
            <v>Postage</v>
          </cell>
          <cell r="K237" t="str">
            <v>675.8</v>
          </cell>
          <cell r="Q237">
            <v>0</v>
          </cell>
        </row>
        <row r="238">
          <cell r="G238">
            <v>52566016</v>
          </cell>
          <cell r="I238" t="str">
            <v>Postage AG</v>
          </cell>
          <cell r="K238" t="str">
            <v>675.8</v>
          </cell>
          <cell r="Q238">
            <v>1309.7416300971354</v>
          </cell>
        </row>
        <row r="239">
          <cell r="E239">
            <v>0</v>
          </cell>
          <cell r="G239">
            <v>52566700</v>
          </cell>
          <cell r="I239" t="str">
            <v>Printing</v>
          </cell>
          <cell r="K239" t="str">
            <v>675.8</v>
          </cell>
          <cell r="Q239">
            <v>9538.1184359745585</v>
          </cell>
        </row>
        <row r="240">
          <cell r="G240">
            <v>0</v>
          </cell>
          <cell r="K240" t="str">
            <v>Total</v>
          </cell>
          <cell r="Q240">
            <v>22530</v>
          </cell>
        </row>
        <row r="241">
          <cell r="G241">
            <v>0</v>
          </cell>
          <cell r="K241">
            <v>0</v>
          </cell>
          <cell r="Q241">
            <v>166</v>
          </cell>
        </row>
        <row r="242">
          <cell r="E242" t="str">
            <v>Office supplies and services</v>
          </cell>
          <cell r="G242">
            <v>52526100</v>
          </cell>
          <cell r="I242" t="str">
            <v>Credit Line Fees I/C</v>
          </cell>
          <cell r="K242" t="str">
            <v>675.8</v>
          </cell>
          <cell r="Q242">
            <v>134030.74731842737</v>
          </cell>
        </row>
        <row r="243">
          <cell r="G243">
            <v>52542016</v>
          </cell>
          <cell r="I243" t="str">
            <v>Forms AG</v>
          </cell>
          <cell r="K243" t="str">
            <v>675.8</v>
          </cell>
          <cell r="Q243">
            <v>2191.7623849552251</v>
          </cell>
        </row>
        <row r="244">
          <cell r="G244">
            <v>52562000</v>
          </cell>
          <cell r="I244" t="str">
            <v>Office Supplies</v>
          </cell>
          <cell r="K244" t="str">
            <v>675.8</v>
          </cell>
          <cell r="Q244">
            <v>0</v>
          </cell>
        </row>
        <row r="245">
          <cell r="G245">
            <v>52562011</v>
          </cell>
          <cell r="I245" t="str">
            <v>Off&amp;Adm Supplies SS</v>
          </cell>
          <cell r="K245" t="str">
            <v>675.1</v>
          </cell>
          <cell r="Q245">
            <v>0</v>
          </cell>
        </row>
        <row r="246">
          <cell r="G246">
            <v>52562013</v>
          </cell>
          <cell r="I246" t="str">
            <v>Off&amp;Adm Supplies WT</v>
          </cell>
          <cell r="K246" t="str">
            <v>675.3</v>
          </cell>
          <cell r="Q246">
            <v>7616.1173832201666</v>
          </cell>
        </row>
        <row r="247">
          <cell r="G247">
            <v>52562014</v>
          </cell>
          <cell r="I247" t="str">
            <v>Off&amp;Adm Supplies TD</v>
          </cell>
          <cell r="K247" t="str">
            <v>675.5</v>
          </cell>
          <cell r="Q247">
            <v>5007.4356966391651</v>
          </cell>
        </row>
        <row r="248">
          <cell r="G248">
            <v>52562015</v>
          </cell>
          <cell r="I248" t="str">
            <v>Off&amp;Adm Supplies CA</v>
          </cell>
          <cell r="K248" t="str">
            <v>675.7</v>
          </cell>
          <cell r="Q248">
            <v>0</v>
          </cell>
        </row>
        <row r="249">
          <cell r="G249">
            <v>52562016</v>
          </cell>
          <cell r="I249" t="str">
            <v>Off&amp;Adm Supplies AG</v>
          </cell>
          <cell r="K249" t="str">
            <v>675.8</v>
          </cell>
          <cell r="Q249">
            <v>25738.894772551881</v>
          </cell>
        </row>
        <row r="250">
          <cell r="G250">
            <v>52571500</v>
          </cell>
          <cell r="I250" t="str">
            <v>Software Licenses</v>
          </cell>
          <cell r="K250" t="str">
            <v>675.8</v>
          </cell>
          <cell r="Q250">
            <v>84245.591416895841</v>
          </cell>
        </row>
        <row r="251">
          <cell r="G251">
            <v>52582000</v>
          </cell>
          <cell r="I251" t="str">
            <v>Uniforms</v>
          </cell>
          <cell r="K251" t="str">
            <v>675.7</v>
          </cell>
          <cell r="Q251">
            <v>0</v>
          </cell>
        </row>
        <row r="252">
          <cell r="G252">
            <v>52582013</v>
          </cell>
          <cell r="I252" t="str">
            <v>Uniforms WT</v>
          </cell>
          <cell r="K252" t="str">
            <v>675.3</v>
          </cell>
          <cell r="Q252">
            <v>11556.298388725741</v>
          </cell>
        </row>
        <row r="253">
          <cell r="G253">
            <v>52582014</v>
          </cell>
          <cell r="I253" t="str">
            <v>Uniforms TD</v>
          </cell>
          <cell r="K253" t="str">
            <v>675.5</v>
          </cell>
          <cell r="Q253">
            <v>11026.341107433822</v>
          </cell>
        </row>
        <row r="254">
          <cell r="G254">
            <v>52582016</v>
          </cell>
          <cell r="I254" t="str">
            <v>Uniforms AG</v>
          </cell>
          <cell r="K254" t="str">
            <v>675.7</v>
          </cell>
          <cell r="Q254">
            <v>1573.7235610663104</v>
          </cell>
        </row>
        <row r="255">
          <cell r="E255">
            <v>0</v>
          </cell>
          <cell r="G255">
            <v>52801100</v>
          </cell>
          <cell r="I255" t="str">
            <v>Indirect OH Clearing</v>
          </cell>
          <cell r="K255" t="str">
            <v>675.8</v>
          </cell>
          <cell r="Q255">
            <v>0</v>
          </cell>
        </row>
        <row r="256">
          <cell r="G256">
            <v>0</v>
          </cell>
          <cell r="K256" t="str">
            <v>Total</v>
          </cell>
          <cell r="Q256">
            <v>282986.91202991555</v>
          </cell>
        </row>
        <row r="257">
          <cell r="G257">
            <v>0</v>
          </cell>
          <cell r="K257">
            <v>0</v>
          </cell>
          <cell r="Q257">
            <v>289</v>
          </cell>
        </row>
        <row r="258">
          <cell r="E258" t="str">
            <v>Advertising &amp; marketing expenses</v>
          </cell>
          <cell r="G258">
            <v>52503000</v>
          </cell>
          <cell r="I258" t="str">
            <v>Advertising</v>
          </cell>
          <cell r="K258" t="str">
            <v>660.8</v>
          </cell>
          <cell r="Q258">
            <v>0</v>
          </cell>
        </row>
        <row r="259">
          <cell r="K259" t="str">
            <v>Total</v>
          </cell>
          <cell r="Q259">
            <v>0</v>
          </cell>
        </row>
        <row r="260">
          <cell r="Q260">
            <v>0</v>
          </cell>
        </row>
        <row r="261">
          <cell r="E261" t="str">
            <v>Employee Related Expense</v>
          </cell>
          <cell r="G261">
            <v>52534000</v>
          </cell>
          <cell r="I261" t="str">
            <v>Employee Expenses</v>
          </cell>
          <cell r="K261" t="str">
            <v>675.8</v>
          </cell>
          <cell r="Q261">
            <v>102438.26805486403</v>
          </cell>
        </row>
        <row r="262">
          <cell r="G262">
            <v>52534021</v>
          </cell>
          <cell r="I262" t="str">
            <v>Travel - Meals</v>
          </cell>
          <cell r="K262" t="str">
            <v>675.8</v>
          </cell>
          <cell r="Q262">
            <v>11697.91527965479</v>
          </cell>
        </row>
        <row r="263">
          <cell r="G263">
            <v>52534200</v>
          </cell>
          <cell r="I263" t="str">
            <v>Conferences &amp; Reg</v>
          </cell>
          <cell r="K263" t="str">
            <v>675.8</v>
          </cell>
          <cell r="Q263">
            <v>11935.470576380492</v>
          </cell>
        </row>
        <row r="264">
          <cell r="G264">
            <v>52535000</v>
          </cell>
          <cell r="I264" t="str">
            <v>Meals Deductible</v>
          </cell>
          <cell r="K264" t="str">
            <v>675.8</v>
          </cell>
          <cell r="Q264">
            <v>35926.632021006706</v>
          </cell>
        </row>
        <row r="265">
          <cell r="G265">
            <v>52535100</v>
          </cell>
          <cell r="I265" t="str">
            <v>Meals Nondeductible</v>
          </cell>
          <cell r="K265" t="str">
            <v>675.8</v>
          </cell>
          <cell r="Q265">
            <v>0</v>
          </cell>
        </row>
        <row r="266">
          <cell r="E266">
            <v>0</v>
          </cell>
          <cell r="G266">
            <v>52567000</v>
          </cell>
          <cell r="I266" t="str">
            <v>Relocation Expenses</v>
          </cell>
          <cell r="K266" t="str">
            <v>675.8</v>
          </cell>
          <cell r="Q266">
            <v>258.71406809398491</v>
          </cell>
        </row>
        <row r="267">
          <cell r="K267">
            <v>0</v>
          </cell>
          <cell r="Q267">
            <v>162257</v>
          </cell>
        </row>
        <row r="268">
          <cell r="K268">
            <v>0</v>
          </cell>
          <cell r="Q268">
            <v>0</v>
          </cell>
        </row>
        <row r="269">
          <cell r="E269" t="str">
            <v>Miscellaneous expenses</v>
          </cell>
          <cell r="G269">
            <v>52000000</v>
          </cell>
          <cell r="I269" t="str">
            <v>M&amp;S Expense (O&amp;M)</v>
          </cell>
          <cell r="K269" t="str">
            <v>620.5</v>
          </cell>
          <cell r="Q269">
            <v>0</v>
          </cell>
        </row>
        <row r="270">
          <cell r="G270">
            <v>52001000</v>
          </cell>
          <cell r="I270" t="str">
            <v>M&amp;S Expense (O&amp;M)</v>
          </cell>
          <cell r="K270" t="str">
            <v>620.5</v>
          </cell>
          <cell r="Q270">
            <v>0</v>
          </cell>
        </row>
        <row r="271">
          <cell r="G271">
            <v>52001100</v>
          </cell>
          <cell r="I271" t="str">
            <v>M&amp;S Oper SS</v>
          </cell>
          <cell r="K271" t="str">
            <v>620.1</v>
          </cell>
          <cell r="Q271">
            <v>94.465640303068298</v>
          </cell>
        </row>
        <row r="272">
          <cell r="G272">
            <v>52001200</v>
          </cell>
          <cell r="I272" t="str">
            <v>M&amp;S Oper P</v>
          </cell>
          <cell r="K272" t="str">
            <v>620.1</v>
          </cell>
          <cell r="Q272">
            <v>247.06398233110164</v>
          </cell>
        </row>
        <row r="273">
          <cell r="G273">
            <v>52001300</v>
          </cell>
          <cell r="I273" t="str">
            <v>M&amp;S Oper WT</v>
          </cell>
          <cell r="K273" t="str">
            <v>620.3</v>
          </cell>
          <cell r="Q273">
            <v>27571.048590334834</v>
          </cell>
        </row>
        <row r="274">
          <cell r="G274">
            <v>52001400</v>
          </cell>
          <cell r="I274" t="str">
            <v>M&amp;S Oper TD</v>
          </cell>
          <cell r="K274" t="str">
            <v>620.5</v>
          </cell>
          <cell r="Q274">
            <v>-13229.226635604906</v>
          </cell>
        </row>
        <row r="275">
          <cell r="G275">
            <v>52001600</v>
          </cell>
          <cell r="I275" t="str">
            <v>M&amp;S Oper AG</v>
          </cell>
          <cell r="K275" t="str">
            <v>620.8</v>
          </cell>
          <cell r="Q275">
            <v>8474.4560736838012</v>
          </cell>
        </row>
        <row r="276">
          <cell r="G276">
            <v>52500000</v>
          </cell>
          <cell r="I276" t="str">
            <v>Misc Expense (O&amp;M)</v>
          </cell>
          <cell r="K276" t="str">
            <v>675.8</v>
          </cell>
          <cell r="Q276">
            <v>0</v>
          </cell>
        </row>
        <row r="277">
          <cell r="G277">
            <v>52501200</v>
          </cell>
          <cell r="I277" t="str">
            <v>Misc Oper P</v>
          </cell>
          <cell r="K277" t="str">
            <v>675.1</v>
          </cell>
          <cell r="Q277">
            <v>12.918378161103355</v>
          </cell>
        </row>
        <row r="278">
          <cell r="G278">
            <v>52501300</v>
          </cell>
          <cell r="I278" t="str">
            <v>Misc Oper WT</v>
          </cell>
          <cell r="K278" t="str">
            <v>675.3</v>
          </cell>
          <cell r="Q278">
            <v>9168.0115012080369</v>
          </cell>
        </row>
        <row r="279">
          <cell r="G279">
            <v>52501400</v>
          </cell>
          <cell r="I279" t="str">
            <v>Misc Oper TD</v>
          </cell>
          <cell r="K279" t="str">
            <v>675.5</v>
          </cell>
          <cell r="Q279">
            <v>24578.021850134202</v>
          </cell>
        </row>
        <row r="280">
          <cell r="G280">
            <v>52501600</v>
          </cell>
          <cell r="I280" t="str">
            <v>Misc Oper AG</v>
          </cell>
          <cell r="K280" t="str">
            <v>675.8</v>
          </cell>
          <cell r="Q280">
            <v>51936.724599445901</v>
          </cell>
        </row>
        <row r="281">
          <cell r="G281">
            <v>52514000</v>
          </cell>
          <cell r="I281" t="str">
            <v>Charitb Contr Deduct</v>
          </cell>
          <cell r="K281" t="str">
            <v>675.8</v>
          </cell>
          <cell r="Q281">
            <v>2396.3591488846723</v>
          </cell>
        </row>
        <row r="282">
          <cell r="G282">
            <v>52514500</v>
          </cell>
          <cell r="I282" t="str">
            <v>Charitb Don-H/Ed/En</v>
          </cell>
          <cell r="K282" t="str">
            <v>675.8</v>
          </cell>
          <cell r="Q282">
            <v>61927.475309789203</v>
          </cell>
        </row>
        <row r="283">
          <cell r="G283">
            <v>52514600</v>
          </cell>
          <cell r="I283" t="str">
            <v>Charitb Don-Commnty</v>
          </cell>
          <cell r="K283" t="str">
            <v>675.8</v>
          </cell>
          <cell r="Q283">
            <v>36644.594451239805</v>
          </cell>
        </row>
        <row r="284">
          <cell r="G284">
            <v>52514700</v>
          </cell>
          <cell r="I284" t="str">
            <v>Community Partnrshps</v>
          </cell>
          <cell r="K284" t="str">
            <v>675.8</v>
          </cell>
          <cell r="Q284">
            <v>59799.172507747433</v>
          </cell>
        </row>
        <row r="285">
          <cell r="G285">
            <v>52514901</v>
          </cell>
          <cell r="I285" t="str">
            <v>Cust Edu Comm-Reg</v>
          </cell>
          <cell r="K285" t="str">
            <v>675.8</v>
          </cell>
          <cell r="Q285">
            <v>1671.3151745927466</v>
          </cell>
        </row>
        <row r="286">
          <cell r="G286">
            <v>52514903</v>
          </cell>
          <cell r="I286" t="str">
            <v>Cust Edu Comm-Issues</v>
          </cell>
          <cell r="K286" t="str">
            <v>675.8</v>
          </cell>
          <cell r="Q286">
            <v>20355.326988723544</v>
          </cell>
        </row>
        <row r="287">
          <cell r="G287">
            <v>52514904</v>
          </cell>
          <cell r="I287" t="str">
            <v>Cust Edu Comm-Consrv</v>
          </cell>
          <cell r="K287" t="str">
            <v>675.8</v>
          </cell>
          <cell r="Q287">
            <v>80464.540572337457</v>
          </cell>
        </row>
        <row r="288">
          <cell r="G288">
            <v>52514905</v>
          </cell>
          <cell r="I288" t="str">
            <v>Cust Edu Comm-Printd</v>
          </cell>
          <cell r="K288" t="str">
            <v>675.8</v>
          </cell>
          <cell r="Q288">
            <v>12999.92542324532</v>
          </cell>
        </row>
        <row r="289">
          <cell r="G289">
            <v>52514907</v>
          </cell>
          <cell r="I289" t="str">
            <v>Cust Edu-Press Rls</v>
          </cell>
          <cell r="K289" t="str">
            <v>675.8</v>
          </cell>
          <cell r="Q289">
            <v>827.58360094568377</v>
          </cell>
        </row>
        <row r="290">
          <cell r="G290">
            <v>52514909</v>
          </cell>
          <cell r="I290" t="str">
            <v>Cust Edu-Video&amp;Photo</v>
          </cell>
          <cell r="K290" t="str">
            <v>675.8</v>
          </cell>
          <cell r="Q290">
            <v>4564.2244840448293</v>
          </cell>
        </row>
        <row r="291">
          <cell r="G291">
            <v>52515000</v>
          </cell>
          <cell r="I291" t="str">
            <v>Commun Relations-E</v>
          </cell>
          <cell r="K291" t="str">
            <v>675.8</v>
          </cell>
          <cell r="Q291">
            <v>12214.326551323222</v>
          </cell>
        </row>
        <row r="292">
          <cell r="G292">
            <v>52515001</v>
          </cell>
          <cell r="I292" t="str">
            <v>Commun Relations-S</v>
          </cell>
          <cell r="K292" t="str">
            <v>675.8</v>
          </cell>
          <cell r="Q292">
            <v>9585.4365955386893</v>
          </cell>
        </row>
        <row r="293">
          <cell r="G293">
            <v>52522000</v>
          </cell>
          <cell r="I293" t="str">
            <v>Community Relations</v>
          </cell>
          <cell r="K293" t="str">
            <v>675.8</v>
          </cell>
          <cell r="Q293">
            <v>1744.7884503840219</v>
          </cell>
        </row>
        <row r="294">
          <cell r="G294">
            <v>52524000</v>
          </cell>
          <cell r="I294" t="str">
            <v>Co Dues/Mmbrshp Ded</v>
          </cell>
          <cell r="K294" t="str">
            <v>675.8</v>
          </cell>
          <cell r="Q294">
            <v>77070.236710507539</v>
          </cell>
        </row>
        <row r="295">
          <cell r="G295">
            <v>52527000</v>
          </cell>
          <cell r="I295" t="str">
            <v>Directors Fees</v>
          </cell>
          <cell r="K295" t="str">
            <v>675.8</v>
          </cell>
          <cell r="Q295">
            <v>31084.84745015495</v>
          </cell>
        </row>
        <row r="296">
          <cell r="G296">
            <v>52528000</v>
          </cell>
          <cell r="I296" t="str">
            <v>Dues/Membership Deductible</v>
          </cell>
          <cell r="K296" t="str">
            <v>675.8</v>
          </cell>
          <cell r="Q296">
            <v>649.95590123051261</v>
          </cell>
        </row>
        <row r="297">
          <cell r="G297">
            <v>52540000</v>
          </cell>
          <cell r="I297" t="str">
            <v>Amort Bus Svc ProjXp</v>
          </cell>
          <cell r="K297" t="str">
            <v>675.8</v>
          </cell>
          <cell r="Q297">
            <v>0</v>
          </cell>
        </row>
        <row r="298">
          <cell r="G298">
            <v>52548100</v>
          </cell>
          <cell r="I298" t="str">
            <v>Hiring Costs</v>
          </cell>
          <cell r="K298" t="str">
            <v>675.8</v>
          </cell>
          <cell r="Q298">
            <v>110.61361300444747</v>
          </cell>
        </row>
        <row r="299">
          <cell r="G299">
            <v>52549000</v>
          </cell>
          <cell r="I299" t="str">
            <v>Injuries and Damages</v>
          </cell>
          <cell r="K299" t="str">
            <v>675.8</v>
          </cell>
          <cell r="Q299">
            <v>188.9312806061366</v>
          </cell>
        </row>
        <row r="300">
          <cell r="G300">
            <v>52549500</v>
          </cell>
          <cell r="I300" t="str">
            <v>Inv Phys W/O Scrap</v>
          </cell>
          <cell r="K300" t="str">
            <v>675.8</v>
          </cell>
          <cell r="Q300">
            <v>22804.167048887695</v>
          </cell>
        </row>
        <row r="301">
          <cell r="G301">
            <v>52554500</v>
          </cell>
          <cell r="I301" t="str">
            <v>Lab Supplies</v>
          </cell>
          <cell r="K301" t="str">
            <v>675.3</v>
          </cell>
          <cell r="Q301">
            <v>84039.701728422806</v>
          </cell>
        </row>
        <row r="302">
          <cell r="G302">
            <v>52556500</v>
          </cell>
          <cell r="I302" t="str">
            <v>Low Income Pay Prog</v>
          </cell>
          <cell r="K302" t="str">
            <v>675.8</v>
          </cell>
          <cell r="Q302">
            <v>48443.918104137585</v>
          </cell>
        </row>
        <row r="303">
          <cell r="G303">
            <v>52564000</v>
          </cell>
          <cell r="I303" t="str">
            <v>Penalties Non-deduct</v>
          </cell>
          <cell r="K303" t="str">
            <v>675.8</v>
          </cell>
          <cell r="Q303">
            <v>249805.10069716081</v>
          </cell>
        </row>
        <row r="304">
          <cell r="G304">
            <v>52568000</v>
          </cell>
          <cell r="I304" t="str">
            <v>Research &amp; Develop</v>
          </cell>
          <cell r="K304" t="str">
            <v>675.8</v>
          </cell>
          <cell r="Q304">
            <v>18079.270236464145</v>
          </cell>
        </row>
        <row r="305">
          <cell r="G305">
            <v>52579000</v>
          </cell>
          <cell r="I305" t="str">
            <v>Trustee Fees</v>
          </cell>
          <cell r="K305" t="str">
            <v>675.8</v>
          </cell>
          <cell r="Q305">
            <v>16281.19347616557</v>
          </cell>
        </row>
        <row r="306">
          <cell r="G306">
            <v>52585000</v>
          </cell>
          <cell r="I306" t="str">
            <v>Discounts Available</v>
          </cell>
          <cell r="K306" t="str">
            <v>675.8</v>
          </cell>
          <cell r="Q306">
            <v>-28858.849413269825</v>
          </cell>
        </row>
        <row r="307">
          <cell r="E307">
            <v>0</v>
          </cell>
          <cell r="G307">
            <v>52586000</v>
          </cell>
          <cell r="I307" t="str">
            <v>PO Small Differences</v>
          </cell>
          <cell r="K307" t="str">
            <v>675.8</v>
          </cell>
          <cell r="Q307">
            <v>279.35992773386005</v>
          </cell>
        </row>
        <row r="308">
          <cell r="K308" t="str">
            <v>Total</v>
          </cell>
          <cell r="Q308">
            <v>934027</v>
          </cell>
        </row>
        <row r="309">
          <cell r="K309">
            <v>0</v>
          </cell>
          <cell r="Q309">
            <v>11664</v>
          </cell>
        </row>
        <row r="310">
          <cell r="E310" t="str">
            <v>Rents</v>
          </cell>
          <cell r="G310">
            <v>54110000</v>
          </cell>
          <cell r="I310" t="str">
            <v>Rents-Real Prop</v>
          </cell>
          <cell r="K310" t="str">
            <v>641.8</v>
          </cell>
          <cell r="Q310">
            <v>0</v>
          </cell>
        </row>
        <row r="311">
          <cell r="G311">
            <v>54110014</v>
          </cell>
          <cell r="I311" t="str">
            <v>Rents-Real Prop TD</v>
          </cell>
          <cell r="K311" t="str">
            <v>641.5</v>
          </cell>
          <cell r="Q311">
            <v>5154.4913637535446</v>
          </cell>
        </row>
        <row r="312">
          <cell r="G312">
            <v>54140000</v>
          </cell>
          <cell r="I312" t="str">
            <v>Rents-Equip</v>
          </cell>
          <cell r="K312" t="str">
            <v>642.8</v>
          </cell>
          <cell r="Q312">
            <v>0</v>
          </cell>
        </row>
        <row r="313">
          <cell r="G313">
            <v>54140014</v>
          </cell>
          <cell r="I313" t="str">
            <v>Rents-Equip TD</v>
          </cell>
          <cell r="K313" t="str">
            <v>642.5</v>
          </cell>
          <cell r="Q313">
            <v>166.70069605568446</v>
          </cell>
        </row>
        <row r="314">
          <cell r="E314">
            <v>0</v>
          </cell>
          <cell r="G314">
            <v>54140016</v>
          </cell>
          <cell r="I314" t="str">
            <v>Rents-Equip AG</v>
          </cell>
          <cell r="K314" t="str">
            <v>642.8</v>
          </cell>
          <cell r="Q314">
            <v>3543.0513018819283</v>
          </cell>
        </row>
        <row r="315">
          <cell r="K315" t="str">
            <v>Total</v>
          </cell>
          <cell r="Q315">
            <v>8864.2433616911585</v>
          </cell>
        </row>
        <row r="316">
          <cell r="K316">
            <v>0</v>
          </cell>
          <cell r="Q316">
            <v>0</v>
          </cell>
        </row>
        <row r="317">
          <cell r="E317" t="str">
            <v>Transportation</v>
          </cell>
          <cell r="G317">
            <v>55000000</v>
          </cell>
          <cell r="I317" t="str">
            <v>Transportation (O&amp;M)</v>
          </cell>
          <cell r="K317" t="str">
            <v>650.8</v>
          </cell>
          <cell r="Q317">
            <v>0</v>
          </cell>
        </row>
        <row r="318">
          <cell r="G318">
            <v>55000010</v>
          </cell>
          <cell r="I318" t="str">
            <v>Transportation</v>
          </cell>
          <cell r="K318" t="str">
            <v>650.8</v>
          </cell>
          <cell r="Q318">
            <v>0</v>
          </cell>
        </row>
        <row r="319">
          <cell r="G319">
            <v>55000012</v>
          </cell>
          <cell r="I319" t="str">
            <v>Trans Oper P</v>
          </cell>
          <cell r="K319" t="str">
            <v>650.1</v>
          </cell>
          <cell r="Q319">
            <v>0</v>
          </cell>
        </row>
        <row r="320">
          <cell r="G320">
            <v>55000013</v>
          </cell>
          <cell r="I320" t="str">
            <v>Trans Oper WT</v>
          </cell>
          <cell r="K320" t="str">
            <v>650.3</v>
          </cell>
          <cell r="Q320">
            <v>-173.45640471252699</v>
          </cell>
        </row>
        <row r="321">
          <cell r="G321">
            <v>55000014</v>
          </cell>
          <cell r="I321" t="str">
            <v>Trans Oper TD</v>
          </cell>
          <cell r="K321" t="str">
            <v>650.5</v>
          </cell>
          <cell r="Q321">
            <v>124.04761064289809</v>
          </cell>
        </row>
        <row r="322">
          <cell r="G322">
            <v>55000015</v>
          </cell>
          <cell r="I322" t="str">
            <v>Trans Oper CA</v>
          </cell>
          <cell r="K322" t="str">
            <v>650.7</v>
          </cell>
          <cell r="Q322">
            <v>0</v>
          </cell>
        </row>
        <row r="323">
          <cell r="G323">
            <v>55000016</v>
          </cell>
          <cell r="I323" t="str">
            <v>Trans Oper AG</v>
          </cell>
          <cell r="K323" t="str">
            <v>650.8</v>
          </cell>
          <cell r="Q323">
            <v>1058.6096942152406</v>
          </cell>
        </row>
        <row r="324">
          <cell r="G324">
            <v>55000023</v>
          </cell>
          <cell r="I324" t="str">
            <v>Trans Maint WT</v>
          </cell>
          <cell r="K324" t="str">
            <v>650.4</v>
          </cell>
          <cell r="Q324">
            <v>332.1952962979305</v>
          </cell>
        </row>
        <row r="325">
          <cell r="G325">
            <v>55000024</v>
          </cell>
          <cell r="I325" t="str">
            <v>Trans Maint TD</v>
          </cell>
          <cell r="K325" t="str">
            <v>650.6</v>
          </cell>
          <cell r="Q325">
            <v>0</v>
          </cell>
        </row>
        <row r="326">
          <cell r="G326">
            <v>55000100</v>
          </cell>
          <cell r="I326" t="str">
            <v>Trans Cap Credits</v>
          </cell>
          <cell r="K326" t="str">
            <v>650.8</v>
          </cell>
          <cell r="Q326">
            <v>-109433.12010766445</v>
          </cell>
        </row>
        <row r="327">
          <cell r="G327">
            <v>55010100</v>
          </cell>
          <cell r="I327" t="str">
            <v>Trans Lease Costs</v>
          </cell>
          <cell r="K327" t="str">
            <v>650.8</v>
          </cell>
          <cell r="Q327">
            <v>56106.313793407746</v>
          </cell>
        </row>
        <row r="328">
          <cell r="G328">
            <v>55010200</v>
          </cell>
          <cell r="I328" t="str">
            <v>Trans Lease Fuel</v>
          </cell>
          <cell r="K328" t="str">
            <v>650.8</v>
          </cell>
          <cell r="Q328">
            <v>271835.62121078407</v>
          </cell>
        </row>
        <row r="329">
          <cell r="G329">
            <v>55010300</v>
          </cell>
          <cell r="I329" t="str">
            <v>Trans Lease Maint</v>
          </cell>
          <cell r="K329" t="str">
            <v>650.8</v>
          </cell>
          <cell r="Q329">
            <v>204438.87234699729</v>
          </cell>
        </row>
        <row r="330">
          <cell r="G330">
            <v>55010400</v>
          </cell>
          <cell r="I330" t="str">
            <v>Trans Emp Reimb Co</v>
          </cell>
          <cell r="K330" t="str">
            <v>650.8</v>
          </cell>
          <cell r="Q330">
            <v>0</v>
          </cell>
        </row>
        <row r="331">
          <cell r="E331">
            <v>0</v>
          </cell>
          <cell r="G331">
            <v>55010500</v>
          </cell>
          <cell r="I331" t="str">
            <v>Trans Reimb EE Prsnl</v>
          </cell>
          <cell r="K331" t="str">
            <v>650.8</v>
          </cell>
          <cell r="Q331">
            <v>4551.9165600317692</v>
          </cell>
        </row>
        <row r="332">
          <cell r="K332" t="str">
            <v>Total</v>
          </cell>
          <cell r="Q332">
            <v>428840.99999999994</v>
          </cell>
        </row>
        <row r="333">
          <cell r="K333">
            <v>0</v>
          </cell>
          <cell r="Q333">
            <v>0</v>
          </cell>
        </row>
        <row r="334">
          <cell r="E334" t="str">
            <v>Uncollectible accounts expense</v>
          </cell>
          <cell r="G334">
            <v>57010000</v>
          </cell>
          <cell r="I334" t="str">
            <v>Uncoll Accts Exp</v>
          </cell>
          <cell r="K334" t="str">
            <v>670.7</v>
          </cell>
          <cell r="Q334">
            <v>164281.3476761253</v>
          </cell>
        </row>
        <row r="335">
          <cell r="E335">
            <v>0</v>
          </cell>
          <cell r="G335">
            <v>57010015</v>
          </cell>
          <cell r="I335" t="str">
            <v>Uncoll Accts Exp CA</v>
          </cell>
          <cell r="K335" t="str">
            <v>670.7</v>
          </cell>
          <cell r="Q335">
            <v>454980.93462285027</v>
          </cell>
        </row>
        <row r="336">
          <cell r="E336">
            <v>0</v>
          </cell>
          <cell r="G336">
            <v>57010016</v>
          </cell>
          <cell r="I336" t="str">
            <v>Uncoll Accts Exp AG</v>
          </cell>
          <cell r="K336" t="str">
            <v>670.7</v>
          </cell>
          <cell r="Q336">
            <v>65963.717701024405</v>
          </cell>
        </row>
        <row r="337">
          <cell r="K337" t="str">
            <v>Total</v>
          </cell>
          <cell r="Q337">
            <v>685226</v>
          </cell>
        </row>
        <row r="338">
          <cell r="K338">
            <v>0</v>
          </cell>
          <cell r="Q338">
            <v>0</v>
          </cell>
        </row>
        <row r="339">
          <cell r="E339" t="str">
            <v>Customer accounting, other</v>
          </cell>
          <cell r="G339">
            <v>52501500</v>
          </cell>
          <cell r="I339" t="str">
            <v>Misc Oper CA</v>
          </cell>
          <cell r="K339" t="str">
            <v>675.7</v>
          </cell>
          <cell r="Q339">
            <v>916.68855496700553</v>
          </cell>
        </row>
        <row r="340">
          <cell r="G340">
            <v>52510015</v>
          </cell>
          <cell r="I340" t="str">
            <v>Bank Svc Charges-CA</v>
          </cell>
          <cell r="K340" t="str">
            <v>675.7</v>
          </cell>
          <cell r="Q340">
            <v>154676.53280678962</v>
          </cell>
        </row>
        <row r="341">
          <cell r="G341">
            <v>52514906</v>
          </cell>
          <cell r="I341" t="str">
            <v>Cust Edu-Bill Insert</v>
          </cell>
          <cell r="K341" t="str">
            <v>675.8</v>
          </cell>
          <cell r="Q341">
            <v>33931.880169884185</v>
          </cell>
        </row>
        <row r="342">
          <cell r="G342">
            <v>52520000</v>
          </cell>
          <cell r="I342" t="str">
            <v>Collection Agencies</v>
          </cell>
          <cell r="K342" t="str">
            <v>675.7</v>
          </cell>
          <cell r="Q342">
            <v>475212.3743358553</v>
          </cell>
        </row>
        <row r="343">
          <cell r="G343">
            <v>52542015</v>
          </cell>
          <cell r="I343" t="str">
            <v>Forms CA</v>
          </cell>
          <cell r="K343" t="str">
            <v>675.7</v>
          </cell>
          <cell r="Q343">
            <v>146621.81373065416</v>
          </cell>
        </row>
        <row r="344">
          <cell r="E344">
            <v>0</v>
          </cell>
          <cell r="G344">
            <v>52566015</v>
          </cell>
          <cell r="I344" t="str">
            <v>Postage CA</v>
          </cell>
          <cell r="K344" t="str">
            <v>675.7</v>
          </cell>
          <cell r="Q344">
            <v>650200.7104018497</v>
          </cell>
        </row>
        <row r="345">
          <cell r="K345" t="str">
            <v>Total</v>
          </cell>
          <cell r="Q345">
            <v>1461560</v>
          </cell>
        </row>
        <row r="346">
          <cell r="K346">
            <v>0</v>
          </cell>
          <cell r="Q346">
            <v>0</v>
          </cell>
        </row>
        <row r="347">
          <cell r="E347" t="str">
            <v>Regulatory expense</v>
          </cell>
          <cell r="G347">
            <v>56610000</v>
          </cell>
          <cell r="I347" t="str">
            <v>Reg Exp-Amort</v>
          </cell>
          <cell r="K347" t="str">
            <v>666.8</v>
          </cell>
          <cell r="Q347">
            <v>286731.82476741704</v>
          </cell>
        </row>
        <row r="348">
          <cell r="E348">
            <v>0</v>
          </cell>
          <cell r="G348">
            <v>56620000</v>
          </cell>
          <cell r="I348" t="str">
            <v>Reg Exp-Depr Stdy</v>
          </cell>
          <cell r="K348" t="str">
            <v>667.8</v>
          </cell>
          <cell r="Q348">
            <v>3791.5085659162792</v>
          </cell>
        </row>
        <row r="349">
          <cell r="K349" t="str">
            <v>Total</v>
          </cell>
          <cell r="Q349">
            <v>290523.33333333331</v>
          </cell>
        </row>
        <row r="350">
          <cell r="Q350">
            <v>0</v>
          </cell>
        </row>
        <row r="351">
          <cell r="E351" t="str">
            <v>Insurance other than group</v>
          </cell>
          <cell r="G351">
            <v>55110000</v>
          </cell>
          <cell r="I351" t="str">
            <v>Ins Vehicle</v>
          </cell>
          <cell r="K351" t="str">
            <v>656.8</v>
          </cell>
          <cell r="Q351">
            <v>33899.76727298223</v>
          </cell>
        </row>
        <row r="352">
          <cell r="G352">
            <v>55115000</v>
          </cell>
          <cell r="I352" t="str">
            <v>Ins Vehicle - I/C</v>
          </cell>
          <cell r="K352" t="str">
            <v>656.8</v>
          </cell>
          <cell r="Q352">
            <v>0</v>
          </cell>
        </row>
        <row r="353">
          <cell r="G353">
            <v>55710000</v>
          </cell>
          <cell r="I353" t="str">
            <v>Ins General Liabilty</v>
          </cell>
          <cell r="K353" t="str">
            <v>657.8</v>
          </cell>
          <cell r="Q353">
            <v>464459.576929626</v>
          </cell>
        </row>
        <row r="354">
          <cell r="G354">
            <v>55715000</v>
          </cell>
          <cell r="I354" t="str">
            <v>Ins General Liab-I/C</v>
          </cell>
          <cell r="K354" t="str">
            <v>657.8</v>
          </cell>
          <cell r="Q354">
            <v>0</v>
          </cell>
        </row>
        <row r="355">
          <cell r="G355">
            <v>55720000</v>
          </cell>
          <cell r="I355" t="str">
            <v>Ins Work Comp</v>
          </cell>
          <cell r="K355" t="str">
            <v>658.8</v>
          </cell>
          <cell r="Q355">
            <v>147981.63750776259</v>
          </cell>
        </row>
        <row r="356">
          <cell r="G356">
            <v>55720100</v>
          </cell>
          <cell r="I356" t="str">
            <v>Ins W/C Cap Credits</v>
          </cell>
          <cell r="K356" t="str">
            <v>658.8</v>
          </cell>
          <cell r="Q356">
            <v>-35398.709033634492</v>
          </cell>
        </row>
        <row r="357">
          <cell r="G357">
            <v>55725000</v>
          </cell>
          <cell r="I357" t="str">
            <v>Ins Work Comp-I/C</v>
          </cell>
          <cell r="K357" t="str">
            <v>658.8</v>
          </cell>
          <cell r="Q357">
            <v>0</v>
          </cell>
        </row>
        <row r="358">
          <cell r="G358">
            <v>55730000</v>
          </cell>
          <cell r="I358" t="str">
            <v>Ins Other</v>
          </cell>
          <cell r="K358" t="str">
            <v>659.8</v>
          </cell>
          <cell r="Q358">
            <v>194636.72732326368</v>
          </cell>
        </row>
        <row r="359">
          <cell r="E359">
            <v>0</v>
          </cell>
          <cell r="G359">
            <v>55735000</v>
          </cell>
          <cell r="I359" t="str">
            <v>Ins Other - I/C</v>
          </cell>
          <cell r="K359" t="str">
            <v>659.8</v>
          </cell>
          <cell r="Q359">
            <v>0</v>
          </cell>
        </row>
        <row r="360">
          <cell r="K360" t="str">
            <v>Total</v>
          </cell>
          <cell r="Q360">
            <v>805579</v>
          </cell>
        </row>
        <row r="361">
          <cell r="K361">
            <v>0</v>
          </cell>
          <cell r="Q361">
            <v>0</v>
          </cell>
        </row>
        <row r="362">
          <cell r="E362" t="str">
            <v>Maintenance supplies and services</v>
          </cell>
          <cell r="G362">
            <v>62002100</v>
          </cell>
          <cell r="I362" t="str">
            <v>M&amp;S Maint SS</v>
          </cell>
          <cell r="K362" t="str">
            <v>620.2</v>
          </cell>
          <cell r="Q362">
            <v>34747.605392436883</v>
          </cell>
        </row>
        <row r="363">
          <cell r="G363">
            <v>62002300</v>
          </cell>
          <cell r="I363" t="str">
            <v>M&amp;S Maint WT</v>
          </cell>
          <cell r="K363" t="str">
            <v>620.4</v>
          </cell>
          <cell r="Q363">
            <v>253863.39997715069</v>
          </cell>
        </row>
        <row r="364">
          <cell r="G364">
            <v>62002400</v>
          </cell>
          <cell r="I364" t="str">
            <v>M&amp;S Maint TD</v>
          </cell>
          <cell r="K364" t="str">
            <v>620.6</v>
          </cell>
          <cell r="Q364">
            <v>231229.85490688906</v>
          </cell>
        </row>
        <row r="365">
          <cell r="G365">
            <v>62002600</v>
          </cell>
          <cell r="I365" t="str">
            <v>M&amp;S Maint AG</v>
          </cell>
          <cell r="K365" t="str">
            <v>620.8</v>
          </cell>
          <cell r="Q365">
            <v>18036.330401005369</v>
          </cell>
        </row>
        <row r="366">
          <cell r="G366">
            <v>62502100</v>
          </cell>
          <cell r="I366" t="str">
            <v>Misc Maint SS</v>
          </cell>
          <cell r="K366" t="str">
            <v>675.2</v>
          </cell>
          <cell r="Q366">
            <v>18.446247001028219</v>
          </cell>
        </row>
        <row r="367">
          <cell r="G367">
            <v>62502300</v>
          </cell>
          <cell r="I367" t="str">
            <v>Misc Maint WT</v>
          </cell>
          <cell r="K367" t="str">
            <v>675.4</v>
          </cell>
          <cell r="Q367">
            <v>26998.132069004914</v>
          </cell>
        </row>
        <row r="368">
          <cell r="G368">
            <v>62502400</v>
          </cell>
          <cell r="I368" t="str">
            <v>Misc Maint TD</v>
          </cell>
          <cell r="K368" t="str">
            <v>675.6</v>
          </cell>
          <cell r="Q368">
            <v>162393.58505655202</v>
          </cell>
        </row>
        <row r="369">
          <cell r="G369">
            <v>62502420</v>
          </cell>
          <cell r="I369" t="str">
            <v>Misc Maint TD Mains</v>
          </cell>
          <cell r="K369" t="str">
            <v>675.6</v>
          </cell>
          <cell r="Q369">
            <v>0</v>
          </cell>
        </row>
        <row r="370">
          <cell r="G370">
            <v>62502435</v>
          </cell>
          <cell r="I370" t="str">
            <v>Misc Maint TD Meters</v>
          </cell>
          <cell r="K370" t="str">
            <v>675.6</v>
          </cell>
          <cell r="Q370">
            <v>205.98309151148177</v>
          </cell>
        </row>
        <row r="371">
          <cell r="G371">
            <v>62502600</v>
          </cell>
          <cell r="I371" t="str">
            <v>Misc Maint AG</v>
          </cell>
          <cell r="K371" t="str">
            <v>675.8</v>
          </cell>
          <cell r="Q371">
            <v>492751.52176396665</v>
          </cell>
        </row>
        <row r="372">
          <cell r="G372">
            <v>62510000</v>
          </cell>
          <cell r="I372" t="str">
            <v>Amort Def Maint</v>
          </cell>
          <cell r="K372" t="str">
            <v>675.6</v>
          </cell>
          <cell r="Q372">
            <v>145968.22689363646</v>
          </cell>
        </row>
        <row r="373">
          <cell r="G373">
            <v>62512000</v>
          </cell>
          <cell r="I373" t="str">
            <v>Amort Def Maint</v>
          </cell>
          <cell r="K373" t="str">
            <v>675.6</v>
          </cell>
          <cell r="Q373">
            <v>81174.759511024793</v>
          </cell>
        </row>
        <row r="374">
          <cell r="G374">
            <v>62512300</v>
          </cell>
          <cell r="I374" t="str">
            <v>Amort Def Maint WT</v>
          </cell>
          <cell r="K374" t="str">
            <v>675.4</v>
          </cell>
          <cell r="Q374">
            <v>59513.741574317377</v>
          </cell>
        </row>
        <row r="375">
          <cell r="G375">
            <v>62512400</v>
          </cell>
          <cell r="I375" t="str">
            <v>Amort Def Maint TD</v>
          </cell>
          <cell r="K375" t="str">
            <v>675.6</v>
          </cell>
          <cell r="Q375">
            <v>163965.61521763966</v>
          </cell>
        </row>
        <row r="376">
          <cell r="G376">
            <v>62520700</v>
          </cell>
          <cell r="I376" t="str">
            <v>Misc Main Pvg/Bckfll</v>
          </cell>
          <cell r="K376" t="str">
            <v>675.6</v>
          </cell>
          <cell r="Q376">
            <v>147412.15811721695</v>
          </cell>
        </row>
        <row r="377">
          <cell r="G377">
            <v>62520800</v>
          </cell>
          <cell r="I377" t="str">
            <v>Misc Maint Permits</v>
          </cell>
          <cell r="K377" t="str">
            <v>675.6</v>
          </cell>
          <cell r="Q377">
            <v>0</v>
          </cell>
        </row>
        <row r="378">
          <cell r="G378">
            <v>63110000</v>
          </cell>
          <cell r="I378" t="str">
            <v>Contract Svc - Other Maint</v>
          </cell>
          <cell r="K378" t="str">
            <v>631.6</v>
          </cell>
          <cell r="Q378">
            <v>150962.03587341483</v>
          </cell>
        </row>
        <row r="379">
          <cell r="G379">
            <v>63110024</v>
          </cell>
          <cell r="I379" t="str">
            <v>Contr Svc-Maint TD</v>
          </cell>
          <cell r="K379" t="str">
            <v>631.6</v>
          </cell>
          <cell r="Q379">
            <v>0</v>
          </cell>
        </row>
        <row r="380">
          <cell r="G380">
            <v>63150021</v>
          </cell>
          <cell r="I380" t="str">
            <v>Contr Svc-Maint SS</v>
          </cell>
          <cell r="K380" t="str">
            <v>636.2</v>
          </cell>
          <cell r="Q380">
            <v>9531.5857420313041</v>
          </cell>
        </row>
        <row r="381">
          <cell r="G381">
            <v>63150022</v>
          </cell>
          <cell r="I381" t="str">
            <v>Contr Svc-Maint P</v>
          </cell>
          <cell r="K381" t="str">
            <v>636.3</v>
          </cell>
          <cell r="Q381">
            <v>0</v>
          </cell>
        </row>
        <row r="382">
          <cell r="G382">
            <v>63150023</v>
          </cell>
          <cell r="I382" t="str">
            <v>Contr Svc-Maint WT</v>
          </cell>
          <cell r="K382" t="str">
            <v>636.4</v>
          </cell>
          <cell r="Q382">
            <v>127310.87284359649</v>
          </cell>
        </row>
        <row r="383">
          <cell r="G383">
            <v>63150024</v>
          </cell>
          <cell r="I383" t="str">
            <v>Contr Svc-Maint TD</v>
          </cell>
          <cell r="K383" t="str">
            <v>636.6</v>
          </cell>
          <cell r="Q383">
            <v>108948.65874557295</v>
          </cell>
        </row>
        <row r="384">
          <cell r="G384">
            <v>63150026</v>
          </cell>
          <cell r="I384" t="str">
            <v>Contr Svc-Maint AG</v>
          </cell>
          <cell r="K384" t="str">
            <v>636.8</v>
          </cell>
          <cell r="Q384">
            <v>557.48657603107506</v>
          </cell>
        </row>
        <row r="385">
          <cell r="K385" t="str">
            <v>Total</v>
          </cell>
          <cell r="Q385">
            <v>2215590</v>
          </cell>
        </row>
        <row r="386">
          <cell r="K386">
            <v>0</v>
          </cell>
          <cell r="Q386">
            <v>0</v>
          </cell>
        </row>
        <row r="387">
          <cell r="E387" t="str">
            <v>Depreciation</v>
          </cell>
          <cell r="G387">
            <v>68011000</v>
          </cell>
          <cell r="I387" t="str">
            <v>Depr -UPIS General</v>
          </cell>
          <cell r="K387" t="str">
            <v>403.</v>
          </cell>
          <cell r="Q387">
            <v>13912201</v>
          </cell>
        </row>
        <row r="388">
          <cell r="G388">
            <v>68011500</v>
          </cell>
          <cell r="I388" t="str">
            <v>Depr -Amort Def Depreciation</v>
          </cell>
          <cell r="K388" t="str">
            <v>403.</v>
          </cell>
          <cell r="Q388">
            <v>0</v>
          </cell>
        </row>
        <row r="389">
          <cell r="G389">
            <v>68012000</v>
          </cell>
          <cell r="I389" t="str">
            <v>Depr -Amort CIAC Tx</v>
          </cell>
          <cell r="K389" t="str">
            <v>403.</v>
          </cell>
          <cell r="Q389">
            <v>-171241</v>
          </cell>
        </row>
        <row r="390">
          <cell r="G390">
            <v>68012500</v>
          </cell>
          <cell r="I390" t="str">
            <v>Depr-Amort CIAC Nntx</v>
          </cell>
          <cell r="K390" t="str">
            <v>403.</v>
          </cell>
          <cell r="Q390">
            <v>-1209078</v>
          </cell>
        </row>
        <row r="391">
          <cell r="G391">
            <v>68311000</v>
          </cell>
          <cell r="I391" t="str">
            <v>Rem Costs-ARO/NNS</v>
          </cell>
          <cell r="K391" t="str">
            <v>403.</v>
          </cell>
          <cell r="Q391">
            <v>2835987.9641897418</v>
          </cell>
        </row>
        <row r="392">
          <cell r="G392">
            <v>68312000</v>
          </cell>
          <cell r="I392" t="str">
            <v>Rmv Csts-NNS CIAC Tx</v>
          </cell>
          <cell r="K392" t="str">
            <v>403.</v>
          </cell>
          <cell r="Q392">
            <v>-293146.12640866195</v>
          </cell>
        </row>
        <row r="393">
          <cell r="E393">
            <v>0</v>
          </cell>
          <cell r="G393">
            <v>68312500</v>
          </cell>
          <cell r="I393" t="str">
            <v>Rmv Csts-NNS CIAC NT</v>
          </cell>
          <cell r="K393" t="str">
            <v>403.</v>
          </cell>
          <cell r="Q393">
            <v>-126629.23564919998</v>
          </cell>
        </row>
        <row r="394">
          <cell r="K394" t="str">
            <v>Total</v>
          </cell>
          <cell r="Q394">
            <v>14948094.602131879</v>
          </cell>
        </row>
        <row r="395">
          <cell r="K395">
            <v>0</v>
          </cell>
          <cell r="Q395">
            <v>0</v>
          </cell>
        </row>
        <row r="396">
          <cell r="E396" t="str">
            <v>Amortization</v>
          </cell>
          <cell r="G396">
            <v>68254000</v>
          </cell>
          <cell r="I396" t="str">
            <v>Amort-RegAsset AFUDC</v>
          </cell>
          <cell r="K396" t="str">
            <v>407.1</v>
          </cell>
          <cell r="Q396">
            <v>170039</v>
          </cell>
        </row>
        <row r="397">
          <cell r="G397">
            <v>68255000</v>
          </cell>
          <cell r="I397" t="str">
            <v>Amort-UPAA</v>
          </cell>
          <cell r="K397" t="str">
            <v>406.</v>
          </cell>
          <cell r="Q397">
            <v>0</v>
          </cell>
        </row>
        <row r="398">
          <cell r="G398">
            <v>68257000</v>
          </cell>
          <cell r="I398" t="str">
            <v>Amort-Prop Losses</v>
          </cell>
          <cell r="K398" t="str">
            <v>407.2</v>
          </cell>
          <cell r="Q398">
            <v>57088</v>
          </cell>
        </row>
        <row r="399">
          <cell r="E399">
            <v>0</v>
          </cell>
          <cell r="G399">
            <v>68258000</v>
          </cell>
          <cell r="I399" t="str">
            <v>Amort-Reg Asset</v>
          </cell>
          <cell r="K399" t="str">
            <v>407.4</v>
          </cell>
          <cell r="Q399">
            <v>0</v>
          </cell>
        </row>
        <row r="400">
          <cell r="K400">
            <v>0</v>
          </cell>
          <cell r="Q400">
            <v>227127</v>
          </cell>
        </row>
        <row r="401">
          <cell r="K401">
            <v>0</v>
          </cell>
          <cell r="Q401">
            <v>0</v>
          </cell>
        </row>
        <row r="402">
          <cell r="E402" t="str">
            <v>Current federal income taxes - operating</v>
          </cell>
          <cell r="G402">
            <v>69011000</v>
          </cell>
          <cell r="I402" t="str">
            <v>FIT-Current</v>
          </cell>
          <cell r="K402" t="str">
            <v>409.10</v>
          </cell>
          <cell r="Q402">
            <v>5055681.1258296194</v>
          </cell>
        </row>
        <row r="403">
          <cell r="G403">
            <v>69012000</v>
          </cell>
          <cell r="I403" t="str">
            <v>FIT-Prior Year Adj</v>
          </cell>
          <cell r="K403" t="str">
            <v>409.10</v>
          </cell>
          <cell r="Q403">
            <v>0</v>
          </cell>
        </row>
        <row r="404">
          <cell r="G404">
            <v>69021000</v>
          </cell>
          <cell r="I404" t="str">
            <v>SIT-Current</v>
          </cell>
          <cell r="K404" t="str">
            <v>409.11</v>
          </cell>
          <cell r="Q404">
            <v>1140794.7924041064</v>
          </cell>
        </row>
        <row r="405">
          <cell r="E405">
            <v>0</v>
          </cell>
          <cell r="G405">
            <v>69022000</v>
          </cell>
          <cell r="I405" t="str">
            <v>SIT-Prior Year Adj</v>
          </cell>
          <cell r="K405" t="str">
            <v>409.11</v>
          </cell>
          <cell r="Q405">
            <v>0</v>
          </cell>
        </row>
        <row r="406">
          <cell r="K406">
            <v>0</v>
          </cell>
          <cell r="Q406">
            <v>6196475.9182337262</v>
          </cell>
        </row>
        <row r="407">
          <cell r="K407">
            <v>0</v>
          </cell>
          <cell r="Q407">
            <v>0</v>
          </cell>
        </row>
        <row r="408">
          <cell r="E408" t="str">
            <v>Deferred federal income tax expense</v>
          </cell>
          <cell r="G408">
            <v>69061000</v>
          </cell>
          <cell r="I408" t="str">
            <v>Def FIT-Current Year</v>
          </cell>
          <cell r="K408" t="str">
            <v>410.10</v>
          </cell>
          <cell r="Q408">
            <v>0</v>
          </cell>
        </row>
        <row r="409">
          <cell r="G409">
            <v>69062000</v>
          </cell>
          <cell r="I409" t="str">
            <v>Def FIT-Pr Yr Adj</v>
          </cell>
          <cell r="K409" t="str">
            <v>410.10</v>
          </cell>
          <cell r="Q409">
            <v>0</v>
          </cell>
        </row>
        <row r="410">
          <cell r="G410">
            <v>69063000</v>
          </cell>
          <cell r="I410" t="str">
            <v>Def FIT-RegAsst/Liab</v>
          </cell>
          <cell r="K410" t="str">
            <v>410.10</v>
          </cell>
          <cell r="Q410">
            <v>-167105.66502688162</v>
          </cell>
        </row>
        <row r="411">
          <cell r="G411">
            <v>69063200</v>
          </cell>
          <cell r="I411" t="str">
            <v>Def FIT-Reg Liability</v>
          </cell>
          <cell r="K411" t="str">
            <v>410.10</v>
          </cell>
          <cell r="Q411">
            <v>0</v>
          </cell>
        </row>
        <row r="412">
          <cell r="G412">
            <v>69065000</v>
          </cell>
          <cell r="I412" t="str">
            <v>Def FIT-Other</v>
          </cell>
          <cell r="K412" t="str">
            <v>410.10</v>
          </cell>
          <cell r="Q412">
            <v>1671351.6525110779</v>
          </cell>
        </row>
        <row r="413">
          <cell r="G413">
            <v>69071000</v>
          </cell>
          <cell r="I413" t="str">
            <v>Def SIT-Current Year</v>
          </cell>
          <cell r="K413" t="str">
            <v>410.11</v>
          </cell>
          <cell r="Q413">
            <v>0</v>
          </cell>
        </row>
        <row r="414">
          <cell r="G414">
            <v>69072000</v>
          </cell>
          <cell r="I414" t="str">
            <v>Def SIT-Pr Yr Adj</v>
          </cell>
          <cell r="K414" t="str">
            <v>410.11</v>
          </cell>
          <cell r="Q414">
            <v>0</v>
          </cell>
        </row>
        <row r="415">
          <cell r="G415">
            <v>69073000</v>
          </cell>
          <cell r="I415" t="str">
            <v>Def SIT-RegAsst/Liab</v>
          </cell>
          <cell r="K415" t="str">
            <v>410.11</v>
          </cell>
          <cell r="Q415">
            <v>-66551</v>
          </cell>
        </row>
        <row r="416">
          <cell r="G416">
            <v>69073200</v>
          </cell>
          <cell r="I416" t="str">
            <v>Def SIT-Reg Liability</v>
          </cell>
          <cell r="K416" t="str">
            <v>410.11</v>
          </cell>
          <cell r="Q416">
            <v>0</v>
          </cell>
        </row>
        <row r="417">
          <cell r="E417">
            <v>0</v>
          </cell>
          <cell r="G417">
            <v>69073500</v>
          </cell>
          <cell r="I417" t="str">
            <v>Def SIT-Other</v>
          </cell>
          <cell r="K417" t="str">
            <v>410.11</v>
          </cell>
          <cell r="Q417">
            <v>90267.632217297913</v>
          </cell>
        </row>
        <row r="418">
          <cell r="K418">
            <v>0</v>
          </cell>
          <cell r="Q418">
            <v>1527962.619701494</v>
          </cell>
        </row>
        <row r="419">
          <cell r="K419">
            <v>0</v>
          </cell>
          <cell r="Q419">
            <v>0</v>
          </cell>
        </row>
        <row r="420">
          <cell r="E420" t="str">
            <v>Amortization of investment tax credits</v>
          </cell>
          <cell r="G420">
            <v>69520000</v>
          </cell>
          <cell r="I420" t="str">
            <v>ITC Restored FIT</v>
          </cell>
          <cell r="K420" t="str">
            <v>412.11</v>
          </cell>
          <cell r="Q420">
            <v>0</v>
          </cell>
        </row>
        <row r="421">
          <cell r="G421">
            <v>69522000</v>
          </cell>
          <cell r="I421" t="str">
            <v>ITC Restored-3%</v>
          </cell>
          <cell r="K421" t="str">
            <v>412.11</v>
          </cell>
          <cell r="Q421">
            <v>-6904.413246532692</v>
          </cell>
        </row>
        <row r="422">
          <cell r="G422">
            <v>69523000</v>
          </cell>
          <cell r="I422" t="str">
            <v>ITC Restored-4%</v>
          </cell>
          <cell r="K422" t="str">
            <v>412.11</v>
          </cell>
          <cell r="Q422">
            <v>-5681.5312765355229</v>
          </cell>
        </row>
        <row r="423">
          <cell r="E423">
            <v>0</v>
          </cell>
          <cell r="G423">
            <v>69524000</v>
          </cell>
          <cell r="I423" t="str">
            <v>ITC Restored-10%</v>
          </cell>
          <cell r="K423" t="str">
            <v>412.11</v>
          </cell>
          <cell r="Q423">
            <v>-63882.05547693179</v>
          </cell>
        </row>
        <row r="424">
          <cell r="K424">
            <v>0</v>
          </cell>
          <cell r="Q424">
            <v>-76468</v>
          </cell>
        </row>
        <row r="425">
          <cell r="Q425">
            <v>0</v>
          </cell>
        </row>
        <row r="426">
          <cell r="E426" t="str">
            <v>General taxes</v>
          </cell>
          <cell r="G426">
            <v>68520000</v>
          </cell>
          <cell r="I426" t="str">
            <v>Property Taxes</v>
          </cell>
          <cell r="K426" t="str">
            <v>408.11</v>
          </cell>
          <cell r="Q426">
            <v>5440026.5431322297</v>
          </cell>
        </row>
        <row r="427">
          <cell r="G427">
            <v>68520100</v>
          </cell>
          <cell r="I427" t="str">
            <v>Tax Discounts</v>
          </cell>
          <cell r="K427" t="str">
            <v>408.11</v>
          </cell>
          <cell r="Q427">
            <v>0</v>
          </cell>
        </row>
        <row r="428">
          <cell r="G428">
            <v>68532000</v>
          </cell>
          <cell r="I428" t="str">
            <v>FUTA</v>
          </cell>
          <cell r="K428" t="str">
            <v>408.12</v>
          </cell>
          <cell r="Q428">
            <v>5723.7563538723552</v>
          </cell>
        </row>
        <row r="429">
          <cell r="G429">
            <v>68532100</v>
          </cell>
          <cell r="I429" t="str">
            <v>FUTA Cap Credits</v>
          </cell>
          <cell r="K429" t="str">
            <v>408.12</v>
          </cell>
          <cell r="Q429">
            <v>-1087.1243142811381</v>
          </cell>
        </row>
        <row r="430">
          <cell r="G430">
            <v>68533000</v>
          </cell>
          <cell r="I430" t="str">
            <v>FICA</v>
          </cell>
          <cell r="K430" t="str">
            <v>408.12</v>
          </cell>
          <cell r="Q430">
            <v>686417.38727299101</v>
          </cell>
        </row>
        <row r="431">
          <cell r="G431">
            <v>68533100</v>
          </cell>
          <cell r="I431" t="str">
            <v>FICA Cap Credits</v>
          </cell>
          <cell r="K431" t="str">
            <v>408.12</v>
          </cell>
          <cell r="Q431">
            <v>-132425.39176737273</v>
          </cell>
        </row>
        <row r="432">
          <cell r="G432">
            <v>68535000</v>
          </cell>
          <cell r="I432" t="str">
            <v>SUTA</v>
          </cell>
          <cell r="K432" t="str">
            <v>408.12</v>
          </cell>
          <cell r="Q432">
            <v>21721.655362945588</v>
          </cell>
        </row>
        <row r="433">
          <cell r="G433">
            <v>68535100</v>
          </cell>
          <cell r="I433" t="str">
            <v>SUTA Cap Credits</v>
          </cell>
          <cell r="K433" t="str">
            <v>408.12</v>
          </cell>
          <cell r="Q433">
            <v>-4125.6367726969256</v>
          </cell>
        </row>
        <row r="434">
          <cell r="G434">
            <v>68543000</v>
          </cell>
          <cell r="I434" t="str">
            <v>Othr Taxes &amp;Licenses</v>
          </cell>
          <cell r="K434" t="str">
            <v>408.13</v>
          </cell>
          <cell r="Q434">
            <v>9690.84</v>
          </cell>
        </row>
        <row r="435">
          <cell r="G435">
            <v>68544000</v>
          </cell>
          <cell r="I435" t="str">
            <v>Gross Receipts Tax</v>
          </cell>
          <cell r="K435" t="str">
            <v>408.13</v>
          </cell>
          <cell r="Q435">
            <v>0</v>
          </cell>
        </row>
        <row r="436">
          <cell r="E436">
            <v>0</v>
          </cell>
          <cell r="G436">
            <v>68545000</v>
          </cell>
          <cell r="I436" t="str">
            <v>Utility Reg Assessme</v>
          </cell>
          <cell r="K436" t="str">
            <v>408.10</v>
          </cell>
          <cell r="Q436">
            <v>167669.01510866775</v>
          </cell>
        </row>
        <row r="437">
          <cell r="K437">
            <v>0</v>
          </cell>
          <cell r="Q437">
            <v>6193611.0443763556</v>
          </cell>
        </row>
        <row r="438">
          <cell r="E438" t="str">
            <v>Operating Income</v>
          </cell>
          <cell r="G438" t="str">
            <v>Operating Income = Account Groups 400+420-401-403-406-407-408-409-410-412</v>
          </cell>
          <cell r="I438">
            <v>0</v>
          </cell>
          <cell r="K438">
            <v>0</v>
          </cell>
          <cell r="Q438">
            <v>25069685.477125071</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AP Acct"/>
      <sheetName val="1 JDE to SAP"/>
      <sheetName val="Exh UPIS"/>
      <sheetName val="Exh Accum Dep COR"/>
      <sheetName val="Exh CWIP"/>
      <sheetName val="Exh DevAdv"/>
      <sheetName val="Exh CIAC"/>
      <sheetName val="Exh Depr Exp"/>
      <sheetName val="Exh COR Exp"/>
      <sheetName val="Exh 13 SCEP"/>
      <sheetName val="Bal UPIS"/>
      <sheetName val="Bal Accum Dep&amp;COR"/>
      <sheetName val="Bal CWIP"/>
      <sheetName val="Bal AFUDC"/>
      <sheetName val="Bal and Actv DevAdv"/>
      <sheetName val="Bal CIAC"/>
      <sheetName val="AFUDC Activity"/>
      <sheetName val="AFUDC In-Service"/>
      <sheetName val="Actv CapAddtn"/>
      <sheetName val="Actv PlacedInServc"/>
      <sheetName val="Actv Retire"/>
      <sheetName val="Actv Depr Exp"/>
      <sheetName val="Actv COR"/>
      <sheetName val="Actv CIAC"/>
      <sheetName val="Data Ret Salv COR"/>
      <sheetName val="Data-Depr Rates"/>
      <sheetName val="Data-Water SCEP by Acct"/>
      <sheetName val="Data-DevAdv"/>
      <sheetName val="Data CIAC 10_2015"/>
      <sheetName val="Data KY BS 10_2015"/>
      <sheetName val="Data AFUDC Rate"/>
      <sheetName val="EXP 16 Depreciation and COR"/>
      <sheetName val="DataDeprAdj_15_Study"/>
      <sheetName val="Depr Adjust 09.2015"/>
      <sheetName val="Data Retiremnt Adj"/>
      <sheetName val="DataDeprecAdjust"/>
      <sheetName val="SCEP 8.26.2015"/>
      <sheetName val="EXP 17 Amortiz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
          <cell r="AY11">
            <v>0</v>
          </cell>
        </row>
        <row r="12">
          <cell r="AY12">
            <v>0</v>
          </cell>
        </row>
        <row r="13">
          <cell r="AY13">
            <v>0</v>
          </cell>
        </row>
        <row r="14">
          <cell r="AY14">
            <v>0</v>
          </cell>
        </row>
        <row r="15">
          <cell r="AY15">
            <v>0</v>
          </cell>
        </row>
        <row r="16">
          <cell r="AY16">
            <v>0</v>
          </cell>
        </row>
        <row r="17">
          <cell r="AY17">
            <v>431966.02261200052</v>
          </cell>
        </row>
        <row r="18">
          <cell r="AY18">
            <v>217799.34854400027</v>
          </cell>
        </row>
        <row r="19">
          <cell r="AY19">
            <v>1007770.0257027321</v>
          </cell>
        </row>
        <row r="20">
          <cell r="AY20">
            <v>12367.229567000011</v>
          </cell>
        </row>
        <row r="21">
          <cell r="AY21">
            <v>136816.54075587494</v>
          </cell>
        </row>
        <row r="22">
          <cell r="AY22">
            <v>153752.44396112487</v>
          </cell>
        </row>
        <row r="23">
          <cell r="AY23">
            <v>282.22887900000001</v>
          </cell>
        </row>
        <row r="24">
          <cell r="AY24">
            <v>31089.408416000002</v>
          </cell>
        </row>
        <row r="25">
          <cell r="AY25">
            <v>83124.612776500056</v>
          </cell>
        </row>
        <row r="26">
          <cell r="AY26">
            <v>13457.332169833342</v>
          </cell>
        </row>
        <row r="27">
          <cell r="AY27">
            <v>36350.060292000002</v>
          </cell>
        </row>
        <row r="28">
          <cell r="AY28">
            <v>256282.53536125025</v>
          </cell>
        </row>
        <row r="29">
          <cell r="AY29">
            <v>95565.934839375055</v>
          </cell>
        </row>
        <row r="30">
          <cell r="AY30">
            <v>332273.262009</v>
          </cell>
        </row>
        <row r="31">
          <cell r="AY31">
            <v>409561.22970149992</v>
          </cell>
        </row>
        <row r="32">
          <cell r="AY32">
            <v>11901.48788125001</v>
          </cell>
        </row>
        <row r="33">
          <cell r="AY33">
            <v>268.93022400000001</v>
          </cell>
        </row>
        <row r="34">
          <cell r="AY34">
            <v>-430.85526054166667</v>
          </cell>
        </row>
        <row r="35">
          <cell r="AY35">
            <v>0</v>
          </cell>
        </row>
        <row r="36">
          <cell r="AY36">
            <v>2295.0826667500023</v>
          </cell>
        </row>
        <row r="37">
          <cell r="AY37">
            <v>1097552.5370902177</v>
          </cell>
        </row>
        <row r="38">
          <cell r="AY38">
            <v>19672.002845000006</v>
          </cell>
        </row>
        <row r="39">
          <cell r="AY39">
            <v>32592.991615999996</v>
          </cell>
        </row>
        <row r="40">
          <cell r="AY40">
            <v>243645.20525916654</v>
          </cell>
        </row>
        <row r="41">
          <cell r="AY41">
            <v>57479.139841000026</v>
          </cell>
        </row>
        <row r="42">
          <cell r="AY42">
            <v>19075.891613999996</v>
          </cell>
        </row>
        <row r="43">
          <cell r="AY43">
            <v>3618827.3682217998</v>
          </cell>
        </row>
        <row r="44">
          <cell r="AY44">
            <v>-34.21393791666668</v>
          </cell>
        </row>
        <row r="45">
          <cell r="AY45">
            <v>-5.9392899999999997</v>
          </cell>
        </row>
        <row r="46">
          <cell r="AY46">
            <v>0</v>
          </cell>
        </row>
        <row r="47">
          <cell r="AY47">
            <v>-5.8353831666666665</v>
          </cell>
        </row>
        <row r="48">
          <cell r="AY48">
            <v>935519.975452643</v>
          </cell>
        </row>
        <row r="49">
          <cell r="AY49">
            <v>717087.47756108362</v>
          </cell>
        </row>
        <row r="50">
          <cell r="AY50">
            <v>-123.54619875</v>
          </cell>
        </row>
        <row r="51">
          <cell r="AY51">
            <v>-1101.7852922916668</v>
          </cell>
        </row>
        <row r="52">
          <cell r="AY52">
            <v>-1101.0533099583336</v>
          </cell>
        </row>
        <row r="53">
          <cell r="AY53">
            <v>-2.0611938749999998</v>
          </cell>
        </row>
        <row r="54">
          <cell r="AY54">
            <v>577295.22106504126</v>
          </cell>
        </row>
        <row r="55">
          <cell r="AY55">
            <v>25468.289943500007</v>
          </cell>
        </row>
        <row r="56">
          <cell r="AY56">
            <v>298267.81733674638</v>
          </cell>
        </row>
        <row r="57">
          <cell r="AY57">
            <v>9626.3210000000017</v>
          </cell>
        </row>
        <row r="58">
          <cell r="AY58">
            <v>71385.289166666669</v>
          </cell>
        </row>
        <row r="59">
          <cell r="AY59">
            <v>43139.320229166704</v>
          </cell>
        </row>
        <row r="60">
          <cell r="AY60">
            <v>370913.59200000012</v>
          </cell>
        </row>
        <row r="61">
          <cell r="AY61">
            <v>-35921.645250000001</v>
          </cell>
        </row>
        <row r="62">
          <cell r="AY62">
            <v>-4788.0894999999982</v>
          </cell>
        </row>
        <row r="63">
          <cell r="AY63">
            <v>0</v>
          </cell>
        </row>
        <row r="64">
          <cell r="AY64">
            <v>311699.79325000034</v>
          </cell>
        </row>
        <row r="65">
          <cell r="AY65">
            <v>1170572.0719999999</v>
          </cell>
        </row>
        <row r="66">
          <cell r="AY66">
            <v>0</v>
          </cell>
        </row>
        <row r="67">
          <cell r="AY67">
            <v>-430.55641666666668</v>
          </cell>
        </row>
        <row r="68">
          <cell r="AY68">
            <v>-398.55408333333332</v>
          </cell>
        </row>
        <row r="69">
          <cell r="AY69">
            <v>380.85622183333322</v>
          </cell>
        </row>
        <row r="70">
          <cell r="AY70">
            <v>159576.34242550004</v>
          </cell>
        </row>
        <row r="71">
          <cell r="AY71">
            <v>203463.55865383334</v>
          </cell>
        </row>
        <row r="72">
          <cell r="AY72">
            <v>32214.73210687501</v>
          </cell>
        </row>
        <row r="73">
          <cell r="AY73">
            <v>90576.175298916743</v>
          </cell>
        </row>
        <row r="74">
          <cell r="AY74">
            <v>2591.5387499999983</v>
          </cell>
        </row>
        <row r="75">
          <cell r="AY75">
            <v>133631.40937500016</v>
          </cell>
        </row>
        <row r="76">
          <cell r="AY76">
            <v>82695.456898250108</v>
          </cell>
        </row>
        <row r="77">
          <cell r="AY77">
            <v>37291.034837875035</v>
          </cell>
        </row>
        <row r="78">
          <cell r="AY78">
            <v>16650.226313791678</v>
          </cell>
        </row>
        <row r="79">
          <cell r="AY79">
            <v>247479.83866362495</v>
          </cell>
        </row>
        <row r="80">
          <cell r="AY80">
            <v>5871.0075645416664</v>
          </cell>
        </row>
        <row r="81">
          <cell r="AY81">
            <v>84630.986625000034</v>
          </cell>
        </row>
        <row r="82">
          <cell r="AY82">
            <v>6748.2442499999988</v>
          </cell>
        </row>
      </sheetData>
      <sheetData sheetId="24">
        <row r="11">
          <cell r="AY11">
            <v>0</v>
          </cell>
        </row>
        <row r="12">
          <cell r="AY12">
            <v>0</v>
          </cell>
        </row>
        <row r="13">
          <cell r="AY13">
            <v>0</v>
          </cell>
        </row>
        <row r="14">
          <cell r="AY14">
            <v>0</v>
          </cell>
        </row>
        <row r="15">
          <cell r="AY15">
            <v>0</v>
          </cell>
        </row>
        <row r="16">
          <cell r="AY16">
            <v>0</v>
          </cell>
        </row>
        <row r="17">
          <cell r="AY17">
            <v>42349.61006000005</v>
          </cell>
        </row>
        <row r="18">
          <cell r="AY18">
            <v>32266.570154666701</v>
          </cell>
        </row>
        <row r="19">
          <cell r="AY19">
            <v>149457.41906608321</v>
          </cell>
        </row>
        <row r="20">
          <cell r="AY20">
            <v>655.83793158333401</v>
          </cell>
        </row>
        <row r="21">
          <cell r="AY21">
            <v>20496.860038333325</v>
          </cell>
        </row>
        <row r="22">
          <cell r="AY22">
            <v>23034.074001666653</v>
          </cell>
        </row>
        <row r="23">
          <cell r="AY23">
            <v>42.281480000000009</v>
          </cell>
        </row>
        <row r="24">
          <cell r="AY24">
            <v>0</v>
          </cell>
        </row>
        <row r="25">
          <cell r="AY25">
            <v>0</v>
          </cell>
        </row>
        <row r="26">
          <cell r="AY26">
            <v>0</v>
          </cell>
        </row>
        <row r="27">
          <cell r="AY27">
            <v>3555.9841589999992</v>
          </cell>
        </row>
        <row r="28">
          <cell r="AY28">
            <v>27856.79732187503</v>
          </cell>
        </row>
        <row r="29">
          <cell r="AY29">
            <v>4826.5623656250027</v>
          </cell>
        </row>
        <row r="30">
          <cell r="AY30">
            <v>57954.638722499978</v>
          </cell>
        </row>
        <row r="31">
          <cell r="AY31">
            <v>71435.098203749978</v>
          </cell>
        </row>
        <row r="32">
          <cell r="AY32">
            <v>2077.3506120000015</v>
          </cell>
        </row>
        <row r="33">
          <cell r="AY33">
            <v>46.367280000000001</v>
          </cell>
        </row>
        <row r="34">
          <cell r="AY34">
            <v>-73.966568333333328</v>
          </cell>
        </row>
        <row r="35">
          <cell r="AY35">
            <v>0</v>
          </cell>
        </row>
        <row r="36">
          <cell r="AY36">
            <v>401.86272375000044</v>
          </cell>
        </row>
        <row r="37">
          <cell r="AY37">
            <v>179851.04599377513</v>
          </cell>
        </row>
        <row r="38">
          <cell r="AY38">
            <v>0</v>
          </cell>
        </row>
        <row r="39">
          <cell r="AY39">
            <v>3188.4448319999997</v>
          </cell>
        </row>
        <row r="40">
          <cell r="AY40">
            <v>24081.212147708309</v>
          </cell>
        </row>
        <row r="41">
          <cell r="AY41">
            <v>0</v>
          </cell>
        </row>
        <row r="42">
          <cell r="AY42">
            <v>0</v>
          </cell>
        </row>
        <row r="43">
          <cell r="AY43">
            <v>1033950.6766347997</v>
          </cell>
        </row>
        <row r="44">
          <cell r="AY44">
            <v>-9.7754108333333338</v>
          </cell>
        </row>
        <row r="45">
          <cell r="AY45">
            <v>-1.6969399999999994</v>
          </cell>
        </row>
        <row r="46">
          <cell r="AY46">
            <v>0</v>
          </cell>
        </row>
        <row r="47">
          <cell r="AY47">
            <v>-1.6672523333333327</v>
          </cell>
        </row>
        <row r="48">
          <cell r="AY48">
            <v>739112.46679407684</v>
          </cell>
        </row>
        <row r="49">
          <cell r="AY49">
            <v>169769.82684308337</v>
          </cell>
        </row>
        <row r="50">
          <cell r="AY50">
            <v>-29.566611666666667</v>
          </cell>
        </row>
        <row r="51">
          <cell r="AY51">
            <v>-260.70412550000003</v>
          </cell>
        </row>
        <row r="52">
          <cell r="AY52">
            <v>-261.4541304583334</v>
          </cell>
        </row>
        <row r="53">
          <cell r="AY53">
            <v>-0.48944737499999996</v>
          </cell>
        </row>
        <row r="54">
          <cell r="AY54">
            <v>114979.96104199994</v>
          </cell>
        </row>
        <row r="55">
          <cell r="AY55">
            <v>5986.9487553750014</v>
          </cell>
        </row>
        <row r="56">
          <cell r="AY56">
            <v>129249.38751259011</v>
          </cell>
        </row>
        <row r="57">
          <cell r="AY57">
            <v>0</v>
          </cell>
        </row>
        <row r="58">
          <cell r="AY58">
            <v>0</v>
          </cell>
        </row>
        <row r="59">
          <cell r="AY59">
            <v>0</v>
          </cell>
        </row>
        <row r="60">
          <cell r="AY60">
            <v>0</v>
          </cell>
        </row>
        <row r="61">
          <cell r="AY61">
            <v>0</v>
          </cell>
        </row>
        <row r="62">
          <cell r="AY62">
            <v>0</v>
          </cell>
        </row>
        <row r="63">
          <cell r="AY63">
            <v>0</v>
          </cell>
        </row>
        <row r="64">
          <cell r="AY64">
            <v>0</v>
          </cell>
        </row>
        <row r="65">
          <cell r="AY65">
            <v>0</v>
          </cell>
        </row>
        <row r="66">
          <cell r="AY66">
            <v>0</v>
          </cell>
        </row>
        <row r="67">
          <cell r="AY67">
            <v>0</v>
          </cell>
        </row>
        <row r="68">
          <cell r="AY68">
            <v>0</v>
          </cell>
        </row>
        <row r="69">
          <cell r="AY69">
            <v>0</v>
          </cell>
        </row>
        <row r="70">
          <cell r="AY70">
            <v>0</v>
          </cell>
        </row>
        <row r="71">
          <cell r="AY71">
            <v>0</v>
          </cell>
        </row>
        <row r="72">
          <cell r="AY72">
            <v>0</v>
          </cell>
        </row>
        <row r="73">
          <cell r="AY73">
            <v>0</v>
          </cell>
        </row>
        <row r="74">
          <cell r="AY74">
            <v>0</v>
          </cell>
        </row>
        <row r="75">
          <cell r="AY75">
            <v>0</v>
          </cell>
        </row>
        <row r="76">
          <cell r="AY76">
            <v>0</v>
          </cell>
        </row>
        <row r="77">
          <cell r="AY77">
            <v>0</v>
          </cell>
        </row>
        <row r="78">
          <cell r="AY78">
            <v>0</v>
          </cell>
        </row>
        <row r="79">
          <cell r="AY79">
            <v>0</v>
          </cell>
        </row>
        <row r="80">
          <cell r="AY80">
            <v>0</v>
          </cell>
        </row>
        <row r="81">
          <cell r="AY81">
            <v>0</v>
          </cell>
        </row>
        <row r="82">
          <cell r="AY82">
            <v>0</v>
          </cell>
        </row>
      </sheetData>
      <sheetData sheetId="25">
        <row r="51">
          <cell r="R51">
            <v>-42049842.570000008</v>
          </cell>
        </row>
        <row r="52">
          <cell r="R52">
            <v>-17126784.859999999</v>
          </cell>
          <cell r="AY52">
            <v>1800094.0258217617</v>
          </cell>
        </row>
        <row r="53">
          <cell r="R53">
            <v>-15371933.289999999</v>
          </cell>
        </row>
        <row r="54">
          <cell r="R54">
            <v>-2930426.09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1 JDE to SAP"/>
      <sheetName val="2 SAP Acct"/>
      <sheetName val="Exh Depr Exp"/>
      <sheetName val="Exh COR Exp"/>
      <sheetName val="Exh UPIS"/>
      <sheetName val="Exh CWIP"/>
      <sheetName val="Exh CIAC"/>
      <sheetName val="Exh Accum Dep COR"/>
      <sheetName val="Bal Accum Dep&amp;COR"/>
      <sheetName val="Exh DevAdv"/>
      <sheetName val="Bal CIAC"/>
      <sheetName val="Bal and Actv DevAdv"/>
      <sheetName val="Bal AFUDC"/>
      <sheetName val="Bal UPIS"/>
      <sheetName val="Bal CWIP"/>
      <sheetName val="Actv COR"/>
      <sheetName val="Actv Depr Exp"/>
      <sheetName val="Actv CIAC"/>
      <sheetName val="AFUDC Activity"/>
      <sheetName val="Actv PlacedInServc"/>
      <sheetName val="AFUDC Actv for Tax"/>
      <sheetName val="Actv CapAddtn"/>
      <sheetName val="Actv Retire"/>
      <sheetName val="Data-Owenton WTP"/>
      <sheetName val="AFUDC for Tax In-Service"/>
      <sheetName val="AFUDC In-Service"/>
      <sheetName val="Data AFUDC Rate"/>
      <sheetName val="Data-Water SCEP by Acct"/>
      <sheetName val="Data Ret Salv COR"/>
      <sheetName val="Data BT SCEP Sep Bal"/>
      <sheetName val="Data-DevAdv"/>
      <sheetName val="DataDeprecAdjust"/>
      <sheetName val="Data NoDeprExpUPIS"/>
      <sheetName val="Data SepVar"/>
      <sheetName val="Data-BT UPIS 9-12"/>
      <sheetName val="Data-Depr Rates"/>
      <sheetName val="EXP 16 Depreciation and COR"/>
      <sheetName val="Data CIAC 9_2012"/>
      <sheetName val="Data KY BS 9_12"/>
      <sheetName val="EXP 17 Amortization"/>
    </sheetNames>
    <sheetDataSet>
      <sheetData sheetId="0"/>
      <sheetData sheetId="1"/>
      <sheetData sheetId="2"/>
      <sheetData sheetId="3"/>
      <sheetData sheetId="4">
        <row r="30">
          <cell r="K30">
            <v>11517622.871352935</v>
          </cell>
        </row>
      </sheetData>
      <sheetData sheetId="5"/>
      <sheetData sheetId="6"/>
      <sheetData sheetId="7"/>
      <sheetData sheetId="8"/>
      <sheetData sheetId="9"/>
      <sheetData sheetId="10">
        <row r="16">
          <cell r="BA16">
            <v>3547.3436675195471</v>
          </cell>
        </row>
      </sheetData>
      <sheetData sheetId="11"/>
      <sheetData sheetId="12">
        <row r="11">
          <cell r="BA11">
            <v>-18541382.742307696</v>
          </cell>
        </row>
      </sheetData>
      <sheetData sheetId="13">
        <row r="6">
          <cell r="BA6">
            <v>-13997842.758461539</v>
          </cell>
        </row>
      </sheetData>
      <sheetData sheetId="14"/>
      <sheetData sheetId="15">
        <row r="11">
          <cell r="BA11">
            <v>37450.43</v>
          </cell>
        </row>
      </sheetData>
      <sheetData sheetId="16">
        <row r="5">
          <cell r="BA5">
            <v>6851267.5036327187</v>
          </cell>
        </row>
      </sheetData>
      <sheetData sheetId="17">
        <row r="6">
          <cell r="BA6">
            <v>523584.33699100005</v>
          </cell>
        </row>
      </sheetData>
      <sheetData sheetId="18">
        <row r="11">
          <cell r="AC11">
            <v>0</v>
          </cell>
        </row>
        <row r="43">
          <cell r="AC43">
            <v>186214.99418189836</v>
          </cell>
          <cell r="AD43">
            <v>186791.74650256507</v>
          </cell>
          <cell r="AE43">
            <v>187455.75994323177</v>
          </cell>
          <cell r="AF43">
            <v>188160.61118389844</v>
          </cell>
          <cell r="AG43">
            <v>188808.73482456512</v>
          </cell>
          <cell r="AH43">
            <v>200722.18820829189</v>
          </cell>
          <cell r="AI43">
            <v>201409.5859121586</v>
          </cell>
          <cell r="AJ43">
            <v>201842.81757282527</v>
          </cell>
          <cell r="AK43">
            <v>202070.80084349198</v>
          </cell>
          <cell r="AL43">
            <v>202310.12432415865</v>
          </cell>
          <cell r="AM43">
            <v>202617.90360482532</v>
          </cell>
          <cell r="AN43">
            <v>202960.83388549197</v>
          </cell>
        </row>
        <row r="44">
          <cell r="AC44">
            <v>6690.2428760000012</v>
          </cell>
          <cell r="AD44">
            <v>6690.2416840000014</v>
          </cell>
          <cell r="AE44">
            <v>6690.2404920000017</v>
          </cell>
          <cell r="AF44">
            <v>6690.239300000002</v>
          </cell>
          <cell r="AG44">
            <v>6690.2381080000023</v>
          </cell>
          <cell r="AH44">
            <v>6690.2369160000026</v>
          </cell>
          <cell r="AI44">
            <v>6690.2357240000028</v>
          </cell>
          <cell r="AJ44">
            <v>6690.2345320000031</v>
          </cell>
          <cell r="AK44">
            <v>6690.2333400000034</v>
          </cell>
          <cell r="AL44">
            <v>6690.2321480000028</v>
          </cell>
          <cell r="AM44">
            <v>6690.2309560000031</v>
          </cell>
          <cell r="AN44">
            <v>6690.2297640000033</v>
          </cell>
        </row>
        <row r="45">
          <cell r="AC45">
            <v>25018.518464000015</v>
          </cell>
          <cell r="AD45">
            <v>25018.466656000019</v>
          </cell>
          <cell r="AE45">
            <v>25018.414848000019</v>
          </cell>
          <cell r="AF45">
            <v>25018.363040000022</v>
          </cell>
          <cell r="AG45">
            <v>25018.311232000022</v>
          </cell>
          <cell r="AH45">
            <v>25018.259424000025</v>
          </cell>
          <cell r="AI45">
            <v>25018.207616000025</v>
          </cell>
          <cell r="AJ45">
            <v>25018.155808000029</v>
          </cell>
          <cell r="AK45">
            <v>25018.104000000028</v>
          </cell>
          <cell r="AL45">
            <v>25018.052192000032</v>
          </cell>
          <cell r="AM45">
            <v>25018.000384000032</v>
          </cell>
          <cell r="AN45">
            <v>25017.948576000035</v>
          </cell>
        </row>
        <row r="46">
          <cell r="AC46">
            <v>10916.457348</v>
          </cell>
          <cell r="AD46">
            <v>10916.457348</v>
          </cell>
          <cell r="AE46">
            <v>10916.457348</v>
          </cell>
          <cell r="AF46">
            <v>10916.457348</v>
          </cell>
          <cell r="AG46">
            <v>10916.457348</v>
          </cell>
          <cell r="AH46">
            <v>10916.457348</v>
          </cell>
          <cell r="AI46">
            <v>10916.457348</v>
          </cell>
          <cell r="AJ46">
            <v>10916.457348</v>
          </cell>
          <cell r="AK46">
            <v>10916.457348</v>
          </cell>
          <cell r="AL46">
            <v>10916.457348</v>
          </cell>
          <cell r="AM46">
            <v>10916.457348</v>
          </cell>
          <cell r="AN46">
            <v>10916.457348</v>
          </cell>
        </row>
        <row r="47">
          <cell r="AC47">
            <v>87364.135119999963</v>
          </cell>
          <cell r="AD47">
            <v>87364.09715599996</v>
          </cell>
          <cell r="AE47">
            <v>87364.059191999957</v>
          </cell>
          <cell r="AF47">
            <v>87364.021227999954</v>
          </cell>
          <cell r="AG47">
            <v>87363.983263999937</v>
          </cell>
          <cell r="AH47">
            <v>87363.945299999934</v>
          </cell>
          <cell r="AI47">
            <v>87363.907335999931</v>
          </cell>
          <cell r="AJ47">
            <v>87363.869371999928</v>
          </cell>
          <cell r="AK47">
            <v>87363.831407999925</v>
          </cell>
          <cell r="AL47">
            <v>87363.793443999923</v>
          </cell>
          <cell r="AM47">
            <v>87363.75547999992</v>
          </cell>
          <cell r="AN47">
            <v>87363.717515999917</v>
          </cell>
        </row>
      </sheetData>
      <sheetData sheetId="19">
        <row r="4">
          <cell r="BA4">
            <v>894008.10849100014</v>
          </cell>
        </row>
      </sheetData>
      <sheetData sheetId="20"/>
      <sheetData sheetId="21">
        <row r="141">
          <cell r="B141">
            <v>0.58699874507747463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Summary"/>
      <sheetName val="Labor &amp; Related"/>
      <sheetName val="Other costs"/>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1">
          <cell r="N51">
            <v>1724255</v>
          </cell>
        </row>
        <row r="52">
          <cell r="N52">
            <v>713280</v>
          </cell>
        </row>
        <row r="53">
          <cell r="N53">
            <v>60735</v>
          </cell>
        </row>
        <row r="54">
          <cell r="N54">
            <v>5540346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 General Tax"/>
      <sheetName val="Summary by Account"/>
      <sheetName val="Base &amp; Forecast Detail"/>
      <sheetName val="Notes"/>
      <sheetName val="Property Tax Wksht"/>
      <sheetName val="2013-2015-20 KY Tax Summary"/>
      <sheetName val="Pivot Property Tax GL"/>
      <sheetName val="Property Tx GL-2014 "/>
      <sheetName val="Property Tx GL - 2015"/>
      <sheetName val="Property Tx _Bal Sht 2014-2015"/>
      <sheetName val="Taxes_Lic 2015"/>
      <sheetName val="Taxes &amp; Licenses GL "/>
      <sheetName val="2014 Balance Sheet KY "/>
    </sheetNames>
    <sheetDataSet>
      <sheetData sheetId="0"/>
      <sheetData sheetId="1"/>
      <sheetData sheetId="2">
        <row r="31">
          <cell r="I31">
            <v>5440026.5431322297</v>
          </cell>
        </row>
        <row r="32">
          <cell r="I32">
            <v>576224.64613545826</v>
          </cell>
        </row>
        <row r="34">
          <cell r="I34">
            <v>9690.84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out"/>
      <sheetName val="Link in"/>
      <sheetName val="Sch M"/>
      <sheetName val="Sch N"/>
    </sheetNames>
    <sheetDataSet>
      <sheetData sheetId="0" refreshError="1"/>
      <sheetData sheetId="1">
        <row r="41">
          <cell r="C41">
            <v>12.49</v>
          </cell>
          <cell r="J41">
            <v>14.85</v>
          </cell>
        </row>
        <row r="42">
          <cell r="C42">
            <v>18.739999999999998</v>
          </cell>
          <cell r="J42">
            <v>22.3</v>
          </cell>
        </row>
        <row r="43">
          <cell r="C43">
            <v>31.23</v>
          </cell>
          <cell r="J43">
            <v>37.1</v>
          </cell>
        </row>
        <row r="44">
          <cell r="C44">
            <v>62.45</v>
          </cell>
          <cell r="J44">
            <v>74.3</v>
          </cell>
        </row>
        <row r="45">
          <cell r="C45">
            <v>99.92</v>
          </cell>
          <cell r="J45">
            <v>118.8</v>
          </cell>
        </row>
        <row r="46">
          <cell r="C46">
            <v>187.35</v>
          </cell>
          <cell r="J46">
            <v>222.8</v>
          </cell>
        </row>
        <row r="47">
          <cell r="C47">
            <v>312.25</v>
          </cell>
          <cell r="J47">
            <v>371.3</v>
          </cell>
        </row>
        <row r="48">
          <cell r="C48">
            <v>624.5</v>
          </cell>
          <cell r="J48">
            <v>742.5</v>
          </cell>
        </row>
        <row r="49">
          <cell r="C49">
            <v>999.2</v>
          </cell>
          <cell r="J49">
            <v>1188</v>
          </cell>
        </row>
        <row r="55">
          <cell r="C55">
            <v>5.3003999999999998</v>
          </cell>
          <cell r="D55">
            <v>4.8280000000000003</v>
          </cell>
          <cell r="E55">
            <v>3.8946700000000001</v>
          </cell>
          <cell r="F55">
            <v>4.2451999999999996</v>
          </cell>
          <cell r="G55">
            <v>4.2092999999999998</v>
          </cell>
          <cell r="J55">
            <v>6.1820000000000004</v>
          </cell>
          <cell r="K55">
            <v>5.3840000000000003</v>
          </cell>
          <cell r="L55">
            <v>4.7549999999999999</v>
          </cell>
          <cell r="M55">
            <v>4.99</v>
          </cell>
          <cell r="N55">
            <v>4.4509999999999996</v>
          </cell>
        </row>
        <row r="65">
          <cell r="D65">
            <v>79.77</v>
          </cell>
          <cell r="L65">
            <v>79.77</v>
          </cell>
        </row>
        <row r="66">
          <cell r="D66">
            <v>8.92</v>
          </cell>
          <cell r="L66">
            <v>9.3699999999999992</v>
          </cell>
        </row>
        <row r="67">
          <cell r="D67">
            <v>35.9</v>
          </cell>
          <cell r="L67">
            <v>37.700000000000003</v>
          </cell>
        </row>
        <row r="68">
          <cell r="D68">
            <v>80.739999999999995</v>
          </cell>
          <cell r="L68">
            <v>84.78</v>
          </cell>
        </row>
        <row r="69">
          <cell r="D69">
            <v>143.54</v>
          </cell>
          <cell r="L69">
            <v>150.72</v>
          </cell>
        </row>
        <row r="70">
          <cell r="D70">
            <v>224.34</v>
          </cell>
          <cell r="L70">
            <v>235.56</v>
          </cell>
        </row>
        <row r="71">
          <cell r="D71">
            <v>323.5</v>
          </cell>
          <cell r="L71">
            <v>339.68</v>
          </cell>
        </row>
        <row r="72">
          <cell r="D72">
            <v>439.89</v>
          </cell>
          <cell r="L72">
            <v>461.88</v>
          </cell>
        </row>
        <row r="73">
          <cell r="D73">
            <v>574.41999999999996</v>
          </cell>
          <cell r="L73">
            <v>603.14</v>
          </cell>
        </row>
        <row r="76">
          <cell r="D76">
            <v>41.6</v>
          </cell>
          <cell r="L76">
            <v>48</v>
          </cell>
        </row>
      </sheetData>
      <sheetData sheetId="2">
        <row r="13">
          <cell r="O13">
            <v>5575259</v>
          </cell>
          <cell r="Q13">
            <v>47597938</v>
          </cell>
          <cell r="V13">
            <v>55922389</v>
          </cell>
        </row>
        <row r="14">
          <cell r="O14">
            <v>3487266</v>
          </cell>
          <cell r="Q14">
            <v>21168395</v>
          </cell>
          <cell r="V14">
            <v>23925062</v>
          </cell>
        </row>
        <row r="15">
          <cell r="O15">
            <v>619086</v>
          </cell>
          <cell r="Q15">
            <v>2540483</v>
          </cell>
          <cell r="V15">
            <v>3097546</v>
          </cell>
        </row>
        <row r="16">
          <cell r="O16">
            <v>1196002</v>
          </cell>
          <cell r="Q16">
            <v>5904766</v>
          </cell>
          <cell r="V16">
            <v>6951883</v>
          </cell>
        </row>
        <row r="17">
          <cell r="O17">
            <v>403500</v>
          </cell>
          <cell r="Q17">
            <v>1774742</v>
          </cell>
          <cell r="V17">
            <v>1886689</v>
          </cell>
        </row>
        <row r="18">
          <cell r="Q18">
            <v>2699847</v>
          </cell>
          <cell r="V18">
            <v>2780586</v>
          </cell>
        </row>
        <row r="19">
          <cell r="Q19">
            <v>3740506</v>
          </cell>
          <cell r="V19">
            <v>4315968</v>
          </cell>
        </row>
        <row r="20">
          <cell r="O20">
            <v>4368</v>
          </cell>
          <cell r="Q20">
            <v>84644</v>
          </cell>
          <cell r="V20">
            <v>84644</v>
          </cell>
        </row>
        <row r="26">
          <cell r="V26">
            <v>852640</v>
          </cell>
        </row>
        <row r="27">
          <cell r="V27">
            <v>69684</v>
          </cell>
        </row>
        <row r="28">
          <cell r="V28">
            <v>65400</v>
          </cell>
        </row>
        <row r="30">
          <cell r="V30">
            <v>32142</v>
          </cell>
        </row>
        <row r="31">
          <cell r="V31">
            <v>743543</v>
          </cell>
        </row>
        <row r="32">
          <cell r="V32">
            <v>52634</v>
          </cell>
        </row>
        <row r="33">
          <cell r="V33">
            <v>299605</v>
          </cell>
        </row>
        <row r="34">
          <cell r="V34">
            <v>59000</v>
          </cell>
        </row>
        <row r="36">
          <cell r="Q36">
            <v>2174648</v>
          </cell>
        </row>
        <row r="52">
          <cell r="N52">
            <v>1377268</v>
          </cell>
        </row>
        <row r="53">
          <cell r="N53">
            <v>12</v>
          </cell>
        </row>
        <row r="54">
          <cell r="N54">
            <v>21864</v>
          </cell>
        </row>
        <row r="55">
          <cell r="N55">
            <v>156</v>
          </cell>
        </row>
        <row r="56">
          <cell r="N56">
            <v>1176</v>
          </cell>
        </row>
        <row r="57">
          <cell r="N57">
            <v>0</v>
          </cell>
        </row>
        <row r="58">
          <cell r="N58">
            <v>0</v>
          </cell>
        </row>
        <row r="59">
          <cell r="N59">
            <v>36</v>
          </cell>
        </row>
        <row r="60">
          <cell r="N60">
            <v>12</v>
          </cell>
        </row>
        <row r="91">
          <cell r="N91">
            <v>55473</v>
          </cell>
        </row>
        <row r="92">
          <cell r="N92">
            <v>12</v>
          </cell>
        </row>
        <row r="93">
          <cell r="N93">
            <v>28762</v>
          </cell>
        </row>
        <row r="94">
          <cell r="N94">
            <v>2064</v>
          </cell>
        </row>
        <row r="95">
          <cell r="N95">
            <v>22635</v>
          </cell>
        </row>
        <row r="96">
          <cell r="N96">
            <v>24</v>
          </cell>
        </row>
        <row r="97">
          <cell r="N97">
            <v>372</v>
          </cell>
        </row>
        <row r="98">
          <cell r="N98">
            <v>156</v>
          </cell>
        </row>
        <row r="99">
          <cell r="N99">
            <v>132</v>
          </cell>
        </row>
        <row r="130">
          <cell r="N130">
            <v>72</v>
          </cell>
        </row>
        <row r="131">
          <cell r="N131">
            <v>0</v>
          </cell>
        </row>
        <row r="132">
          <cell r="N132">
            <v>24</v>
          </cell>
        </row>
        <row r="133">
          <cell r="N133">
            <v>24</v>
          </cell>
        </row>
        <row r="134">
          <cell r="N134">
            <v>288</v>
          </cell>
        </row>
        <row r="135">
          <cell r="N135">
            <v>0</v>
          </cell>
        </row>
        <row r="136">
          <cell r="N136">
            <v>120</v>
          </cell>
        </row>
        <row r="137">
          <cell r="N137">
            <v>96</v>
          </cell>
        </row>
        <row r="138">
          <cell r="N138">
            <v>0</v>
          </cell>
        </row>
        <row r="169">
          <cell r="N169">
            <v>1680</v>
          </cell>
        </row>
        <row r="170">
          <cell r="N170">
            <v>0</v>
          </cell>
        </row>
        <row r="171">
          <cell r="N171">
            <v>2064</v>
          </cell>
        </row>
        <row r="172">
          <cell r="N172">
            <v>336</v>
          </cell>
        </row>
        <row r="173">
          <cell r="N173">
            <v>4404</v>
          </cell>
        </row>
        <row r="174">
          <cell r="N174">
            <v>12</v>
          </cell>
        </row>
        <row r="175">
          <cell r="N175">
            <v>504</v>
          </cell>
        </row>
        <row r="176">
          <cell r="N176">
            <v>156</v>
          </cell>
        </row>
        <row r="177">
          <cell r="N177">
            <v>24</v>
          </cell>
        </row>
        <row r="208">
          <cell r="N208">
            <v>0</v>
          </cell>
        </row>
        <row r="209">
          <cell r="N209">
            <v>0</v>
          </cell>
        </row>
        <row r="210">
          <cell r="N210">
            <v>0</v>
          </cell>
        </row>
        <row r="211">
          <cell r="N211">
            <v>48</v>
          </cell>
        </row>
        <row r="212">
          <cell r="N212">
            <v>96</v>
          </cell>
        </row>
        <row r="213">
          <cell r="N213">
            <v>0</v>
          </cell>
        </row>
        <row r="214">
          <cell r="N214">
            <v>84</v>
          </cell>
        </row>
        <row r="215">
          <cell r="N215">
            <v>60</v>
          </cell>
        </row>
        <row r="216">
          <cell r="N216">
            <v>0</v>
          </cell>
        </row>
        <row r="246">
          <cell r="O246">
            <v>13620</v>
          </cell>
        </row>
        <row r="247">
          <cell r="O247">
            <v>828</v>
          </cell>
        </row>
        <row r="248">
          <cell r="O248">
            <v>5040</v>
          </cell>
        </row>
        <row r="249">
          <cell r="O249">
            <v>10944</v>
          </cell>
        </row>
        <row r="250">
          <cell r="O250">
            <v>3420</v>
          </cell>
        </row>
        <row r="251">
          <cell r="O251">
            <v>108</v>
          </cell>
        </row>
        <row r="252">
          <cell r="O252">
            <v>60</v>
          </cell>
        </row>
        <row r="253">
          <cell r="O253">
            <v>0</v>
          </cell>
        </row>
        <row r="254">
          <cell r="O254">
            <v>12</v>
          </cell>
        </row>
        <row r="262">
          <cell r="O262">
            <v>89916</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Linkin"/>
      <sheetName val="Link Out"/>
      <sheetName val="UPIS linkin"/>
      <sheetName val="UPIS Bal + Activity to Oct-15"/>
      <sheetName val="Accum depr linkin"/>
      <sheetName val="Additions linkin"/>
      <sheetName val="Retire linkin"/>
      <sheetName val="Advances linkin"/>
      <sheetName val="CIAC link in"/>
      <sheetName val="Control"/>
      <sheetName val="Sch B-1"/>
      <sheetName val="Sch B-2"/>
      <sheetName val="Sch B-3"/>
      <sheetName val="Sch B-4"/>
      <sheetName val="Sch B-5"/>
      <sheetName val="Sch B-6"/>
      <sheetName val="Sch B-7"/>
      <sheetName val="Sch B-8"/>
      <sheetName val="Deferred Taxes"/>
      <sheetName val="Regulatory Assets"/>
      <sheetName val="Materials"/>
      <sheetName val="Data-Depr Rates"/>
      <sheetName val="Other Rate Base"/>
      <sheetName val="UPAA"/>
    </sheetNames>
    <sheetDataSet>
      <sheetData sheetId="0"/>
      <sheetData sheetId="1"/>
      <sheetData sheetId="2"/>
      <sheetData sheetId="3"/>
      <sheetData sheetId="4"/>
      <sheetData sheetId="5"/>
      <sheetData sheetId="6"/>
      <sheetData sheetId="7"/>
      <sheetData sheetId="8"/>
      <sheetData sheetId="9">
        <row r="65">
          <cell r="AY65">
            <v>-21211635.081981227</v>
          </cell>
        </row>
        <row r="66">
          <cell r="AY66">
            <v>-18757211.991481535</v>
          </cell>
        </row>
        <row r="67">
          <cell r="AY67">
            <v>-15553091.86016462</v>
          </cell>
        </row>
        <row r="68">
          <cell r="AY68">
            <v>-3034495.9069030774</v>
          </cell>
        </row>
      </sheetData>
      <sheetData sheetId="10"/>
      <sheetData sheetId="11">
        <row r="91">
          <cell r="K91">
            <v>5238000</v>
          </cell>
        </row>
        <row r="93">
          <cell r="K93">
            <v>813037</v>
          </cell>
        </row>
        <row r="99">
          <cell r="K99">
            <v>-78268967</v>
          </cell>
        </row>
        <row r="101">
          <cell r="K101">
            <v>-31363</v>
          </cell>
        </row>
        <row r="103">
          <cell r="K103">
            <v>9539974</v>
          </cell>
        </row>
        <row r="105">
          <cell r="K105">
            <v>1360408</v>
          </cell>
        </row>
        <row r="107">
          <cell r="K107">
            <v>1120412</v>
          </cell>
        </row>
      </sheetData>
      <sheetData sheetId="12"/>
      <sheetData sheetId="13"/>
      <sheetData sheetId="14">
        <row r="261">
          <cell r="J261">
            <v>3483151</v>
          </cell>
        </row>
        <row r="263">
          <cell r="J263">
            <v>0</v>
          </cell>
        </row>
        <row r="264">
          <cell r="J264">
            <v>2168171</v>
          </cell>
        </row>
        <row r="265">
          <cell r="J265">
            <v>719327</v>
          </cell>
        </row>
        <row r="266">
          <cell r="J266">
            <v>31550</v>
          </cell>
        </row>
        <row r="267">
          <cell r="J267">
            <v>217</v>
          </cell>
        </row>
        <row r="268">
          <cell r="J268">
            <v>87017</v>
          </cell>
        </row>
        <row r="269">
          <cell r="J269">
            <v>2704125</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out"/>
      <sheetName val="Link in"/>
      <sheetName val="Sch M"/>
      <sheetName val="Sch N"/>
    </sheetNames>
    <sheetDataSet>
      <sheetData sheetId="0" refreshError="1"/>
      <sheetData sheetId="1">
        <row r="41">
          <cell r="C41">
            <v>8.9</v>
          </cell>
        </row>
      </sheetData>
      <sheetData sheetId="2">
        <row r="13">
          <cell r="Q13">
            <v>44433532</v>
          </cell>
          <cell r="T13">
            <v>6058213.3436423391</v>
          </cell>
        </row>
        <row r="14">
          <cell r="T14">
            <v>3806938.1042398331</v>
          </cell>
        </row>
        <row r="15">
          <cell r="T15">
            <v>527178.67576027312</v>
          </cell>
        </row>
        <row r="16">
          <cell r="T16">
            <v>1353437.3898883662</v>
          </cell>
        </row>
        <row r="17">
          <cell r="T17">
            <v>421922.90533805394</v>
          </cell>
        </row>
        <row r="262">
          <cell r="E262">
            <v>88775.958831592376</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74"/>
  <sheetViews>
    <sheetView tabSelected="1" view="pageLayout" topLeftCell="E504" zoomScaleNormal="100" workbookViewId="0">
      <selection activeCell="M516" sqref="M516"/>
    </sheetView>
  </sheetViews>
  <sheetFormatPr defaultColWidth="8.88671875" defaultRowHeight="12.75" x14ac:dyDescent="0.2"/>
  <cols>
    <col min="1" max="1" width="6" style="418" customWidth="1"/>
    <col min="2" max="2" width="1.77734375" style="418" customWidth="1"/>
    <col min="3" max="3" width="22.44140625" style="421" customWidth="1"/>
    <col min="4" max="4" width="7.77734375" style="418" customWidth="1"/>
    <col min="5" max="5" width="15.21875" style="418" customWidth="1"/>
    <col min="6" max="6" width="10.5546875" style="418" bestFit="1" customWidth="1"/>
    <col min="7" max="7" width="17.109375" style="420" customWidth="1"/>
    <col min="8" max="8" width="1.33203125" style="418" customWidth="1"/>
    <col min="9" max="9" width="11" style="418" bestFit="1" customWidth="1"/>
    <col min="10" max="10" width="9.33203125" style="418" customWidth="1"/>
    <col min="11" max="11" width="4.88671875" style="418" customWidth="1"/>
    <col min="12" max="12" width="14.77734375" style="419" customWidth="1"/>
    <col min="13" max="13" width="10.33203125" style="418" customWidth="1"/>
    <col min="14" max="14" width="13.6640625" style="418" bestFit="1" customWidth="1"/>
    <col min="15" max="15" width="8.88671875" style="418"/>
    <col min="16" max="16" width="13.77734375" style="418" customWidth="1"/>
    <col min="17" max="16384" width="8.88671875" style="418"/>
  </cols>
  <sheetData>
    <row r="1" spans="1:12" s="453" customFormat="1" x14ac:dyDescent="0.2">
      <c r="C1" s="456"/>
      <c r="G1" s="455"/>
      <c r="L1" s="499"/>
    </row>
    <row r="2" spans="1:12" s="453" customFormat="1" x14ac:dyDescent="0.2">
      <c r="C2" s="456"/>
      <c r="G2" s="455"/>
      <c r="L2" s="499"/>
    </row>
    <row r="3" spans="1:12" s="453" customFormat="1" x14ac:dyDescent="0.2"/>
    <row r="4" spans="1:12" s="453" customFormat="1" x14ac:dyDescent="0.2">
      <c r="A4" s="840"/>
      <c r="B4" s="840"/>
      <c r="C4" s="840"/>
      <c r="D4" s="840"/>
      <c r="E4" s="840"/>
      <c r="F4" s="840"/>
      <c r="G4" s="840"/>
      <c r="H4" s="840"/>
      <c r="I4" s="840"/>
      <c r="J4" s="840"/>
      <c r="K4" s="840"/>
      <c r="L4" s="840"/>
    </row>
    <row r="5" spans="1:12" s="453" customFormat="1" x14ac:dyDescent="0.2">
      <c r="A5" s="840"/>
      <c r="B5" s="840"/>
      <c r="C5" s="840"/>
      <c r="D5" s="840"/>
      <c r="E5" s="840"/>
      <c r="F5" s="840"/>
      <c r="G5" s="840"/>
      <c r="H5" s="840"/>
      <c r="I5" s="840"/>
      <c r="J5" s="840"/>
      <c r="K5" s="840"/>
      <c r="L5" s="840"/>
    </row>
    <row r="6" spans="1:12" s="453" customFormat="1" x14ac:dyDescent="0.2">
      <c r="A6" s="841"/>
      <c r="B6" s="841"/>
      <c r="C6" s="841"/>
      <c r="D6" s="841"/>
      <c r="E6" s="841"/>
      <c r="F6" s="841"/>
      <c r="G6" s="841"/>
      <c r="H6" s="841"/>
      <c r="I6" s="841"/>
      <c r="J6" s="841"/>
      <c r="K6" s="841"/>
      <c r="L6" s="841"/>
    </row>
    <row r="7" spans="1:12" s="453" customFormat="1" x14ac:dyDescent="0.2">
      <c r="A7" s="840"/>
      <c r="B7" s="840"/>
      <c r="C7" s="840"/>
      <c r="D7" s="840"/>
      <c r="E7" s="840"/>
      <c r="F7" s="840"/>
      <c r="G7" s="840"/>
      <c r="H7" s="840"/>
      <c r="I7" s="840"/>
      <c r="J7" s="840"/>
      <c r="K7" s="840"/>
      <c r="L7" s="840"/>
    </row>
    <row r="8" spans="1:12" s="453" customFormat="1" x14ac:dyDescent="0.2">
      <c r="A8" s="450"/>
      <c r="B8" s="450"/>
      <c r="C8" s="454"/>
      <c r="D8" s="450"/>
      <c r="E8" s="446"/>
      <c r="F8" s="446"/>
      <c r="G8" s="452"/>
      <c r="H8" s="446"/>
      <c r="I8" s="446"/>
      <c r="J8" s="446"/>
      <c r="L8" s="499"/>
    </row>
    <row r="9" spans="1:12" s="445" customFormat="1" x14ac:dyDescent="0.2">
      <c r="C9" s="451"/>
      <c r="E9" s="446"/>
      <c r="F9" s="446"/>
      <c r="G9" s="452"/>
      <c r="H9" s="446"/>
      <c r="I9" s="446"/>
      <c r="J9" s="446"/>
      <c r="K9" s="446"/>
      <c r="L9" s="500"/>
    </row>
    <row r="10" spans="1:12" s="445" customFormat="1" x14ac:dyDescent="0.2">
      <c r="A10" s="446"/>
      <c r="C10" s="451"/>
      <c r="E10" s="446"/>
      <c r="F10" s="446"/>
      <c r="G10" s="446"/>
      <c r="H10" s="446"/>
      <c r="I10" s="446"/>
      <c r="J10" s="446"/>
      <c r="K10" s="446"/>
      <c r="L10" s="500"/>
    </row>
    <row r="11" spans="1:12" s="445" customFormat="1" x14ac:dyDescent="0.2">
      <c r="A11" s="447"/>
      <c r="B11" s="450"/>
      <c r="C11" s="449"/>
      <c r="D11" s="446"/>
      <c r="E11" s="447"/>
      <c r="F11" s="448"/>
      <c r="G11" s="447"/>
      <c r="H11" s="448"/>
      <c r="I11" s="447"/>
      <c r="J11" s="446"/>
      <c r="K11" s="446"/>
      <c r="L11" s="501"/>
    </row>
    <row r="12" spans="1:12" x14ac:dyDescent="0.2">
      <c r="A12" s="422"/>
      <c r="C12" s="444"/>
      <c r="E12" s="422"/>
      <c r="F12" s="439"/>
      <c r="G12" s="427"/>
      <c r="H12" s="439"/>
      <c r="I12" s="422"/>
      <c r="J12" s="439"/>
      <c r="K12" s="439"/>
      <c r="L12" s="433"/>
    </row>
    <row r="13" spans="1:12" x14ac:dyDescent="0.2">
      <c r="A13" s="422"/>
      <c r="C13" s="430"/>
      <c r="E13" s="422"/>
      <c r="F13" s="439"/>
      <c r="G13" s="427"/>
      <c r="H13" s="439"/>
      <c r="I13" s="422"/>
      <c r="J13" s="422"/>
      <c r="K13" s="431"/>
      <c r="L13" s="433"/>
    </row>
    <row r="14" spans="1:12" x14ac:dyDescent="0.2">
      <c r="A14" s="422"/>
      <c r="C14" s="429"/>
      <c r="E14" s="422"/>
      <c r="F14" s="439"/>
      <c r="G14" s="427"/>
      <c r="H14" s="439"/>
      <c r="I14" s="422"/>
      <c r="J14" s="422"/>
      <c r="K14" s="436"/>
      <c r="L14" s="438"/>
    </row>
    <row r="15" spans="1:12" x14ac:dyDescent="0.2">
      <c r="A15" s="422"/>
      <c r="C15" s="429"/>
      <c r="E15" s="422"/>
      <c r="F15" s="439"/>
      <c r="G15" s="427"/>
      <c r="H15" s="439"/>
      <c r="I15" s="422"/>
      <c r="J15" s="422"/>
      <c r="K15" s="436"/>
      <c r="L15" s="438"/>
    </row>
    <row r="16" spans="1:12" x14ac:dyDescent="0.2">
      <c r="A16" s="422"/>
      <c r="C16" s="429"/>
      <c r="E16" s="422"/>
      <c r="F16" s="439"/>
      <c r="G16" s="427"/>
      <c r="H16" s="439"/>
      <c r="I16" s="422"/>
      <c r="J16" s="422"/>
      <c r="K16" s="436"/>
      <c r="L16" s="438"/>
    </row>
    <row r="17" spans="1:12" x14ac:dyDescent="0.2">
      <c r="A17" s="422"/>
      <c r="C17" s="429"/>
      <c r="E17" s="422"/>
      <c r="F17" s="439"/>
      <c r="G17" s="427"/>
      <c r="H17" s="439"/>
      <c r="I17" s="422"/>
      <c r="J17" s="422"/>
      <c r="K17" s="436"/>
      <c r="L17" s="438"/>
    </row>
    <row r="18" spans="1:12" x14ac:dyDescent="0.2">
      <c r="A18" s="422"/>
      <c r="C18" s="429"/>
      <c r="E18" s="422"/>
      <c r="F18" s="439"/>
      <c r="G18" s="427"/>
      <c r="H18" s="439"/>
      <c r="I18" s="422"/>
      <c r="J18" s="422"/>
      <c r="K18" s="436"/>
      <c r="L18" s="438"/>
    </row>
    <row r="19" spans="1:12" x14ac:dyDescent="0.2">
      <c r="A19" s="422"/>
      <c r="C19" s="430"/>
      <c r="E19" s="422"/>
      <c r="F19" s="439"/>
      <c r="G19" s="427"/>
      <c r="H19" s="439"/>
      <c r="I19" s="422"/>
      <c r="J19" s="422"/>
      <c r="K19" s="436"/>
      <c r="L19" s="438"/>
    </row>
    <row r="20" spans="1:12" x14ac:dyDescent="0.2">
      <c r="A20" s="422"/>
      <c r="C20" s="428"/>
      <c r="E20" s="422"/>
      <c r="F20" s="439"/>
      <c r="G20" s="427"/>
      <c r="H20" s="439"/>
      <c r="I20" s="422"/>
      <c r="J20" s="422"/>
      <c r="K20" s="443"/>
      <c r="L20" s="438"/>
    </row>
    <row r="21" spans="1:12" x14ac:dyDescent="0.2">
      <c r="A21" s="422"/>
      <c r="C21" s="442"/>
      <c r="E21" s="422"/>
      <c r="F21" s="439"/>
      <c r="G21" s="427"/>
      <c r="H21" s="439"/>
      <c r="I21" s="422"/>
      <c r="J21" s="422"/>
      <c r="K21" s="441"/>
      <c r="L21" s="438"/>
    </row>
    <row r="22" spans="1:12" x14ac:dyDescent="0.2">
      <c r="A22" s="422"/>
      <c r="C22" s="430"/>
      <c r="E22" s="422"/>
      <c r="F22" s="439"/>
      <c r="G22" s="427"/>
      <c r="H22" s="439"/>
      <c r="I22" s="422"/>
      <c r="J22" s="422"/>
      <c r="K22" s="441"/>
      <c r="L22" s="438"/>
    </row>
    <row r="23" spans="1:12" x14ac:dyDescent="0.2">
      <c r="A23" s="422"/>
      <c r="C23" s="429"/>
      <c r="E23" s="422"/>
      <c r="F23" s="439"/>
      <c r="G23" s="427"/>
      <c r="H23" s="439"/>
      <c r="I23" s="422"/>
      <c r="J23" s="422"/>
      <c r="K23" s="440"/>
      <c r="L23" s="438"/>
    </row>
    <row r="24" spans="1:12" x14ac:dyDescent="0.2">
      <c r="A24" s="422"/>
      <c r="C24" s="429"/>
      <c r="E24" s="422"/>
      <c r="F24" s="439"/>
      <c r="G24" s="427"/>
      <c r="H24" s="439"/>
      <c r="I24" s="422"/>
      <c r="J24" s="422"/>
      <c r="K24" s="440"/>
      <c r="L24" s="438"/>
    </row>
    <row r="25" spans="1:12" x14ac:dyDescent="0.2">
      <c r="A25" s="422"/>
      <c r="C25" s="429"/>
      <c r="E25" s="422"/>
      <c r="F25" s="439"/>
      <c r="G25" s="427"/>
      <c r="H25" s="439"/>
      <c r="I25" s="422"/>
      <c r="J25" s="422"/>
      <c r="K25" s="436"/>
      <c r="L25" s="438"/>
    </row>
    <row r="26" spans="1:12" x14ac:dyDescent="0.2">
      <c r="A26" s="422"/>
      <c r="C26" s="429"/>
      <c r="E26" s="422"/>
      <c r="F26" s="439"/>
      <c r="G26" s="427"/>
      <c r="H26" s="439"/>
      <c r="I26" s="422"/>
      <c r="J26" s="422"/>
      <c r="K26" s="436"/>
      <c r="L26" s="438"/>
    </row>
    <row r="27" spans="1:12" x14ac:dyDescent="0.2">
      <c r="A27" s="422"/>
      <c r="C27" s="432"/>
      <c r="D27" s="423"/>
      <c r="E27" s="424"/>
      <c r="F27" s="437"/>
      <c r="G27" s="426"/>
      <c r="H27" s="437"/>
      <c r="I27" s="424"/>
      <c r="J27" s="424"/>
      <c r="K27" s="436"/>
      <c r="L27" s="435"/>
    </row>
    <row r="28" spans="1:12" x14ac:dyDescent="0.2">
      <c r="A28" s="422"/>
      <c r="C28" s="429"/>
      <c r="E28" s="422"/>
      <c r="F28" s="422"/>
      <c r="G28" s="427"/>
      <c r="H28" s="422"/>
      <c r="I28" s="425"/>
      <c r="K28" s="434"/>
      <c r="L28" s="502"/>
    </row>
    <row r="29" spans="1:12" x14ac:dyDescent="0.2">
      <c r="A29" s="422"/>
      <c r="C29" s="429"/>
      <c r="E29" s="422"/>
      <c r="F29" s="422"/>
      <c r="G29" s="427"/>
      <c r="H29" s="422"/>
      <c r="I29" s="422"/>
      <c r="K29" s="434"/>
      <c r="L29" s="502"/>
    </row>
    <row r="30" spans="1:12" x14ac:dyDescent="0.2">
      <c r="A30" s="422"/>
      <c r="C30" s="430"/>
      <c r="E30" s="422"/>
      <c r="F30" s="422"/>
      <c r="G30" s="427"/>
      <c r="H30" s="422"/>
      <c r="I30" s="422"/>
      <c r="K30" s="434"/>
      <c r="L30" s="434"/>
    </row>
    <row r="31" spans="1:12" x14ac:dyDescent="0.2">
      <c r="A31" s="422"/>
      <c r="C31" s="429"/>
      <c r="E31" s="422"/>
      <c r="F31" s="422"/>
      <c r="G31" s="427"/>
      <c r="H31" s="422"/>
      <c r="I31" s="422"/>
      <c r="K31" s="434"/>
      <c r="L31" s="434"/>
    </row>
    <row r="32" spans="1:12" x14ac:dyDescent="0.2">
      <c r="A32" s="422"/>
      <c r="C32" s="429"/>
      <c r="E32" s="422"/>
      <c r="F32" s="422"/>
      <c r="G32" s="427"/>
      <c r="H32" s="422"/>
      <c r="I32" s="422"/>
      <c r="K32" s="434"/>
      <c r="L32" s="434"/>
    </row>
    <row r="33" spans="1:12" x14ac:dyDescent="0.2">
      <c r="A33" s="422"/>
      <c r="C33" s="429"/>
      <c r="E33" s="422"/>
      <c r="F33" s="422"/>
      <c r="G33" s="427"/>
      <c r="H33" s="422"/>
      <c r="I33" s="422"/>
      <c r="K33" s="434"/>
      <c r="L33" s="434"/>
    </row>
    <row r="34" spans="1:12" x14ac:dyDescent="0.2">
      <c r="A34" s="422"/>
      <c r="C34" s="429"/>
      <c r="E34" s="422"/>
      <c r="F34" s="422"/>
      <c r="G34" s="427"/>
      <c r="H34" s="422"/>
      <c r="I34" s="422"/>
      <c r="K34" s="434"/>
      <c r="L34" s="434"/>
    </row>
    <row r="35" spans="1:12" x14ac:dyDescent="0.2">
      <c r="A35" s="422"/>
      <c r="C35" s="429"/>
      <c r="E35" s="422"/>
      <c r="F35" s="422"/>
      <c r="G35" s="427"/>
      <c r="H35" s="422"/>
      <c r="I35" s="422"/>
      <c r="K35" s="434"/>
      <c r="L35" s="434"/>
    </row>
    <row r="36" spans="1:12" x14ac:dyDescent="0.2">
      <c r="A36" s="422"/>
      <c r="C36" s="429"/>
      <c r="E36" s="422"/>
      <c r="F36" s="422"/>
      <c r="G36" s="427"/>
      <c r="H36" s="422"/>
      <c r="I36" s="422"/>
      <c r="K36" s="434"/>
      <c r="L36" s="434"/>
    </row>
    <row r="37" spans="1:12" x14ac:dyDescent="0.2">
      <c r="A37" s="422"/>
      <c r="C37" s="429"/>
      <c r="E37" s="422"/>
      <c r="F37" s="422"/>
      <c r="G37" s="427"/>
      <c r="H37" s="422"/>
      <c r="I37" s="422"/>
      <c r="K37" s="434"/>
      <c r="L37" s="434"/>
    </row>
    <row r="38" spans="1:12" x14ac:dyDescent="0.2">
      <c r="A38" s="422"/>
      <c r="C38" s="429"/>
      <c r="E38" s="422"/>
      <c r="F38" s="422"/>
      <c r="G38" s="427"/>
      <c r="H38" s="422"/>
      <c r="I38" s="422"/>
      <c r="K38" s="434"/>
      <c r="L38" s="434"/>
    </row>
    <row r="39" spans="1:12" x14ac:dyDescent="0.2">
      <c r="A39" s="840" t="str">
        <f>'[1]Link In'!C3</f>
        <v>Kentucky American Water Company</v>
      </c>
      <c r="B39" s="840"/>
      <c r="C39" s="840"/>
      <c r="D39" s="840"/>
      <c r="E39" s="840"/>
      <c r="F39" s="840"/>
      <c r="G39" s="840"/>
      <c r="H39" s="840"/>
      <c r="I39" s="840"/>
      <c r="J39" s="840"/>
      <c r="K39" s="840"/>
      <c r="L39" s="840"/>
    </row>
    <row r="40" spans="1:12" x14ac:dyDescent="0.2">
      <c r="A40" s="422"/>
      <c r="C40" s="429"/>
      <c r="E40" s="422"/>
      <c r="F40" s="422"/>
      <c r="G40" s="427"/>
      <c r="H40" s="422"/>
      <c r="I40" s="425"/>
      <c r="K40" s="434"/>
      <c r="L40" s="502"/>
    </row>
    <row r="41" spans="1:12" x14ac:dyDescent="0.2">
      <c r="A41" s="422"/>
      <c r="C41" s="429"/>
      <c r="E41" s="422"/>
      <c r="F41" s="422"/>
      <c r="G41" s="427"/>
      <c r="H41" s="422"/>
      <c r="I41" s="422"/>
      <c r="K41" s="434"/>
      <c r="L41" s="502"/>
    </row>
    <row r="42" spans="1:12" x14ac:dyDescent="0.2">
      <c r="A42" s="422"/>
      <c r="C42" s="430" t="str">
        <f>+'[2]MSFR Inc Stmt by Acct - SCH C.2'!E49</f>
        <v>Purchased water</v>
      </c>
      <c r="D42" s="430"/>
      <c r="E42" s="603">
        <f>+'[2]MSFR Inc Stmt by Acct - SCH C.2'!G49</f>
        <v>51010000</v>
      </c>
      <c r="F42" s="430"/>
      <c r="G42" s="430" t="str">
        <f>+'[2]MSFR Inc Stmt by Acct - SCH C.2'!I49</f>
        <v>Purchased Water</v>
      </c>
      <c r="H42" s="430"/>
      <c r="I42" s="602" t="str">
        <f>+'[2]MSFR Inc Stmt by Acct - SCH C.2'!K49</f>
        <v>610.1</v>
      </c>
      <c r="J42" s="430"/>
      <c r="L42" s="604">
        <f>+'[2]MSFR Inc Stmt by Acct - SCH C.2'!Q49</f>
        <v>230255</v>
      </c>
    </row>
    <row r="43" spans="1:12" x14ac:dyDescent="0.2">
      <c r="A43" s="422"/>
      <c r="C43" s="430">
        <f>+'[2]MSFR Inc Stmt by Acct - SCH C.2'!E50</f>
        <v>0</v>
      </c>
      <c r="D43" s="430"/>
      <c r="E43" s="603">
        <f>+'[2]MSFR Inc Stmt by Acct - SCH C.2'!G50</f>
        <v>51015000</v>
      </c>
      <c r="F43" s="430"/>
      <c r="G43" s="430" t="str">
        <f>+'[2]MSFR Inc Stmt by Acct - SCH C.2'!I50</f>
        <v>Purchased Water I/C</v>
      </c>
      <c r="H43" s="430"/>
      <c r="I43" s="602" t="str">
        <f>+'[2]MSFR Inc Stmt by Acct - SCH C.2'!K50</f>
        <v>610.1</v>
      </c>
      <c r="J43" s="430"/>
      <c r="L43" s="604">
        <f>+'[2]MSFR Inc Stmt by Acct - SCH C.2'!Q50</f>
        <v>0</v>
      </c>
    </row>
    <row r="44" spans="1:12" x14ac:dyDescent="0.2">
      <c r="A44" s="422"/>
      <c r="C44" s="430">
        <f>+'[2]MSFR Inc Stmt by Acct - SCH C.2'!E51</f>
        <v>0</v>
      </c>
      <c r="D44" s="430"/>
      <c r="E44" s="603">
        <f>+'[2]MSFR Inc Stmt by Acct - SCH C.2'!G51</f>
        <v>0</v>
      </c>
      <c r="F44" s="430"/>
      <c r="G44" s="430">
        <f>+'[2]MSFR Inc Stmt by Acct - SCH C.2'!I51</f>
        <v>0</v>
      </c>
      <c r="H44" s="430"/>
      <c r="I44" s="602" t="str">
        <f>+'[2]MSFR Inc Stmt by Acct - SCH C.2'!K51</f>
        <v>Total</v>
      </c>
      <c r="J44" s="430"/>
      <c r="L44" s="604">
        <f>+'[2]MSFR Inc Stmt by Acct - SCH C.2'!Q51</f>
        <v>230255</v>
      </c>
    </row>
    <row r="45" spans="1:12" x14ac:dyDescent="0.2">
      <c r="A45" s="422"/>
      <c r="C45" s="430">
        <f>+'[2]MSFR Inc Stmt by Acct - SCH C.2'!E52</f>
        <v>0</v>
      </c>
      <c r="D45" s="430"/>
      <c r="E45" s="603">
        <f>+'[2]MSFR Inc Stmt by Acct - SCH C.2'!G52</f>
        <v>0</v>
      </c>
      <c r="F45" s="430"/>
      <c r="G45" s="430">
        <f>+'[2]MSFR Inc Stmt by Acct - SCH C.2'!I52</f>
        <v>0</v>
      </c>
      <c r="H45" s="430"/>
      <c r="I45" s="602">
        <f>+'[2]MSFR Inc Stmt by Acct - SCH C.2'!K52</f>
        <v>0</v>
      </c>
      <c r="J45" s="430"/>
      <c r="L45" s="601">
        <f>+'[2]MSFR Inc Stmt by Acct - SCH C.2'!Q52</f>
        <v>0</v>
      </c>
    </row>
    <row r="46" spans="1:12" x14ac:dyDescent="0.2">
      <c r="A46" s="422"/>
      <c r="C46" s="430" t="str">
        <f>+'[2]MSFR Inc Stmt by Acct - SCH C.2'!E53</f>
        <v>Fuel and power</v>
      </c>
      <c r="D46" s="430"/>
      <c r="E46" s="603">
        <f>+'[2]MSFR Inc Stmt by Acct - SCH C.2'!G53</f>
        <v>51510000</v>
      </c>
      <c r="F46" s="430"/>
      <c r="G46" s="430" t="str">
        <f>+'[2]MSFR Inc Stmt by Acct - SCH C.2'!I53</f>
        <v>Purchased Power</v>
      </c>
      <c r="H46" s="430"/>
      <c r="I46" s="602" t="str">
        <f>+'[2]MSFR Inc Stmt by Acct - SCH C.2'!K53</f>
        <v>615.8</v>
      </c>
      <c r="J46" s="430"/>
      <c r="L46" s="601">
        <f>+'[2]MSFR Inc Stmt by Acct - SCH C.2'!Q53</f>
        <v>0</v>
      </c>
    </row>
    <row r="47" spans="1:12" x14ac:dyDescent="0.2">
      <c r="A47" s="422"/>
      <c r="C47" s="430">
        <f>+'[2]MSFR Inc Stmt by Acct - SCH C.2'!E54</f>
        <v>0</v>
      </c>
      <c r="D47" s="430"/>
      <c r="E47" s="603">
        <f>+'[2]MSFR Inc Stmt by Acct - SCH C.2'!G54</f>
        <v>51510011</v>
      </c>
      <c r="F47" s="430"/>
      <c r="G47" s="430" t="str">
        <f>+'[2]MSFR Inc Stmt by Acct - SCH C.2'!I54</f>
        <v>Purchased Power SS</v>
      </c>
      <c r="H47" s="430"/>
      <c r="I47" s="602" t="str">
        <f>+'[2]MSFR Inc Stmt by Acct - SCH C.2'!K54</f>
        <v>615.1</v>
      </c>
      <c r="J47" s="430"/>
      <c r="L47" s="604">
        <f>+'[2]MSFR Inc Stmt by Acct - SCH C.2'!Q54</f>
        <v>197891.53705887147</v>
      </c>
    </row>
    <row r="48" spans="1:12" x14ac:dyDescent="0.2">
      <c r="A48" s="422"/>
      <c r="C48" s="430">
        <f>+'[2]MSFR Inc Stmt by Acct - SCH C.2'!E55</f>
        <v>0</v>
      </c>
      <c r="D48" s="430"/>
      <c r="E48" s="603">
        <f>+'[2]MSFR Inc Stmt by Acct - SCH C.2'!G55</f>
        <v>51510012</v>
      </c>
      <c r="F48" s="430"/>
      <c r="G48" s="430" t="str">
        <f>+'[2]MSFR Inc Stmt by Acct - SCH C.2'!I55</f>
        <v>Purchased Power P</v>
      </c>
      <c r="H48" s="430"/>
      <c r="I48" s="602" t="str">
        <f>+'[2]MSFR Inc Stmt by Acct - SCH C.2'!K55</f>
        <v>615.1</v>
      </c>
      <c r="J48" s="430"/>
      <c r="L48" s="606">
        <f>+'[2]MSFR Inc Stmt by Acct - SCH C.2'!Q55</f>
        <v>629804.90313564136</v>
      </c>
    </row>
    <row r="49" spans="1:12" x14ac:dyDescent="0.2">
      <c r="A49" s="422"/>
      <c r="C49" s="430">
        <f>+'[2]MSFR Inc Stmt by Acct - SCH C.2'!E56</f>
        <v>0</v>
      </c>
      <c r="D49" s="430"/>
      <c r="E49" s="603">
        <f>+'[2]MSFR Inc Stmt by Acct - SCH C.2'!G56</f>
        <v>51510013</v>
      </c>
      <c r="F49" s="430"/>
      <c r="G49" s="430" t="str">
        <f>+'[2]MSFR Inc Stmt by Acct - SCH C.2'!I56</f>
        <v>Purchased Power WT</v>
      </c>
      <c r="H49" s="430"/>
      <c r="I49" s="602" t="str">
        <f>+'[2]MSFR Inc Stmt by Acct - SCH C.2'!K56</f>
        <v>615.3</v>
      </c>
      <c r="J49" s="430"/>
      <c r="L49" s="609">
        <f>+'[2]MSFR Inc Stmt by Acct - SCH C.2'!Q56</f>
        <v>3295454.9182485961</v>
      </c>
    </row>
    <row r="50" spans="1:12" x14ac:dyDescent="0.2">
      <c r="A50" s="422"/>
      <c r="C50" s="430">
        <f>+'[2]MSFR Inc Stmt by Acct - SCH C.2'!E57</f>
        <v>0</v>
      </c>
      <c r="D50" s="430"/>
      <c r="E50" s="603">
        <f>+'[2]MSFR Inc Stmt by Acct - SCH C.2'!G57</f>
        <v>51510014</v>
      </c>
      <c r="F50" s="430"/>
      <c r="G50" s="430" t="str">
        <f>+'[2]MSFR Inc Stmt by Acct - SCH C.2'!I57</f>
        <v>Purchased Power TD</v>
      </c>
      <c r="H50" s="430"/>
      <c r="I50" s="602" t="str">
        <f>+'[2]MSFR Inc Stmt by Acct - SCH C.2'!K57</f>
        <v>615.5</v>
      </c>
      <c r="J50" s="430"/>
      <c r="L50" s="610">
        <f>+'[2]MSFR Inc Stmt by Acct - SCH C.2'!Q57</f>
        <v>-111564.35844310872</v>
      </c>
    </row>
    <row r="51" spans="1:12" x14ac:dyDescent="0.2">
      <c r="A51" s="422"/>
      <c r="C51" s="430">
        <f>+'[2]MSFR Inc Stmt by Acct - SCH C.2'!E58</f>
        <v>0</v>
      </c>
      <c r="D51" s="430"/>
      <c r="E51" s="603">
        <f>+'[2]MSFR Inc Stmt by Acct - SCH C.2'!G58</f>
        <v>51520000</v>
      </c>
      <c r="F51" s="430"/>
      <c r="G51" s="430" t="str">
        <f>+'[2]MSFR Inc Stmt by Acct - SCH C.2'!I58</f>
        <v>Fuel for Power Prod</v>
      </c>
      <c r="H51" s="430"/>
      <c r="I51" s="602" t="str">
        <f>+'[2]MSFR Inc Stmt by Acct - SCH C.2'!K58</f>
        <v>616.1</v>
      </c>
      <c r="J51" s="430"/>
      <c r="L51" s="601">
        <f>+'[2]MSFR Inc Stmt by Acct - SCH C.2'!Q58</f>
        <v>0</v>
      </c>
    </row>
    <row r="52" spans="1:12" x14ac:dyDescent="0.2">
      <c r="A52" s="422"/>
      <c r="C52" s="430">
        <f>+'[2]MSFR Inc Stmt by Acct - SCH C.2'!E59</f>
        <v>0</v>
      </c>
      <c r="D52" s="430"/>
      <c r="E52" s="603">
        <f>+'[2]MSFR Inc Stmt by Acct - SCH C.2'!G59</f>
        <v>0</v>
      </c>
      <c r="F52" s="430"/>
      <c r="G52" s="430">
        <f>+'[2]MSFR Inc Stmt by Acct - SCH C.2'!I59</f>
        <v>0</v>
      </c>
      <c r="H52" s="430"/>
      <c r="I52" s="602" t="str">
        <f>+'[2]MSFR Inc Stmt by Acct - SCH C.2'!K59</f>
        <v>Total</v>
      </c>
      <c r="J52" s="430"/>
      <c r="L52" s="601">
        <f>+'[2]MSFR Inc Stmt by Acct - SCH C.2'!Q59</f>
        <v>4011587</v>
      </c>
    </row>
    <row r="53" spans="1:12" x14ac:dyDescent="0.2">
      <c r="A53" s="422"/>
      <c r="C53" s="430">
        <f>+'[2]MSFR Inc Stmt by Acct - SCH C.2'!E60</f>
        <v>0</v>
      </c>
      <c r="D53" s="430"/>
      <c r="E53" s="603">
        <f>+'[2]MSFR Inc Stmt by Acct - SCH C.2'!G60</f>
        <v>0</v>
      </c>
      <c r="F53" s="430"/>
      <c r="G53" s="430">
        <f>+'[2]MSFR Inc Stmt by Acct - SCH C.2'!I60</f>
        <v>0</v>
      </c>
      <c r="H53" s="430"/>
      <c r="I53" s="602">
        <f>+'[2]MSFR Inc Stmt by Acct - SCH C.2'!K60</f>
        <v>0</v>
      </c>
      <c r="J53" s="430"/>
      <c r="L53" s="601">
        <f>+'[2]MSFR Inc Stmt by Acct - SCH C.2'!Q60</f>
        <v>0</v>
      </c>
    </row>
    <row r="54" spans="1:12" x14ac:dyDescent="0.2">
      <c r="A54" s="422"/>
      <c r="C54" s="430" t="str">
        <f>+'[2]MSFR Inc Stmt by Acct - SCH C.2'!E61</f>
        <v>Chemicals</v>
      </c>
      <c r="D54" s="430"/>
      <c r="E54" s="603">
        <f>+'[2]MSFR Inc Stmt by Acct - SCH C.2'!G61</f>
        <v>51800000</v>
      </c>
      <c r="F54" s="430"/>
      <c r="G54" s="430" t="str">
        <f>+'[2]MSFR Inc Stmt by Acct - SCH C.2'!I61</f>
        <v>Chemicals</v>
      </c>
      <c r="H54" s="430"/>
      <c r="I54" s="602" t="str">
        <f>+'[2]MSFR Inc Stmt by Acct - SCH C.2'!K61</f>
        <v>618.3</v>
      </c>
      <c r="J54" s="430"/>
      <c r="L54" s="609">
        <f>+'[2]MSFR Inc Stmt by Acct - SCH C.2'!Q61</f>
        <v>1768379</v>
      </c>
    </row>
    <row r="55" spans="1:12" x14ac:dyDescent="0.2">
      <c r="A55" s="422"/>
      <c r="C55" s="430">
        <f>+'[2]MSFR Inc Stmt by Acct - SCH C.2'!E62</f>
        <v>0</v>
      </c>
      <c r="D55" s="430"/>
      <c r="E55" s="603">
        <f>+'[2]MSFR Inc Stmt by Acct - SCH C.2'!G62</f>
        <v>0</v>
      </c>
      <c r="F55" s="430"/>
      <c r="G55" s="430">
        <f>+'[2]MSFR Inc Stmt by Acct - SCH C.2'!I62</f>
        <v>0</v>
      </c>
      <c r="H55" s="430"/>
      <c r="I55" s="602" t="str">
        <f>+'[2]MSFR Inc Stmt by Acct - SCH C.2'!K62</f>
        <v>Total</v>
      </c>
      <c r="J55" s="430"/>
      <c r="L55" s="609">
        <f>+'[2]MSFR Inc Stmt by Acct - SCH C.2'!Q62</f>
        <v>1768379</v>
      </c>
    </row>
    <row r="56" spans="1:12" x14ac:dyDescent="0.2">
      <c r="A56" s="422"/>
      <c r="C56" s="430">
        <f>+'[2]MSFR Inc Stmt by Acct - SCH C.2'!E63</f>
        <v>0</v>
      </c>
      <c r="D56" s="430"/>
      <c r="E56" s="603">
        <f>+'[2]MSFR Inc Stmt by Acct - SCH C.2'!G63</f>
        <v>0</v>
      </c>
      <c r="F56" s="430"/>
      <c r="G56" s="430">
        <f>+'[2]MSFR Inc Stmt by Acct - SCH C.2'!I63</f>
        <v>0</v>
      </c>
      <c r="H56" s="430"/>
      <c r="I56" s="602">
        <f>+'[2]MSFR Inc Stmt by Acct - SCH C.2'!K63</f>
        <v>0</v>
      </c>
      <c r="J56" s="430"/>
      <c r="L56" s="601">
        <f>+'[2]MSFR Inc Stmt by Acct - SCH C.2'!Q63</f>
        <v>0</v>
      </c>
    </row>
    <row r="57" spans="1:12" x14ac:dyDescent="0.2">
      <c r="A57" s="422"/>
      <c r="C57" s="430" t="str">
        <f>+'[2]MSFR Inc Stmt by Acct - SCH C.2'!E64</f>
        <v>Waste disposal</v>
      </c>
      <c r="D57" s="430"/>
      <c r="E57" s="603">
        <f>+'[2]MSFR Inc Stmt by Acct - SCH C.2'!G64</f>
        <v>51110000</v>
      </c>
      <c r="F57" s="430"/>
      <c r="G57" s="430" t="str">
        <f>+'[2]MSFR Inc Stmt by Acct - SCH C.2'!I64</f>
        <v>Waste Disposal</v>
      </c>
      <c r="H57" s="430"/>
      <c r="I57" s="602" t="str">
        <f>+'[2]MSFR Inc Stmt by Acct - SCH C.2'!K64</f>
        <v>675.3</v>
      </c>
      <c r="J57" s="430"/>
      <c r="L57" s="609">
        <f>+'[2]MSFR Inc Stmt by Acct - SCH C.2'!Q64</f>
        <v>274562.87253559247</v>
      </c>
    </row>
    <row r="58" spans="1:12" x14ac:dyDescent="0.2">
      <c r="A58" s="422"/>
      <c r="C58" s="430">
        <f>+'[2]MSFR Inc Stmt by Acct - SCH C.2'!E65</f>
        <v>0</v>
      </c>
      <c r="D58" s="430"/>
      <c r="E58" s="603">
        <f>+'[2]MSFR Inc Stmt by Acct - SCH C.2'!G65</f>
        <v>51120000</v>
      </c>
      <c r="F58" s="430"/>
      <c r="G58" s="430" t="str">
        <f>+'[2]MSFR Inc Stmt by Acct - SCH C.2'!I65</f>
        <v>Amort Waste Disposal</v>
      </c>
      <c r="H58" s="430"/>
      <c r="I58" s="602" t="str">
        <f>+'[2]MSFR Inc Stmt by Acct - SCH C.2'!K65</f>
        <v>675.3</v>
      </c>
      <c r="J58" s="430"/>
      <c r="L58" s="609">
        <f>+'[2]MSFR Inc Stmt by Acct - SCH C.2'!Q65</f>
        <v>102817.12746440755</v>
      </c>
    </row>
    <row r="59" spans="1:12" x14ac:dyDescent="0.2">
      <c r="A59" s="422"/>
      <c r="C59" s="430">
        <f>+'[2]MSFR Inc Stmt by Acct - SCH C.2'!E66</f>
        <v>0</v>
      </c>
      <c r="D59" s="430"/>
      <c r="E59" s="603">
        <f>+'[2]MSFR Inc Stmt by Acct - SCH C.2'!G66</f>
        <v>0</v>
      </c>
      <c r="F59" s="430"/>
      <c r="G59" s="430">
        <f>+'[2]MSFR Inc Stmt by Acct - SCH C.2'!I66</f>
        <v>0</v>
      </c>
      <c r="H59" s="430"/>
      <c r="I59" s="602" t="str">
        <f>+'[2]MSFR Inc Stmt by Acct - SCH C.2'!K66</f>
        <v>Total</v>
      </c>
      <c r="J59" s="430"/>
      <c r="L59" s="609">
        <f>+'[2]MSFR Inc Stmt by Acct - SCH C.2'!Q66</f>
        <v>377380</v>
      </c>
    </row>
    <row r="60" spans="1:12" x14ac:dyDescent="0.2">
      <c r="A60" s="422"/>
      <c r="C60" s="430">
        <f>+'[2]MSFR Inc Stmt by Acct - SCH C.2'!E67</f>
        <v>0</v>
      </c>
      <c r="D60" s="430"/>
      <c r="E60" s="603">
        <f>+'[2]MSFR Inc Stmt by Acct - SCH C.2'!G67</f>
        <v>0</v>
      </c>
      <c r="F60" s="430"/>
      <c r="G60" s="430">
        <f>+'[2]MSFR Inc Stmt by Acct - SCH C.2'!I67</f>
        <v>0</v>
      </c>
      <c r="H60" s="430"/>
      <c r="I60" s="602">
        <f>+'[2]MSFR Inc Stmt by Acct - SCH C.2'!K67</f>
        <v>0</v>
      </c>
      <c r="J60" s="430"/>
      <c r="L60" s="601">
        <f>+'[2]MSFR Inc Stmt by Acct - SCH C.2'!Q67</f>
        <v>0</v>
      </c>
    </row>
    <row r="61" spans="1:12" x14ac:dyDescent="0.2">
      <c r="A61" s="422"/>
      <c r="C61" s="430" t="str">
        <f>+'[2]MSFR Inc Stmt by Acct - SCH C.2'!E68</f>
        <v>Salaries and wages</v>
      </c>
      <c r="D61" s="430"/>
      <c r="E61" s="603">
        <f>+'[2]MSFR Inc Stmt by Acct - SCH C.2'!G68</f>
        <v>50100000</v>
      </c>
      <c r="F61" s="430"/>
      <c r="G61" s="430" t="str">
        <f>+'[2]MSFR Inc Stmt by Acct - SCH C.2'!I68</f>
        <v>Labor Expense</v>
      </c>
      <c r="H61" s="430"/>
      <c r="I61" s="602" t="str">
        <f>+'[2]MSFR Inc Stmt by Acct - SCH C.2'!K68</f>
        <v>601.8</v>
      </c>
      <c r="J61" s="430"/>
      <c r="L61" s="601">
        <f>+'[2]MSFR Inc Stmt by Acct - SCH C.2'!Q68</f>
        <v>0</v>
      </c>
    </row>
    <row r="62" spans="1:12" x14ac:dyDescent="0.2">
      <c r="A62" s="422"/>
      <c r="C62" s="430">
        <f>+'[2]MSFR Inc Stmt by Acct - SCH C.2'!E69</f>
        <v>0</v>
      </c>
      <c r="D62" s="430"/>
      <c r="E62" s="603">
        <f>+'[2]MSFR Inc Stmt by Acct - SCH C.2'!G69</f>
        <v>50100001</v>
      </c>
      <c r="F62" s="430"/>
      <c r="G62" s="430" t="str">
        <f>+'[2]MSFR Inc Stmt by Acct - SCH C.2'!I69</f>
        <v>Labor ExpenseAccrual</v>
      </c>
      <c r="H62" s="430"/>
      <c r="I62" s="602" t="str">
        <f>+'[2]MSFR Inc Stmt by Acct - SCH C.2'!K69</f>
        <v>601.8</v>
      </c>
      <c r="J62" s="430"/>
      <c r="L62" s="601">
        <f>+'[2]MSFR Inc Stmt by Acct - SCH C.2'!Q69</f>
        <v>0</v>
      </c>
    </row>
    <row r="63" spans="1:12" x14ac:dyDescent="0.2">
      <c r="A63" s="422"/>
      <c r="C63" s="430">
        <f>+'[2]MSFR Inc Stmt by Acct - SCH C.2'!E70</f>
        <v>0</v>
      </c>
      <c r="D63" s="430"/>
      <c r="E63" s="603">
        <f>+'[2]MSFR Inc Stmt by Acct - SCH C.2'!G70</f>
        <v>50101210</v>
      </c>
      <c r="F63" s="430"/>
      <c r="G63" s="430" t="str">
        <f>+'[2]MSFR Inc Stmt by Acct - SCH C.2'!I70</f>
        <v>Labor Oper P PwrProd</v>
      </c>
      <c r="H63" s="430"/>
      <c r="I63" s="602" t="str">
        <f>+'[2]MSFR Inc Stmt by Acct - SCH C.2'!K70</f>
        <v>601.1</v>
      </c>
      <c r="J63" s="430"/>
      <c r="L63" s="601">
        <f>+'[2]MSFR Inc Stmt by Acct - SCH C.2'!Q70</f>
        <v>0</v>
      </c>
    </row>
    <row r="64" spans="1:12" x14ac:dyDescent="0.2">
      <c r="A64" s="422"/>
      <c r="C64" s="430">
        <f>+'[2]MSFR Inc Stmt by Acct - SCH C.2'!E71</f>
        <v>0</v>
      </c>
      <c r="D64" s="430"/>
      <c r="E64" s="603">
        <f>+'[2]MSFR Inc Stmt by Acct - SCH C.2'!G71</f>
        <v>50101300</v>
      </c>
      <c r="F64" s="430"/>
      <c r="G64" s="430" t="str">
        <f>+'[2]MSFR Inc Stmt by Acct - SCH C.2'!I71</f>
        <v>Labor Oper WT</v>
      </c>
      <c r="H64" s="430"/>
      <c r="I64" s="602" t="str">
        <f>+'[2]MSFR Inc Stmt by Acct - SCH C.2'!K71</f>
        <v>601.3</v>
      </c>
      <c r="J64" s="418">
        <v>-518244.754179521</v>
      </c>
      <c r="L64" s="609">
        <f>+'[2]MSFR Inc Stmt by Acct - SCH C.2'!Q71+J64</f>
        <v>2143580.8479938079</v>
      </c>
    </row>
    <row r="65" spans="1:12" x14ac:dyDescent="0.2">
      <c r="A65" s="422"/>
      <c r="C65" s="430">
        <f>+'[2]MSFR Inc Stmt by Acct - SCH C.2'!E72</f>
        <v>0</v>
      </c>
      <c r="D65" s="430"/>
      <c r="E65" s="603">
        <f>+'[2]MSFR Inc Stmt by Acct - SCH C.2'!G72</f>
        <v>50101305</v>
      </c>
      <c r="F65" s="430"/>
      <c r="G65" s="430" t="str">
        <f>+'[2]MSFR Inc Stmt by Acct - SCH C.2'!I72</f>
        <v>Labor Oper WT SupEng</v>
      </c>
      <c r="H65" s="430"/>
      <c r="I65" s="602" t="str">
        <f>+'[2]MSFR Inc Stmt by Acct - SCH C.2'!K72</f>
        <v>601.3</v>
      </c>
      <c r="J65" s="418">
        <v>-41938.592450989039</v>
      </c>
      <c r="L65" s="609">
        <f>+'[2]MSFR Inc Stmt by Acct - SCH C.2'!Q72+J65</f>
        <v>173467.77337299724</v>
      </c>
    </row>
    <row r="66" spans="1:12" x14ac:dyDescent="0.2">
      <c r="A66" s="422"/>
      <c r="C66" s="430">
        <f>+'[2]MSFR Inc Stmt by Acct - SCH C.2'!E73</f>
        <v>0</v>
      </c>
      <c r="D66" s="430"/>
      <c r="E66" s="603">
        <f>+'[2]MSFR Inc Stmt by Acct - SCH C.2'!G73</f>
        <v>50101400</v>
      </c>
      <c r="F66" s="430"/>
      <c r="G66" s="430" t="str">
        <f>+'[2]MSFR Inc Stmt by Acct - SCH C.2'!I73</f>
        <v>Labor Oper TD</v>
      </c>
      <c r="H66" s="430"/>
      <c r="I66" s="602" t="str">
        <f>+'[2]MSFR Inc Stmt by Acct - SCH C.2'!K73</f>
        <v>601.5</v>
      </c>
      <c r="J66" s="418">
        <v>-102849.15512117412</v>
      </c>
      <c r="L66" s="610">
        <f>+'[2]MSFR Inc Stmt by Acct - SCH C.2'!Q73+J66</f>
        <v>425408.0284886462</v>
      </c>
    </row>
    <row r="67" spans="1:12" x14ac:dyDescent="0.2">
      <c r="A67" s="422"/>
      <c r="C67" s="430">
        <f>+'[2]MSFR Inc Stmt by Acct - SCH C.2'!E74</f>
        <v>0</v>
      </c>
      <c r="D67" s="430"/>
      <c r="E67" s="603">
        <f>+'[2]MSFR Inc Stmt by Acct - SCH C.2'!G74</f>
        <v>50101405</v>
      </c>
      <c r="F67" s="430"/>
      <c r="G67" s="430" t="str">
        <f>+'[2]MSFR Inc Stmt by Acct - SCH C.2'!I74</f>
        <v>Labor Oper TD SupEng</v>
      </c>
      <c r="H67" s="430"/>
      <c r="I67" s="602" t="str">
        <f>+'[2]MSFR Inc Stmt by Acct - SCH C.2'!K74</f>
        <v>601.5</v>
      </c>
      <c r="J67" s="418">
        <v>-16906.346356268743</v>
      </c>
      <c r="L67" s="610">
        <f>+'[2]MSFR Inc Stmt by Acct - SCH C.2'!Q74+J67</f>
        <v>69928.580977577905</v>
      </c>
    </row>
    <row r="68" spans="1:12" x14ac:dyDescent="0.2">
      <c r="A68" s="422"/>
      <c r="C68" s="430">
        <f>+'[2]MSFR Inc Stmt by Acct - SCH C.2'!E75</f>
        <v>0</v>
      </c>
      <c r="D68" s="430"/>
      <c r="E68" s="603">
        <f>+'[2]MSFR Inc Stmt by Acct - SCH C.2'!G75</f>
        <v>50101415</v>
      </c>
      <c r="F68" s="430"/>
      <c r="G68" s="430" t="str">
        <f>+'[2]MSFR Inc Stmt by Acct - SCH C.2'!I75</f>
        <v>Labor Oper TD Lines</v>
      </c>
      <c r="H68" s="430"/>
      <c r="I68" s="602" t="str">
        <f>+'[2]MSFR Inc Stmt by Acct - SCH C.2'!K75</f>
        <v>601.5</v>
      </c>
      <c r="J68" s="418">
        <v>-18376.759034277129</v>
      </c>
      <c r="L68" s="610">
        <f>+'[2]MSFR Inc Stmt by Acct - SCH C.2'!Q75+J68</f>
        <v>76010.549834582896</v>
      </c>
    </row>
    <row r="69" spans="1:12" x14ac:dyDescent="0.2">
      <c r="A69" s="422"/>
      <c r="C69" s="430">
        <f>+'[2]MSFR Inc Stmt by Acct - SCH C.2'!E76</f>
        <v>0</v>
      </c>
      <c r="D69" s="430"/>
      <c r="E69" s="603">
        <f>+'[2]MSFR Inc Stmt by Acct - SCH C.2'!G76</f>
        <v>50101420</v>
      </c>
      <c r="F69" s="430"/>
      <c r="G69" s="430" t="str">
        <f>+'[2]MSFR Inc Stmt by Acct - SCH C.2'!I76</f>
        <v>Labor Oper TD Meter</v>
      </c>
      <c r="H69" s="430"/>
      <c r="I69" s="602" t="str">
        <f>+'[2]MSFR Inc Stmt by Acct - SCH C.2'!K76</f>
        <v>601.5</v>
      </c>
      <c r="J69" s="418">
        <v>-182624.76014452099</v>
      </c>
      <c r="L69" s="610">
        <f>+'[2]MSFR Inc Stmt by Acct - SCH C.2'!Q76+J69</f>
        <v>755378.48682140606</v>
      </c>
    </row>
    <row r="70" spans="1:12" x14ac:dyDescent="0.2">
      <c r="A70" s="422"/>
      <c r="C70" s="430">
        <f>+'[2]MSFR Inc Stmt by Acct - SCH C.2'!E77</f>
        <v>0</v>
      </c>
      <c r="D70" s="430"/>
      <c r="E70" s="603">
        <f>+'[2]MSFR Inc Stmt by Acct - SCH C.2'!G77</f>
        <v>50101500</v>
      </c>
      <c r="F70" s="430"/>
      <c r="G70" s="430" t="str">
        <f>+'[2]MSFR Inc Stmt by Acct - SCH C.2'!I77</f>
        <v>Labor Oper CA</v>
      </c>
      <c r="H70" s="430"/>
      <c r="I70" s="602" t="str">
        <f>+'[2]MSFR Inc Stmt by Acct - SCH C.2'!K77</f>
        <v>601.7</v>
      </c>
      <c r="J70" s="418">
        <v>-5677.6842623728553</v>
      </c>
      <c r="L70" s="608">
        <f>+'[2]MSFR Inc Stmt by Acct - SCH C.2'!Q77+J70</f>
        <v>23484.222749242519</v>
      </c>
    </row>
    <row r="71" spans="1:12" x14ac:dyDescent="0.2">
      <c r="A71" s="422"/>
      <c r="C71" s="430">
        <f>+'[2]MSFR Inc Stmt by Acct - SCH C.2'!E78</f>
        <v>0</v>
      </c>
      <c r="D71" s="430"/>
      <c r="E71" s="603">
        <f>+'[2]MSFR Inc Stmt by Acct - SCH C.2'!G78</f>
        <v>50101510</v>
      </c>
      <c r="F71" s="430"/>
      <c r="G71" s="430" t="str">
        <f>+'[2]MSFR Inc Stmt by Acct - SCH C.2'!I78</f>
        <v>Labor Oper CA MtrRd</v>
      </c>
      <c r="H71" s="430"/>
      <c r="I71" s="602" t="str">
        <f>+'[2]MSFR Inc Stmt by Acct - SCH C.2'!K78</f>
        <v>601.7</v>
      </c>
      <c r="J71" s="418">
        <v>-66996.179831879315</v>
      </c>
      <c r="L71" s="608">
        <f>+'[2]MSFR Inc Stmt by Acct - SCH C.2'!Q78+J71</f>
        <v>277111.78322244651</v>
      </c>
    </row>
    <row r="72" spans="1:12" x14ac:dyDescent="0.2">
      <c r="A72" s="422"/>
      <c r="C72" s="430">
        <f>+'[2]MSFR Inc Stmt by Acct - SCH C.2'!E79</f>
        <v>0</v>
      </c>
      <c r="D72" s="430"/>
      <c r="E72" s="603">
        <f>+'[2]MSFR Inc Stmt by Acct - SCH C.2'!G79</f>
        <v>50101515</v>
      </c>
      <c r="F72" s="430"/>
      <c r="G72" s="430" t="str">
        <f>+'[2]MSFR Inc Stmt by Acct - SCH C.2'!I79</f>
        <v>Labor Oper CA CstRec</v>
      </c>
      <c r="H72" s="430"/>
      <c r="I72" s="602" t="str">
        <f>+'[2]MSFR Inc Stmt by Acct - SCH C.2'!K79</f>
        <v>601.7</v>
      </c>
      <c r="J72" s="418">
        <v>0</v>
      </c>
      <c r="L72" s="608">
        <f>+'[2]MSFR Inc Stmt by Acct - SCH C.2'!Q79+J72</f>
        <v>0</v>
      </c>
    </row>
    <row r="73" spans="1:12" x14ac:dyDescent="0.2">
      <c r="A73" s="422"/>
      <c r="C73" s="430">
        <f>+'[2]MSFR Inc Stmt by Acct - SCH C.2'!E80</f>
        <v>0</v>
      </c>
      <c r="D73" s="430"/>
      <c r="E73" s="603">
        <f>+'[2]MSFR Inc Stmt by Acct - SCH C.2'!G80</f>
        <v>50101520</v>
      </c>
      <c r="F73" s="430"/>
      <c r="G73" s="430" t="str">
        <f>+'[2]MSFR Inc Stmt by Acct - SCH C.2'!I80</f>
        <v>Labor Oper CA CstSrv</v>
      </c>
      <c r="H73" s="430"/>
      <c r="I73" s="602" t="str">
        <f>+'[2]MSFR Inc Stmt by Acct - SCH C.2'!K80</f>
        <v>601.7</v>
      </c>
      <c r="J73" s="418">
        <v>-63964.496693740941</v>
      </c>
      <c r="L73" s="608">
        <f>+'[2]MSFR Inc Stmt by Acct - SCH C.2'!Q80+J73</f>
        <v>264572.03658789012</v>
      </c>
    </row>
    <row r="74" spans="1:12" x14ac:dyDescent="0.2">
      <c r="A74" s="422"/>
      <c r="C74" s="430">
        <f>+'[2]MSFR Inc Stmt by Acct - SCH C.2'!E81</f>
        <v>0</v>
      </c>
      <c r="D74" s="430"/>
      <c r="E74" s="603">
        <f>+'[2]MSFR Inc Stmt by Acct - SCH C.2'!G81</f>
        <v>50101600</v>
      </c>
      <c r="F74" s="430"/>
      <c r="G74" s="430" t="str">
        <f>+'[2]MSFR Inc Stmt by Acct - SCH C.2'!I81</f>
        <v>Labor Oper AG</v>
      </c>
      <c r="H74" s="430"/>
      <c r="I74" s="602" t="str">
        <f>+'[2]MSFR Inc Stmt by Acct - SCH C.2'!K81</f>
        <v>601.8</v>
      </c>
      <c r="J74" s="418">
        <v>-243321.46708263757</v>
      </c>
      <c r="L74" s="607">
        <f>+'[2]MSFR Inc Stmt by Acct - SCH C.2'!Q81+J74</f>
        <v>1006434.1848859731</v>
      </c>
    </row>
    <row r="75" spans="1:12" x14ac:dyDescent="0.2">
      <c r="A75" s="422"/>
      <c r="C75" s="430">
        <f>+'[2]MSFR Inc Stmt by Acct - SCH C.2'!E82</f>
        <v>0</v>
      </c>
      <c r="D75" s="430"/>
      <c r="E75" s="603">
        <f>+'[2]MSFR Inc Stmt by Acct - SCH C.2'!G82</f>
        <v>50102215</v>
      </c>
      <c r="F75" s="430"/>
      <c r="G75" s="430" t="str">
        <f>+'[2]MSFR Inc Stmt by Acct - SCH C.2'!I82</f>
        <v>Labor Mnt P PwrProd</v>
      </c>
      <c r="H75" s="430"/>
      <c r="I75" s="602" t="str">
        <f>+'[2]MSFR Inc Stmt by Acct - SCH C.2'!K82</f>
        <v>601.2</v>
      </c>
      <c r="J75" s="418">
        <v>0</v>
      </c>
      <c r="L75" s="606">
        <f>+'[2]MSFR Inc Stmt by Acct - SCH C.2'!Q82+J75</f>
        <v>0</v>
      </c>
    </row>
    <row r="76" spans="1:12" x14ac:dyDescent="0.2">
      <c r="A76" s="422"/>
      <c r="C76" s="430">
        <f>+'[2]MSFR Inc Stmt by Acct - SCH C.2'!E83</f>
        <v>0</v>
      </c>
      <c r="D76" s="430"/>
      <c r="E76" s="603">
        <f>+'[2]MSFR Inc Stmt by Acct - SCH C.2'!G83</f>
        <v>50102300</v>
      </c>
      <c r="F76" s="430"/>
      <c r="G76" s="430" t="str">
        <f>+'[2]MSFR Inc Stmt by Acct - SCH C.2'!I83</f>
        <v>Labor Maint WT</v>
      </c>
      <c r="H76" s="430"/>
      <c r="I76" s="602" t="str">
        <f>+'[2]MSFR Inc Stmt by Acct - SCH C.2'!K83</f>
        <v>601.4</v>
      </c>
      <c r="J76" s="418">
        <v>-41320.512300502116</v>
      </c>
      <c r="L76" s="609">
        <f>+'[2]MSFR Inc Stmt by Acct - SCH C.2'!Q83+J76</f>
        <v>170911.25010397454</v>
      </c>
    </row>
    <row r="77" spans="1:12" x14ac:dyDescent="0.2">
      <c r="A77" s="422"/>
      <c r="C77" s="430">
        <f>+'[2]MSFR Inc Stmt by Acct - SCH C.2'!E84</f>
        <v>0</v>
      </c>
      <c r="D77" s="430"/>
      <c r="E77" s="603">
        <f>+'[2]MSFR Inc Stmt by Acct - SCH C.2'!G84</f>
        <v>50102400</v>
      </c>
      <c r="F77" s="430"/>
      <c r="G77" s="430" t="str">
        <f>+'[2]MSFR Inc Stmt by Acct - SCH C.2'!I84</f>
        <v>Labor Maint TD</v>
      </c>
      <c r="H77" s="430"/>
      <c r="I77" s="602" t="str">
        <f>+'[2]MSFR Inc Stmt by Acct - SCH C.2'!K84</f>
        <v>601.6</v>
      </c>
      <c r="J77" s="418">
        <v>-137208.84876689254</v>
      </c>
      <c r="L77" s="610">
        <f>+'[2]MSFR Inc Stmt by Acct - SCH C.2'!Q84+J77</f>
        <v>567527.71353688708</v>
      </c>
    </row>
    <row r="78" spans="1:12" x14ac:dyDescent="0.2">
      <c r="A78" s="422"/>
      <c r="C78" s="430">
        <f>+'[2]MSFR Inc Stmt by Acct - SCH C.2'!E85</f>
        <v>0</v>
      </c>
      <c r="D78" s="430"/>
      <c r="E78" s="603">
        <f>+'[2]MSFR Inc Stmt by Acct - SCH C.2'!G85</f>
        <v>50102410</v>
      </c>
      <c r="F78" s="430"/>
      <c r="G78" s="430" t="str">
        <f>+'[2]MSFR Inc Stmt by Acct - SCH C.2'!I85</f>
        <v>Labor Mnt TD Str&amp;Imp</v>
      </c>
      <c r="H78" s="430"/>
      <c r="I78" s="602" t="str">
        <f>+'[2]MSFR Inc Stmt by Acct - SCH C.2'!K85</f>
        <v>601.6</v>
      </c>
      <c r="J78" s="418">
        <v>0</v>
      </c>
      <c r="L78" s="610">
        <f>+'[2]MSFR Inc Stmt by Acct - SCH C.2'!Q85+J78</f>
        <v>0</v>
      </c>
    </row>
    <row r="79" spans="1:12" x14ac:dyDescent="0.2">
      <c r="A79" s="422"/>
      <c r="C79" s="430">
        <f>+'[2]MSFR Inc Stmt by Acct - SCH C.2'!E86</f>
        <v>0</v>
      </c>
      <c r="D79" s="430"/>
      <c r="E79" s="603">
        <f>+'[2]MSFR Inc Stmt by Acct - SCH C.2'!G86</f>
        <v>50102420</v>
      </c>
      <c r="F79" s="430"/>
      <c r="G79" s="430" t="str">
        <f>+'[2]MSFR Inc Stmt by Acct - SCH C.2'!I86</f>
        <v>Labor Mnt TD Mains</v>
      </c>
      <c r="H79" s="430"/>
      <c r="I79" s="602" t="str">
        <f>+'[2]MSFR Inc Stmt by Acct - SCH C.2'!K86</f>
        <v>601.6</v>
      </c>
      <c r="J79" s="418">
        <v>-17614.666208726758</v>
      </c>
      <c r="L79" s="610">
        <f>+'[2]MSFR Inc Stmt by Acct - SCH C.2'!Q86+J79</f>
        <v>72858.356643877909</v>
      </c>
    </row>
    <row r="80" spans="1:12" x14ac:dyDescent="0.2">
      <c r="A80" s="422"/>
      <c r="C80" s="430">
        <f>+'[2]MSFR Inc Stmt by Acct - SCH C.2'!E87</f>
        <v>0</v>
      </c>
      <c r="D80" s="430"/>
      <c r="E80" s="603">
        <f>+'[2]MSFR Inc Stmt by Acct - SCH C.2'!G87</f>
        <v>50102425</v>
      </c>
      <c r="F80" s="430"/>
      <c r="G80" s="430" t="str">
        <f>+'[2]MSFR Inc Stmt by Acct - SCH C.2'!I87</f>
        <v>Labor Mnt TD FireMn</v>
      </c>
      <c r="H80" s="430"/>
      <c r="I80" s="602" t="str">
        <f>+'[2]MSFR Inc Stmt by Acct - SCH C.2'!K87</f>
        <v>601.6</v>
      </c>
      <c r="J80" s="418">
        <v>0</v>
      </c>
      <c r="L80" s="601">
        <f>+'[2]MSFR Inc Stmt by Acct - SCH C.2'!Q87+J80</f>
        <v>0</v>
      </c>
    </row>
    <row r="81" spans="1:14" x14ac:dyDescent="0.2">
      <c r="A81" s="422"/>
      <c r="C81" s="430">
        <f>+'[2]MSFR Inc Stmt by Acct - SCH C.2'!E88</f>
        <v>0</v>
      </c>
      <c r="D81" s="430"/>
      <c r="E81" s="603">
        <f>+'[2]MSFR Inc Stmt by Acct - SCH C.2'!G88</f>
        <v>50102430</v>
      </c>
      <c r="F81" s="430"/>
      <c r="G81" s="430" t="str">
        <f>+'[2]MSFR Inc Stmt by Acct - SCH C.2'!I88</f>
        <v>Labor Mnt TD Service</v>
      </c>
      <c r="H81" s="430"/>
      <c r="I81" s="602" t="str">
        <f>+'[2]MSFR Inc Stmt by Acct - SCH C.2'!K88</f>
        <v>601.6</v>
      </c>
      <c r="J81" s="418">
        <v>-55344.132834899858</v>
      </c>
      <c r="L81" s="610">
        <f>+'[2]MSFR Inc Stmt by Acct - SCH C.2'!Q88+J81</f>
        <v>228916.20655483057</v>
      </c>
    </row>
    <row r="82" spans="1:14" x14ac:dyDescent="0.2">
      <c r="A82" s="422"/>
      <c r="C82" s="430">
        <f>+'[2]MSFR Inc Stmt by Acct - SCH C.2'!E89</f>
        <v>0</v>
      </c>
      <c r="D82" s="430"/>
      <c r="E82" s="603">
        <f>+'[2]MSFR Inc Stmt by Acct - SCH C.2'!G89</f>
        <v>50102435</v>
      </c>
      <c r="F82" s="430"/>
      <c r="G82" s="430" t="str">
        <f>+'[2]MSFR Inc Stmt by Acct - SCH C.2'!I89</f>
        <v>Labor Mnt TD Meter</v>
      </c>
      <c r="H82" s="430"/>
      <c r="I82" s="602" t="str">
        <f>+'[2]MSFR Inc Stmt by Acct - SCH C.2'!K89</f>
        <v>601.6</v>
      </c>
      <c r="J82" s="418">
        <v>-26168.895491465748</v>
      </c>
      <c r="L82" s="610">
        <f>+'[2]MSFR Inc Stmt by Acct - SCH C.2'!Q89+J82</f>
        <v>108240.63868715207</v>
      </c>
    </row>
    <row r="83" spans="1:14" x14ac:dyDescent="0.2">
      <c r="A83" s="422"/>
      <c r="C83" s="430">
        <f>+'[2]MSFR Inc Stmt by Acct - SCH C.2'!E90</f>
        <v>0</v>
      </c>
      <c r="D83" s="430"/>
      <c r="E83" s="603">
        <f>+'[2]MSFR Inc Stmt by Acct - SCH C.2'!G90</f>
        <v>50102440</v>
      </c>
      <c r="F83" s="430"/>
      <c r="G83" s="430" t="str">
        <f>+'[2]MSFR Inc Stmt by Acct - SCH C.2'!I90</f>
        <v>Labor Mnt TD Hydrant</v>
      </c>
      <c r="H83" s="430"/>
      <c r="I83" s="602" t="str">
        <f>+'[2]MSFR Inc Stmt by Acct - SCH C.2'!K90</f>
        <v>601.6</v>
      </c>
      <c r="J83" s="418">
        <v>-20590.722133321284</v>
      </c>
      <c r="L83" s="610">
        <f>+'[2]MSFR Inc Stmt by Acct - SCH C.2'!Q90+J83</f>
        <v>85168.016184222215</v>
      </c>
    </row>
    <row r="84" spans="1:14" x14ac:dyDescent="0.2">
      <c r="A84" s="422"/>
      <c r="C84" s="430">
        <f>+'[2]MSFR Inc Stmt by Acct - SCH C.2'!E91</f>
        <v>0</v>
      </c>
      <c r="D84" s="430"/>
      <c r="E84" s="603">
        <f>+'[2]MSFR Inc Stmt by Acct - SCH C.2'!G91</f>
        <v>50109900</v>
      </c>
      <c r="F84" s="430"/>
      <c r="G84" s="430" t="str">
        <f>+'[2]MSFR Inc Stmt by Acct - SCH C.2'!I91</f>
        <v>Labor Cap Credits</v>
      </c>
      <c r="H84" s="430"/>
      <c r="I84" s="602" t="str">
        <f>+'[2]MSFR Inc Stmt by Acct - SCH C.2'!K91</f>
        <v>601.8</v>
      </c>
      <c r="J84" s="430">
        <f>SUM(J64:J83)</f>
        <v>-1559147.9728931899</v>
      </c>
      <c r="L84" s="607">
        <f>+'[2]MSFR Inc Stmt by Acct - SCH C.2'!Q91-J84</f>
        <v>-2662.3454363995697</v>
      </c>
      <c r="M84" s="418">
        <f>SUM(L64:L83)</f>
        <v>6448998.6766455155</v>
      </c>
      <c r="N84" s="418">
        <f>SUM(J64:J83)</f>
        <v>-1559147.9728931899</v>
      </c>
    </row>
    <row r="85" spans="1:14" x14ac:dyDescent="0.2">
      <c r="A85" s="422"/>
      <c r="C85" s="430">
        <f>+'[2]MSFR Inc Stmt by Acct - SCH C.2'!E92</f>
        <v>0</v>
      </c>
      <c r="D85" s="430"/>
      <c r="E85" s="603">
        <f>+'[2]MSFR Inc Stmt by Acct - SCH C.2'!G92</f>
        <v>50110000</v>
      </c>
      <c r="F85" s="430"/>
      <c r="G85" s="430" t="str">
        <f>+'[2]MSFR Inc Stmt by Acct - SCH C.2'!I92</f>
        <v>Labor NS OT -Natural</v>
      </c>
      <c r="H85" s="430"/>
      <c r="I85" s="602" t="str">
        <f>+'[2]MSFR Inc Stmt by Acct - SCH C.2'!K92</f>
        <v>601.8</v>
      </c>
      <c r="J85" s="430"/>
      <c r="L85" s="601">
        <f>+'[2]MSFR Inc Stmt by Acct - SCH C.2'!Q92</f>
        <v>0</v>
      </c>
    </row>
    <row r="86" spans="1:14" x14ac:dyDescent="0.2">
      <c r="A86" s="422"/>
      <c r="C86" s="430">
        <f>+'[2]MSFR Inc Stmt by Acct - SCH C.2'!E93</f>
        <v>0</v>
      </c>
      <c r="D86" s="430"/>
      <c r="E86" s="603">
        <f>+'[2]MSFR Inc Stmt by Acct - SCH C.2'!G93</f>
        <v>50111210</v>
      </c>
      <c r="F86" s="430"/>
      <c r="G86" s="430" t="str">
        <f>+'[2]MSFR Inc Stmt by Acct - SCH C.2'!I93</f>
        <v>LaborOperNS OT P PP</v>
      </c>
      <c r="H86" s="430"/>
      <c r="I86" s="602" t="str">
        <f>+'[2]MSFR Inc Stmt by Acct - SCH C.2'!K93</f>
        <v>601.1</v>
      </c>
      <c r="J86" s="430"/>
      <c r="L86" s="601">
        <f>+'[2]MSFR Inc Stmt by Acct - SCH C.2'!Q93</f>
        <v>0</v>
      </c>
    </row>
    <row r="87" spans="1:14" x14ac:dyDescent="0.2">
      <c r="A87" s="422"/>
      <c r="C87" s="430">
        <f>+'[2]MSFR Inc Stmt by Acct - SCH C.2'!E94</f>
        <v>0</v>
      </c>
      <c r="D87" s="430"/>
      <c r="E87" s="603">
        <f>+'[2]MSFR Inc Stmt by Acct - SCH C.2'!G94</f>
        <v>50111300</v>
      </c>
      <c r="F87" s="430"/>
      <c r="G87" s="430" t="str">
        <f>+'[2]MSFR Inc Stmt by Acct - SCH C.2'!I94</f>
        <v>LaborOper NS OT WT</v>
      </c>
      <c r="H87" s="430"/>
      <c r="I87" s="602" t="str">
        <f>+'[2]MSFR Inc Stmt by Acct - SCH C.2'!K94</f>
        <v>601.3</v>
      </c>
      <c r="J87" s="430"/>
      <c r="L87" s="609">
        <f>+'[2]MSFR Inc Stmt by Acct - SCH C.2'!Q94</f>
        <v>254002.06267956336</v>
      </c>
    </row>
    <row r="88" spans="1:14" x14ac:dyDescent="0.2">
      <c r="A88" s="422"/>
      <c r="C88" s="430">
        <f>+'[2]MSFR Inc Stmt by Acct - SCH C.2'!E95</f>
        <v>0</v>
      </c>
      <c r="D88" s="430"/>
      <c r="E88" s="603">
        <f>+'[2]MSFR Inc Stmt by Acct - SCH C.2'!G95</f>
        <v>50111400</v>
      </c>
      <c r="F88" s="430"/>
      <c r="G88" s="430" t="str">
        <f>+'[2]MSFR Inc Stmt by Acct - SCH C.2'!I95</f>
        <v>LaborOper NS OT TD</v>
      </c>
      <c r="H88" s="430"/>
      <c r="I88" s="602" t="str">
        <f>+'[2]MSFR Inc Stmt by Acct - SCH C.2'!K95</f>
        <v>601.5</v>
      </c>
      <c r="J88" s="430"/>
      <c r="L88" s="610">
        <f>+'[2]MSFR Inc Stmt by Acct - SCH C.2'!Q95</f>
        <v>55981.190345563322</v>
      </c>
    </row>
    <row r="89" spans="1:14" x14ac:dyDescent="0.2">
      <c r="A89" s="422"/>
      <c r="C89" s="430">
        <f>+'[2]MSFR Inc Stmt by Acct - SCH C.2'!E96</f>
        <v>0</v>
      </c>
      <c r="D89" s="430"/>
      <c r="E89" s="603">
        <f>+'[2]MSFR Inc Stmt by Acct - SCH C.2'!G96</f>
        <v>50111405</v>
      </c>
      <c r="F89" s="430"/>
      <c r="G89" s="430" t="str">
        <f>+'[2]MSFR Inc Stmt by Acct - SCH C.2'!I96</f>
        <v>LaborOperNS OT TD SE</v>
      </c>
      <c r="H89" s="430"/>
      <c r="I89" s="602" t="str">
        <f>+'[2]MSFR Inc Stmt by Acct - SCH C.2'!K96</f>
        <v>601.5</v>
      </c>
      <c r="J89" s="430"/>
      <c r="L89" s="601">
        <f>+'[2]MSFR Inc Stmt by Acct - SCH C.2'!Q96</f>
        <v>0</v>
      </c>
    </row>
    <row r="90" spans="1:14" x14ac:dyDescent="0.2">
      <c r="A90" s="422"/>
      <c r="C90" s="430">
        <f>+'[2]MSFR Inc Stmt by Acct - SCH C.2'!E97</f>
        <v>0</v>
      </c>
      <c r="D90" s="430"/>
      <c r="E90" s="603">
        <f>+'[2]MSFR Inc Stmt by Acct - SCH C.2'!G97</f>
        <v>50111415</v>
      </c>
      <c r="F90" s="430"/>
      <c r="G90" s="430" t="str">
        <f>+'[2]MSFR Inc Stmt by Acct - SCH C.2'!I97</f>
        <v>LaborOperNS OT TD Ln</v>
      </c>
      <c r="H90" s="430"/>
      <c r="I90" s="602" t="str">
        <f>+'[2]MSFR Inc Stmt by Acct - SCH C.2'!K97</f>
        <v>601.5</v>
      </c>
      <c r="J90" s="430"/>
      <c r="L90" s="610">
        <f>+'[2]MSFR Inc Stmt by Acct - SCH C.2'!Q97</f>
        <v>3878.9690535712771</v>
      </c>
    </row>
    <row r="91" spans="1:14" x14ac:dyDescent="0.2">
      <c r="A91" s="422"/>
      <c r="C91" s="430">
        <f>+'[2]MSFR Inc Stmt by Acct - SCH C.2'!E98</f>
        <v>0</v>
      </c>
      <c r="D91" s="430"/>
      <c r="E91" s="603">
        <f>+'[2]MSFR Inc Stmt by Acct - SCH C.2'!G98</f>
        <v>50111420</v>
      </c>
      <c r="F91" s="430"/>
      <c r="G91" s="430" t="str">
        <f>+'[2]MSFR Inc Stmt by Acct - SCH C.2'!I98</f>
        <v>LaborOperNS OT TD Mt</v>
      </c>
      <c r="H91" s="430"/>
      <c r="I91" s="602" t="str">
        <f>+'[2]MSFR Inc Stmt by Acct - SCH C.2'!K98</f>
        <v>601.5</v>
      </c>
      <c r="J91" s="430"/>
      <c r="L91" s="610">
        <f>+'[2]MSFR Inc Stmt by Acct - SCH C.2'!Q98</f>
        <v>125016.02902432195</v>
      </c>
    </row>
    <row r="92" spans="1:14" x14ac:dyDescent="0.2">
      <c r="A92" s="422"/>
      <c r="C92" s="430">
        <f>+'[2]MSFR Inc Stmt by Acct - SCH C.2'!E99</f>
        <v>0</v>
      </c>
      <c r="D92" s="430"/>
      <c r="E92" s="603">
        <f>+'[2]MSFR Inc Stmt by Acct - SCH C.2'!G99</f>
        <v>50111500</v>
      </c>
      <c r="F92" s="430"/>
      <c r="G92" s="430" t="str">
        <f>+'[2]MSFR Inc Stmt by Acct - SCH C.2'!I99</f>
        <v>LaborOper NS OT CA</v>
      </c>
      <c r="H92" s="430"/>
      <c r="I92" s="602" t="str">
        <f>+'[2]MSFR Inc Stmt by Acct - SCH C.2'!K99</f>
        <v>601.7</v>
      </c>
      <c r="J92" s="430"/>
      <c r="L92" s="608">
        <f>+'[2]MSFR Inc Stmt by Acct - SCH C.2'!Q99</f>
        <v>523.45456975219281</v>
      </c>
    </row>
    <row r="93" spans="1:14" x14ac:dyDescent="0.2">
      <c r="A93" s="422"/>
      <c r="C93" s="430">
        <f>+'[2]MSFR Inc Stmt by Acct - SCH C.2'!E100</f>
        <v>0</v>
      </c>
      <c r="D93" s="430"/>
      <c r="E93" s="603">
        <f>+'[2]MSFR Inc Stmt by Acct - SCH C.2'!G100</f>
        <v>50111510</v>
      </c>
      <c r="F93" s="430"/>
      <c r="G93" s="430" t="str">
        <f>+'[2]MSFR Inc Stmt by Acct - SCH C.2'!I100</f>
        <v>LaborOperNS OT CA MR</v>
      </c>
      <c r="H93" s="430"/>
      <c r="I93" s="602" t="str">
        <f>+'[2]MSFR Inc Stmt by Acct - SCH C.2'!K100</f>
        <v>601.7</v>
      </c>
      <c r="J93" s="430"/>
      <c r="L93" s="608">
        <f>+'[2]MSFR Inc Stmt by Acct - SCH C.2'!Q100</f>
        <v>23411.790118346038</v>
      </c>
    </row>
    <row r="94" spans="1:14" x14ac:dyDescent="0.2">
      <c r="A94" s="422"/>
      <c r="C94" s="430">
        <f>+'[2]MSFR Inc Stmt by Acct - SCH C.2'!E101</f>
        <v>0</v>
      </c>
      <c r="D94" s="430"/>
      <c r="E94" s="603">
        <f>+'[2]MSFR Inc Stmt by Acct - SCH C.2'!G101</f>
        <v>50111520</v>
      </c>
      <c r="F94" s="430"/>
      <c r="G94" s="430" t="str">
        <f>+'[2]MSFR Inc Stmt by Acct - SCH C.2'!I101</f>
        <v>LaborOperNS OT CA CS</v>
      </c>
      <c r="H94" s="430"/>
      <c r="I94" s="602" t="str">
        <f>+'[2]MSFR Inc Stmt by Acct - SCH C.2'!K101</f>
        <v>601.7</v>
      </c>
      <c r="J94" s="430"/>
      <c r="L94" s="608">
        <f>+'[2]MSFR Inc Stmt by Acct - SCH C.2'!Q101</f>
        <v>6844.7374718683477</v>
      </c>
    </row>
    <row r="95" spans="1:14" x14ac:dyDescent="0.2">
      <c r="A95" s="422"/>
      <c r="C95" s="430">
        <f>+'[2]MSFR Inc Stmt by Acct - SCH C.2'!E102</f>
        <v>0</v>
      </c>
      <c r="D95" s="430"/>
      <c r="E95" s="603">
        <f>+'[2]MSFR Inc Stmt by Acct - SCH C.2'!G102</f>
        <v>50111600</v>
      </c>
      <c r="F95" s="430"/>
      <c r="G95" s="430" t="str">
        <f>+'[2]MSFR Inc Stmt by Acct - SCH C.2'!I102</f>
        <v>LaborOper NS OT AG</v>
      </c>
      <c r="H95" s="430"/>
      <c r="I95" s="602" t="str">
        <f>+'[2]MSFR Inc Stmt by Acct - SCH C.2'!K102</f>
        <v>601.8</v>
      </c>
      <c r="J95" s="430"/>
      <c r="L95" s="607">
        <f>+'[2]MSFR Inc Stmt by Acct - SCH C.2'!Q102</f>
        <v>2005.6275634526953</v>
      </c>
    </row>
    <row r="96" spans="1:14" x14ac:dyDescent="0.2">
      <c r="A96" s="422"/>
      <c r="C96" s="430">
        <f>+'[2]MSFR Inc Stmt by Acct - SCH C.2'!E103</f>
        <v>0</v>
      </c>
      <c r="D96" s="430"/>
      <c r="E96" s="603">
        <f>+'[2]MSFR Inc Stmt by Acct - SCH C.2'!G103</f>
        <v>50112215</v>
      </c>
      <c r="F96" s="430"/>
      <c r="G96" s="430" t="str">
        <f>+'[2]MSFR Inc Stmt by Acct - SCH C.2'!I103</f>
        <v>LaborMaintNSOT P PP</v>
      </c>
      <c r="H96" s="430"/>
      <c r="I96" s="602" t="str">
        <f>+'[2]MSFR Inc Stmt by Acct - SCH C.2'!K103</f>
        <v>601.2</v>
      </c>
      <c r="J96" s="430"/>
      <c r="L96" s="606">
        <f>+'[2]MSFR Inc Stmt by Acct - SCH C.2'!Q103</f>
        <v>0</v>
      </c>
    </row>
    <row r="97" spans="1:12" x14ac:dyDescent="0.2">
      <c r="A97" s="422"/>
      <c r="C97" s="430">
        <f>+'[2]MSFR Inc Stmt by Acct - SCH C.2'!E104</f>
        <v>0</v>
      </c>
      <c r="D97" s="430"/>
      <c r="E97" s="603">
        <f>+'[2]MSFR Inc Stmt by Acct - SCH C.2'!G104</f>
        <v>50112300</v>
      </c>
      <c r="F97" s="430"/>
      <c r="G97" s="430" t="str">
        <f>+'[2]MSFR Inc Stmt by Acct - SCH C.2'!I104</f>
        <v>LaborMaint NS OT WT</v>
      </c>
      <c r="H97" s="430"/>
      <c r="I97" s="602" t="str">
        <f>+'[2]MSFR Inc Stmt by Acct - SCH C.2'!K104</f>
        <v>601.4</v>
      </c>
      <c r="J97" s="430"/>
      <c r="L97" s="609">
        <f>+'[2]MSFR Inc Stmt by Acct - SCH C.2'!Q104</f>
        <v>47827.816449314487</v>
      </c>
    </row>
    <row r="98" spans="1:12" x14ac:dyDescent="0.2">
      <c r="A98" s="422"/>
      <c r="C98" s="430">
        <f>+'[2]MSFR Inc Stmt by Acct - SCH C.2'!E105</f>
        <v>0</v>
      </c>
      <c r="D98" s="430"/>
      <c r="E98" s="603">
        <f>+'[2]MSFR Inc Stmt by Acct - SCH C.2'!G105</f>
        <v>50112400</v>
      </c>
      <c r="F98" s="430"/>
      <c r="G98" s="430" t="str">
        <f>+'[2]MSFR Inc Stmt by Acct - SCH C.2'!I105</f>
        <v>LaborMaint NS OT TD</v>
      </c>
      <c r="H98" s="430"/>
      <c r="I98" s="602" t="str">
        <f>+'[2]MSFR Inc Stmt by Acct - SCH C.2'!K105</f>
        <v>601.6</v>
      </c>
      <c r="J98" s="430"/>
      <c r="L98" s="610">
        <f>+'[2]MSFR Inc Stmt by Acct - SCH C.2'!Q105</f>
        <v>65559.839999670017</v>
      </c>
    </row>
    <row r="99" spans="1:12" x14ac:dyDescent="0.2">
      <c r="A99" s="422"/>
      <c r="C99" s="430">
        <f>+'[2]MSFR Inc Stmt by Acct - SCH C.2'!E106</f>
        <v>0</v>
      </c>
      <c r="D99" s="430"/>
      <c r="E99" s="603">
        <f>+'[2]MSFR Inc Stmt by Acct - SCH C.2'!G106</f>
        <v>50112420</v>
      </c>
      <c r="F99" s="430"/>
      <c r="G99" s="430" t="str">
        <f>+'[2]MSFR Inc Stmt by Acct - SCH C.2'!I106</f>
        <v>LaborMaintNSOT TD Mn</v>
      </c>
      <c r="H99" s="430"/>
      <c r="I99" s="602" t="str">
        <f>+'[2]MSFR Inc Stmt by Acct - SCH C.2'!K106</f>
        <v>601.6</v>
      </c>
      <c r="J99" s="430"/>
      <c r="L99" s="610">
        <f>+'[2]MSFR Inc Stmt by Acct - SCH C.2'!Q106</f>
        <v>30785.671883550844</v>
      </c>
    </row>
    <row r="100" spans="1:12" x14ac:dyDescent="0.2">
      <c r="A100" s="422"/>
      <c r="C100" s="430">
        <f>+'[2]MSFR Inc Stmt by Acct - SCH C.2'!E107</f>
        <v>0</v>
      </c>
      <c r="D100" s="430"/>
      <c r="E100" s="603">
        <f>+'[2]MSFR Inc Stmt by Acct - SCH C.2'!G107</f>
        <v>50112430</v>
      </c>
      <c r="F100" s="430"/>
      <c r="G100" s="430" t="str">
        <f>+'[2]MSFR Inc Stmt by Acct - SCH C.2'!I107</f>
        <v>LaborMaintNSOT TD Sv</v>
      </c>
      <c r="H100" s="430"/>
      <c r="I100" s="602" t="str">
        <f>+'[2]MSFR Inc Stmt by Acct - SCH C.2'!K107</f>
        <v>601.6</v>
      </c>
      <c r="J100" s="430"/>
      <c r="L100" s="610">
        <f>+'[2]MSFR Inc Stmt by Acct - SCH C.2'!Q107</f>
        <v>47388.285302430173</v>
      </c>
    </row>
    <row r="101" spans="1:12" x14ac:dyDescent="0.2">
      <c r="A101" s="422"/>
      <c r="C101" s="430">
        <f>+'[2]MSFR Inc Stmt by Acct - SCH C.2'!E108</f>
        <v>0</v>
      </c>
      <c r="D101" s="430"/>
      <c r="E101" s="603">
        <f>+'[2]MSFR Inc Stmt by Acct - SCH C.2'!G108</f>
        <v>50112435</v>
      </c>
      <c r="F101" s="430"/>
      <c r="G101" s="430" t="str">
        <f>+'[2]MSFR Inc Stmt by Acct - SCH C.2'!I108</f>
        <v>LaborMaintNSOT TD Mt</v>
      </c>
      <c r="H101" s="430"/>
      <c r="I101" s="602" t="str">
        <f>+'[2]MSFR Inc Stmt by Acct - SCH C.2'!K108</f>
        <v>601.6</v>
      </c>
      <c r="J101" s="430"/>
      <c r="L101" s="610">
        <f>+'[2]MSFR Inc Stmt by Acct - SCH C.2'!Q108</f>
        <v>4787.9023961572857</v>
      </c>
    </row>
    <row r="102" spans="1:12" x14ac:dyDescent="0.2">
      <c r="A102" s="422"/>
      <c r="C102" s="430">
        <f>+'[2]MSFR Inc Stmt by Acct - SCH C.2'!E109</f>
        <v>0</v>
      </c>
      <c r="D102" s="430"/>
      <c r="E102" s="603">
        <f>+'[2]MSFR Inc Stmt by Acct - SCH C.2'!G109</f>
        <v>50112440</v>
      </c>
      <c r="F102" s="430"/>
      <c r="G102" s="430" t="str">
        <f>+'[2]MSFR Inc Stmt by Acct - SCH C.2'!I109</f>
        <v>LaborMaintNSOT TD Hy</v>
      </c>
      <c r="H102" s="430"/>
      <c r="I102" s="602" t="str">
        <f>+'[2]MSFR Inc Stmt by Acct - SCH C.2'!K109</f>
        <v>601.6</v>
      </c>
      <c r="J102" s="430"/>
      <c r="L102" s="610">
        <f>+'[2]MSFR Inc Stmt by Acct - SCH C.2'!Q109</f>
        <v>1598.8123271778932</v>
      </c>
    </row>
    <row r="103" spans="1:12" x14ac:dyDescent="0.2">
      <c r="A103" s="422"/>
      <c r="C103" s="430">
        <f>+'[2]MSFR Inc Stmt by Acct - SCH C.2'!E110</f>
        <v>0</v>
      </c>
      <c r="D103" s="430"/>
      <c r="E103" s="603">
        <f>+'[2]MSFR Inc Stmt by Acct - SCH C.2'!G110</f>
        <v>50119900</v>
      </c>
      <c r="F103" s="430"/>
      <c r="G103" s="430" t="str">
        <f>+'[2]MSFR Inc Stmt by Acct - SCH C.2'!I110</f>
        <v>LaborNSOT CapCredits</v>
      </c>
      <c r="H103" s="430"/>
      <c r="I103" s="602" t="str">
        <f>+'[2]MSFR Inc Stmt by Acct - SCH C.2'!K110</f>
        <v>601.8</v>
      </c>
      <c r="J103" s="430"/>
      <c r="L103" s="607">
        <f>+'[2]MSFR Inc Stmt by Acct - SCH C.2'!Q110</f>
        <v>-83170.738177175866</v>
      </c>
    </row>
    <row r="104" spans="1:12" x14ac:dyDescent="0.2">
      <c r="A104" s="422"/>
      <c r="C104" s="430">
        <f>+'[2]MSFR Inc Stmt by Acct - SCH C.2'!E111</f>
        <v>0</v>
      </c>
      <c r="D104" s="430"/>
      <c r="E104" s="603">
        <f>+'[2]MSFR Inc Stmt by Acct - SCH C.2'!G111</f>
        <v>50120000</v>
      </c>
      <c r="F104" s="430"/>
      <c r="G104" s="430" t="str">
        <f>+'[2]MSFR Inc Stmt by Acct - SCH C.2'!I111</f>
        <v>Labor OT - Natural</v>
      </c>
      <c r="H104" s="430"/>
      <c r="I104" s="602" t="str">
        <f>+'[2]MSFR Inc Stmt by Acct - SCH C.2'!K111</f>
        <v>601.8</v>
      </c>
      <c r="J104" s="430"/>
      <c r="L104" s="601">
        <f>+'[2]MSFR Inc Stmt by Acct - SCH C.2'!Q111</f>
        <v>0</v>
      </c>
    </row>
    <row r="105" spans="1:12" x14ac:dyDescent="0.2">
      <c r="A105" s="422"/>
      <c r="C105" s="430">
        <f>+'[2]MSFR Inc Stmt by Acct - SCH C.2'!E112</f>
        <v>0</v>
      </c>
      <c r="D105" s="430"/>
      <c r="E105" s="603">
        <f>+'[2]MSFR Inc Stmt by Acct - SCH C.2'!G112</f>
        <v>50121300</v>
      </c>
      <c r="F105" s="430"/>
      <c r="G105" s="430" t="str">
        <f>+'[2]MSFR Inc Stmt by Acct - SCH C.2'!I112</f>
        <v>LaborOper OT WT</v>
      </c>
      <c r="H105" s="430"/>
      <c r="I105" s="602" t="str">
        <f>+'[2]MSFR Inc Stmt by Acct - SCH C.2'!K112</f>
        <v>601.3</v>
      </c>
      <c r="J105" s="430"/>
      <c r="L105" s="609">
        <f>+'[2]MSFR Inc Stmt by Acct - SCH C.2'!Q112</f>
        <v>947.33897677978382</v>
      </c>
    </row>
    <row r="106" spans="1:12" x14ac:dyDescent="0.2">
      <c r="A106" s="422"/>
      <c r="C106" s="430">
        <f>+'[2]MSFR Inc Stmt by Acct - SCH C.2'!E113</f>
        <v>0</v>
      </c>
      <c r="D106" s="430"/>
      <c r="E106" s="603">
        <f>+'[2]MSFR Inc Stmt by Acct - SCH C.2'!G113</f>
        <v>50171000</v>
      </c>
      <c r="F106" s="430"/>
      <c r="G106" s="430" t="str">
        <f>+'[2]MSFR Inc Stmt by Acct - SCH C.2'!I113</f>
        <v>Annual Incent Plan</v>
      </c>
      <c r="H106" s="430"/>
      <c r="I106" s="602" t="str">
        <f>+'[2]MSFR Inc Stmt by Acct - SCH C.2'!K113</f>
        <v>601.8</v>
      </c>
      <c r="J106" s="430"/>
      <c r="L106" s="607">
        <f>+'[2]MSFR Inc Stmt by Acct - SCH C.2'!Q113</f>
        <v>303870.3229347592</v>
      </c>
    </row>
    <row r="107" spans="1:12" x14ac:dyDescent="0.2">
      <c r="A107" s="422"/>
      <c r="C107" s="430">
        <f>+'[2]MSFR Inc Stmt by Acct - SCH C.2'!E114</f>
        <v>0</v>
      </c>
      <c r="D107" s="430"/>
      <c r="E107" s="603">
        <f>+'[2]MSFR Inc Stmt by Acct - SCH C.2'!G114</f>
        <v>50171600</v>
      </c>
      <c r="F107" s="430"/>
      <c r="G107" s="430" t="str">
        <f>+'[2]MSFR Inc Stmt by Acct - SCH C.2'!I114</f>
        <v>Comp Exp-Options</v>
      </c>
      <c r="H107" s="430"/>
      <c r="I107" s="602" t="str">
        <f>+'[2]MSFR Inc Stmt by Acct - SCH C.2'!K114</f>
        <v>601.8</v>
      </c>
      <c r="J107" s="430"/>
      <c r="L107" s="607">
        <f>+'[2]MSFR Inc Stmt by Acct - SCH C.2'!Q114</f>
        <v>1260.1824324324323</v>
      </c>
    </row>
    <row r="108" spans="1:12" x14ac:dyDescent="0.2">
      <c r="A108" s="422"/>
      <c r="C108" s="430">
        <f>+'[2]MSFR Inc Stmt by Acct - SCH C.2'!E115</f>
        <v>0</v>
      </c>
      <c r="D108" s="430"/>
      <c r="E108" s="603">
        <f>+'[2]MSFR Inc Stmt by Acct - SCH C.2'!G115</f>
        <v>50171800</v>
      </c>
      <c r="F108" s="430"/>
      <c r="G108" s="430" t="str">
        <f>+'[2]MSFR Inc Stmt by Acct - SCH C.2'!I115</f>
        <v>Comp Exp-RSU's</v>
      </c>
      <c r="H108" s="430"/>
      <c r="I108" s="602" t="str">
        <f>+'[2]MSFR Inc Stmt by Acct - SCH C.2'!K115</f>
        <v>601.8</v>
      </c>
      <c r="J108" s="430"/>
      <c r="L108" s="607">
        <f>+'[2]MSFR Inc Stmt by Acct - SCH C.2'!Q115</f>
        <v>13274.817567567567</v>
      </c>
    </row>
    <row r="109" spans="1:12" x14ac:dyDescent="0.2">
      <c r="A109" s="422"/>
      <c r="C109" s="430">
        <f>+'[2]MSFR Inc Stmt by Acct - SCH C.2'!E116</f>
        <v>0</v>
      </c>
      <c r="D109" s="430"/>
      <c r="E109" s="603">
        <f>+'[2]MSFR Inc Stmt by Acct - SCH C.2'!G116</f>
        <v>50185000</v>
      </c>
      <c r="F109" s="430"/>
      <c r="G109" s="430" t="str">
        <f>+'[2]MSFR Inc Stmt by Acct - SCH C.2'!I116</f>
        <v>Severance</v>
      </c>
      <c r="H109" s="430"/>
      <c r="I109" s="602" t="str">
        <f>+'[2]MSFR Inc Stmt by Acct - SCH C.2'!K116</f>
        <v>601.8</v>
      </c>
      <c r="J109" s="430"/>
      <c r="L109" s="601">
        <f>+'[2]MSFR Inc Stmt by Acct - SCH C.2'!Q116</f>
        <v>0</v>
      </c>
    </row>
    <row r="110" spans="1:12" x14ac:dyDescent="0.2">
      <c r="A110" s="422"/>
      <c r="C110" s="430">
        <f>+'[2]MSFR Inc Stmt by Acct - SCH C.2'!E117</f>
        <v>0</v>
      </c>
      <c r="D110" s="430"/>
      <c r="E110" s="603">
        <f>+'[2]MSFR Inc Stmt by Acct - SCH C.2'!G117</f>
        <v>0</v>
      </c>
      <c r="F110" s="430"/>
      <c r="G110" s="430">
        <f>+'[2]MSFR Inc Stmt by Acct - SCH C.2'!I117</f>
        <v>0</v>
      </c>
      <c r="H110" s="430"/>
      <c r="I110" s="602" t="str">
        <f>+'[2]MSFR Inc Stmt by Acct - SCH C.2'!K117</f>
        <v>Total:</v>
      </c>
      <c r="J110" s="430"/>
      <c r="L110" s="601">
        <f>+'[2]MSFR Inc Stmt by Acct - SCH C.2'!Q117</f>
        <v>7352130.4441282153</v>
      </c>
    </row>
    <row r="111" spans="1:12" x14ac:dyDescent="0.2">
      <c r="A111" s="422"/>
      <c r="C111" s="430">
        <f>+'[2]MSFR Inc Stmt by Acct - SCH C.2'!E118</f>
        <v>0</v>
      </c>
      <c r="D111" s="430"/>
      <c r="E111" s="603">
        <f>+'[2]MSFR Inc Stmt by Acct - SCH C.2'!G118</f>
        <v>0</v>
      </c>
      <c r="F111" s="430"/>
      <c r="G111" s="430">
        <f>+'[2]MSFR Inc Stmt by Acct - SCH C.2'!I118</f>
        <v>0</v>
      </c>
      <c r="H111" s="430"/>
      <c r="I111" s="602">
        <f>+'[2]MSFR Inc Stmt by Acct - SCH C.2'!K118</f>
        <v>0</v>
      </c>
      <c r="J111" s="430"/>
      <c r="L111" s="601">
        <f>+'[2]MSFR Inc Stmt by Acct - SCH C.2'!Q118</f>
        <v>0</v>
      </c>
    </row>
    <row r="112" spans="1:12" x14ac:dyDescent="0.2">
      <c r="A112" s="422"/>
      <c r="C112" s="430" t="str">
        <f>+'[2]MSFR Inc Stmt by Acct - SCH C.2'!E119</f>
        <v>Pension expense</v>
      </c>
      <c r="D112" s="430"/>
      <c r="E112" s="603">
        <f>+'[2]MSFR Inc Stmt by Acct - SCH C.2'!G119</f>
        <v>50610000</v>
      </c>
      <c r="F112" s="430"/>
      <c r="G112" s="430" t="str">
        <f>+'[2]MSFR Inc Stmt by Acct - SCH C.2'!I119</f>
        <v>Pension Expense</v>
      </c>
      <c r="H112" s="430"/>
      <c r="I112" s="602" t="str">
        <f>+'[2]MSFR Inc Stmt by Acct - SCH C.2'!K119</f>
        <v>604.8</v>
      </c>
      <c r="J112" s="430"/>
      <c r="L112" s="607">
        <f>+'[2]MSFR Inc Stmt by Acct - SCH C.2'!Q119</f>
        <v>739624</v>
      </c>
    </row>
    <row r="113" spans="1:14" x14ac:dyDescent="0.2">
      <c r="A113" s="422"/>
      <c r="C113" s="430">
        <f>+'[2]MSFR Inc Stmt by Acct - SCH C.2'!E120</f>
        <v>0</v>
      </c>
      <c r="D113" s="430"/>
      <c r="E113" s="603">
        <f>+'[2]MSFR Inc Stmt by Acct - SCH C.2'!G120</f>
        <v>50610100</v>
      </c>
      <c r="F113" s="430"/>
      <c r="G113" s="430" t="str">
        <f>+'[2]MSFR Inc Stmt by Acct - SCH C.2'!I120</f>
        <v>Pension Cap Credits</v>
      </c>
      <c r="H113" s="430"/>
      <c r="I113" s="602" t="str">
        <f>+'[2]MSFR Inc Stmt by Acct - SCH C.2'!K120</f>
        <v>604.8</v>
      </c>
      <c r="J113" s="430"/>
      <c r="L113" s="607">
        <f>+'[2]MSFR Inc Stmt by Acct - SCH C.2'!Q120</f>
        <v>-137553.65429193689</v>
      </c>
    </row>
    <row r="114" spans="1:14" x14ac:dyDescent="0.2">
      <c r="A114" s="422"/>
      <c r="C114" s="430">
        <f>+'[2]MSFR Inc Stmt by Acct - SCH C.2'!E121</f>
        <v>0</v>
      </c>
      <c r="D114" s="430"/>
      <c r="E114" s="603">
        <f>+'[2]MSFR Inc Stmt by Acct - SCH C.2'!G121</f>
        <v>0</v>
      </c>
      <c r="F114" s="430"/>
      <c r="G114" s="430">
        <f>+'[2]MSFR Inc Stmt by Acct - SCH C.2'!I121</f>
        <v>0</v>
      </c>
      <c r="H114" s="430"/>
      <c r="I114" s="602" t="str">
        <f>+'[2]MSFR Inc Stmt by Acct - SCH C.2'!K121</f>
        <v>Total</v>
      </c>
      <c r="J114" s="430"/>
      <c r="L114" s="607">
        <f>+'[2]MSFR Inc Stmt by Acct - SCH C.2'!Q121</f>
        <v>602070.34570806311</v>
      </c>
    </row>
    <row r="115" spans="1:14" x14ac:dyDescent="0.2">
      <c r="A115" s="422"/>
      <c r="C115" s="430">
        <f>+'[2]MSFR Inc Stmt by Acct - SCH C.2'!E122</f>
        <v>0</v>
      </c>
      <c r="D115" s="430"/>
      <c r="E115" s="603">
        <f>+'[2]MSFR Inc Stmt by Acct - SCH C.2'!G122</f>
        <v>0</v>
      </c>
      <c r="F115" s="430"/>
      <c r="G115" s="430">
        <f>+'[2]MSFR Inc Stmt by Acct - SCH C.2'!I122</f>
        <v>0</v>
      </c>
      <c r="H115" s="430"/>
      <c r="I115" s="602">
        <f>+'[2]MSFR Inc Stmt by Acct - SCH C.2'!K122</f>
        <v>0</v>
      </c>
      <c r="J115" s="430"/>
      <c r="L115" s="601">
        <f>+'[2]MSFR Inc Stmt by Acct - SCH C.2'!Q122</f>
        <v>0</v>
      </c>
    </row>
    <row r="116" spans="1:14" x14ac:dyDescent="0.2">
      <c r="A116" s="422"/>
      <c r="C116" s="430" t="str">
        <f>+'[2]MSFR Inc Stmt by Acct - SCH C.2'!E123</f>
        <v>Group insurance expense</v>
      </c>
      <c r="D116" s="430"/>
      <c r="E116" s="603">
        <f>+'[2]MSFR Inc Stmt by Acct - SCH C.2'!G123</f>
        <v>50510000</v>
      </c>
      <c r="F116" s="430"/>
      <c r="G116" s="430" t="str">
        <f>+'[2]MSFR Inc Stmt by Acct - SCH C.2'!I123</f>
        <v>PBOP Expense</v>
      </c>
      <c r="H116" s="430"/>
      <c r="I116" s="602" t="str">
        <f>+'[2]MSFR Inc Stmt by Acct - SCH C.2'!K123</f>
        <v>604.8</v>
      </c>
      <c r="J116" s="430"/>
      <c r="L116" s="607">
        <f>+'[2]MSFR Inc Stmt by Acct - SCH C.2'!Q123</f>
        <v>713966</v>
      </c>
    </row>
    <row r="117" spans="1:14" x14ac:dyDescent="0.2">
      <c r="A117" s="422"/>
      <c r="C117" s="430">
        <f>+'[2]MSFR Inc Stmt by Acct - SCH C.2'!E124</f>
        <v>0</v>
      </c>
      <c r="D117" s="430"/>
      <c r="E117" s="603">
        <f>+'[2]MSFR Inc Stmt by Acct - SCH C.2'!G124</f>
        <v>50510100</v>
      </c>
      <c r="F117" s="430"/>
      <c r="G117" s="430" t="str">
        <f>+'[2]MSFR Inc Stmt by Acct - SCH C.2'!I124</f>
        <v>PBOP Cap Credits</v>
      </c>
      <c r="H117" s="430"/>
      <c r="I117" s="602" t="str">
        <f>+'[2]MSFR Inc Stmt by Acct - SCH C.2'!K124</f>
        <v>604.8</v>
      </c>
      <c r="J117" s="430"/>
      <c r="L117" s="607">
        <f>+'[2]MSFR Inc Stmt by Acct - SCH C.2'!Q124</f>
        <v>-132781.83555454807</v>
      </c>
    </row>
    <row r="118" spans="1:14" x14ac:dyDescent="0.2">
      <c r="A118" s="422"/>
      <c r="C118" s="430">
        <f>+'[2]MSFR Inc Stmt by Acct - SCH C.2'!E125</f>
        <v>0</v>
      </c>
      <c r="D118" s="430"/>
      <c r="E118" s="603">
        <f>+'[2]MSFR Inc Stmt by Acct - SCH C.2'!G125</f>
        <v>50550000</v>
      </c>
      <c r="F118" s="430"/>
      <c r="G118" s="430" t="str">
        <f>+'[2]MSFR Inc Stmt by Acct - SCH C.2'!I125</f>
        <v>Group Insur Expense</v>
      </c>
      <c r="H118" s="430"/>
      <c r="I118" s="602" t="str">
        <f>+'[2]MSFR Inc Stmt by Acct - SCH C.2'!K125</f>
        <v>604.8</v>
      </c>
      <c r="J118" s="430"/>
      <c r="L118" s="607">
        <f>+'[2]MSFR Inc Stmt by Acct - SCH C.2'!Q125</f>
        <v>1648027.3602339157</v>
      </c>
    </row>
    <row r="119" spans="1:14" x14ac:dyDescent="0.2">
      <c r="A119" s="422"/>
      <c r="C119" s="430">
        <f>+'[2]MSFR Inc Stmt by Acct - SCH C.2'!E126</f>
        <v>0</v>
      </c>
      <c r="D119" s="430"/>
      <c r="E119" s="603">
        <f>+'[2]MSFR Inc Stmt by Acct - SCH C.2'!G126</f>
        <v>50550100</v>
      </c>
      <c r="F119" s="430"/>
      <c r="G119" s="430" t="str">
        <f>+'[2]MSFR Inc Stmt by Acct - SCH C.2'!I126</f>
        <v>Group Ins Cap Credts</v>
      </c>
      <c r="H119" s="430"/>
      <c r="I119" s="602" t="str">
        <f>+'[2]MSFR Inc Stmt by Acct - SCH C.2'!K126</f>
        <v>604.8</v>
      </c>
      <c r="J119" s="430"/>
      <c r="L119" s="607">
        <f>+'[2]MSFR Inc Stmt by Acct - SCH C.2'!Q126</f>
        <v>-305758.687933326</v>
      </c>
      <c r="M119" s="418">
        <f>+'COS 1'!C368-L119</f>
        <v>305758.687933326</v>
      </c>
      <c r="N119" s="418">
        <f>+L115+L116+L117</f>
        <v>581184.16444545193</v>
      </c>
    </row>
    <row r="120" spans="1:14" x14ac:dyDescent="0.2">
      <c r="A120" s="422"/>
      <c r="C120" s="430">
        <f>+'[2]MSFR Inc Stmt by Acct - SCH C.2'!E127</f>
        <v>0</v>
      </c>
      <c r="D120" s="430"/>
      <c r="E120" s="603">
        <f>+'[2]MSFR Inc Stmt by Acct - SCH C.2'!G127</f>
        <v>0</v>
      </c>
      <c r="F120" s="430"/>
      <c r="G120" s="430">
        <f>+'[2]MSFR Inc Stmt by Acct - SCH C.2'!I127</f>
        <v>0</v>
      </c>
      <c r="H120" s="430"/>
      <c r="I120" s="602" t="str">
        <f>+'[2]MSFR Inc Stmt by Acct - SCH C.2'!K127</f>
        <v>Total</v>
      </c>
      <c r="J120" s="430"/>
      <c r="L120" s="607">
        <f>+'[2]MSFR Inc Stmt by Acct - SCH C.2'!Q127</f>
        <v>1923452.8367460414</v>
      </c>
    </row>
    <row r="121" spans="1:14" x14ac:dyDescent="0.2">
      <c r="A121" s="422"/>
      <c r="C121" s="430">
        <f>+'[2]MSFR Inc Stmt by Acct - SCH C.2'!E128</f>
        <v>0</v>
      </c>
      <c r="D121" s="430"/>
      <c r="E121" s="603">
        <f>+'[2]MSFR Inc Stmt by Acct - SCH C.2'!G128</f>
        <v>0</v>
      </c>
      <c r="F121" s="430"/>
      <c r="G121" s="430">
        <f>+'[2]MSFR Inc Stmt by Acct - SCH C.2'!I128</f>
        <v>0</v>
      </c>
      <c r="H121" s="430"/>
      <c r="I121" s="602">
        <f>+'[2]MSFR Inc Stmt by Acct - SCH C.2'!K128</f>
        <v>0</v>
      </c>
      <c r="J121" s="430"/>
      <c r="L121" s="607">
        <f>+'[2]MSFR Inc Stmt by Acct - SCH C.2'!Q128</f>
        <v>0</v>
      </c>
    </row>
    <row r="122" spans="1:14" x14ac:dyDescent="0.2">
      <c r="A122" s="422"/>
      <c r="C122" s="430" t="str">
        <f>+'[2]MSFR Inc Stmt by Acct - SCH C.2'!E129</f>
        <v>Other benefits</v>
      </c>
      <c r="D122" s="430"/>
      <c r="E122" s="603">
        <f>+'[2]MSFR Inc Stmt by Acct - SCH C.2'!G129</f>
        <v>50421000</v>
      </c>
      <c r="F122" s="430"/>
      <c r="G122" s="430" t="str">
        <f>+'[2]MSFR Inc Stmt by Acct - SCH C.2'!I129</f>
        <v>401k Expense</v>
      </c>
      <c r="H122" s="430"/>
      <c r="I122" s="602" t="str">
        <f>+'[2]MSFR Inc Stmt by Acct - SCH C.2'!K129</f>
        <v>604.8</v>
      </c>
      <c r="J122" s="430"/>
      <c r="L122" s="607">
        <f>+'[2]MSFR Inc Stmt by Acct - SCH C.2'!Q129</f>
        <v>218630.62585528786</v>
      </c>
    </row>
    <row r="123" spans="1:14" x14ac:dyDescent="0.2">
      <c r="A123" s="422"/>
      <c r="C123" s="430">
        <f>+'[2]MSFR Inc Stmt by Acct - SCH C.2'!E130</f>
        <v>0</v>
      </c>
      <c r="D123" s="430"/>
      <c r="E123" s="603">
        <f>+'[2]MSFR Inc Stmt by Acct - SCH C.2'!G130</f>
        <v>50421100</v>
      </c>
      <c r="F123" s="430"/>
      <c r="G123" s="430" t="str">
        <f>+'[2]MSFR Inc Stmt by Acct - SCH C.2'!I130</f>
        <v>401k Exp Cap Credits</v>
      </c>
      <c r="H123" s="430"/>
      <c r="I123" s="602" t="str">
        <f>+'[2]MSFR Inc Stmt by Acct - SCH C.2'!K130</f>
        <v>604.8</v>
      </c>
      <c r="J123" s="430"/>
      <c r="L123" s="607">
        <f>+'[2]MSFR Inc Stmt by Acct - SCH C.2'!Q130</f>
        <v>-46278.483269225428</v>
      </c>
    </row>
    <row r="124" spans="1:14" x14ac:dyDescent="0.2">
      <c r="A124" s="422"/>
      <c r="C124" s="430">
        <f>+'[2]MSFR Inc Stmt by Acct - SCH C.2'!E131</f>
        <v>0</v>
      </c>
      <c r="D124" s="430"/>
      <c r="E124" s="603">
        <f>+'[2]MSFR Inc Stmt by Acct - SCH C.2'!G131</f>
        <v>50422000</v>
      </c>
      <c r="F124" s="430"/>
      <c r="G124" s="430" t="str">
        <f>+'[2]MSFR Inc Stmt by Acct - SCH C.2'!I131</f>
        <v>DCP Expense</v>
      </c>
      <c r="H124" s="430"/>
      <c r="I124" s="602" t="str">
        <f>+'[2]MSFR Inc Stmt by Acct - SCH C.2'!K131</f>
        <v>604.8</v>
      </c>
      <c r="J124" s="430"/>
      <c r="L124" s="607">
        <f>+'[2]MSFR Inc Stmt by Acct - SCH C.2'!Q131</f>
        <v>246735.72411754652</v>
      </c>
    </row>
    <row r="125" spans="1:14" x14ac:dyDescent="0.2">
      <c r="A125" s="422"/>
      <c r="C125" s="430">
        <f>+'[2]MSFR Inc Stmt by Acct - SCH C.2'!E132</f>
        <v>0</v>
      </c>
      <c r="D125" s="430"/>
      <c r="E125" s="603">
        <f>+'[2]MSFR Inc Stmt by Acct - SCH C.2'!G132</f>
        <v>50422100</v>
      </c>
      <c r="F125" s="430"/>
      <c r="G125" s="430" t="str">
        <f>+'[2]MSFR Inc Stmt by Acct - SCH C.2'!I132</f>
        <v>DCP Exp Cap Credits</v>
      </c>
      <c r="H125" s="430"/>
      <c r="I125" s="602" t="str">
        <f>+'[2]MSFR Inc Stmt by Acct - SCH C.2'!K132</f>
        <v>604.8</v>
      </c>
      <c r="J125" s="430"/>
      <c r="L125" s="607">
        <f>+'[2]MSFR Inc Stmt by Acct - SCH C.2'!Q132</f>
        <v>-45527.96707200419</v>
      </c>
    </row>
    <row r="126" spans="1:14" x14ac:dyDescent="0.2">
      <c r="A126" s="422"/>
      <c r="C126" s="430">
        <f>+'[2]MSFR Inc Stmt by Acct - SCH C.2'!E133</f>
        <v>0</v>
      </c>
      <c r="D126" s="430"/>
      <c r="E126" s="603">
        <f>+'[2]MSFR Inc Stmt by Acct - SCH C.2'!G133</f>
        <v>50423000</v>
      </c>
      <c r="F126" s="430"/>
      <c r="G126" s="430" t="str">
        <f>+'[2]MSFR Inc Stmt by Acct - SCH C.2'!I133</f>
        <v>ESPP Expense</v>
      </c>
      <c r="H126" s="430"/>
      <c r="I126" s="602" t="str">
        <f>+'[2]MSFR Inc Stmt by Acct - SCH C.2'!K133</f>
        <v>604.8</v>
      </c>
      <c r="J126" s="430"/>
      <c r="L126" s="607">
        <f>+'[2]MSFR Inc Stmt by Acct - SCH C.2'!Q133</f>
        <v>7799.4498705980986</v>
      </c>
    </row>
    <row r="127" spans="1:14" x14ac:dyDescent="0.2">
      <c r="A127" s="422"/>
      <c r="C127" s="430">
        <f>+'[2]MSFR Inc Stmt by Acct - SCH C.2'!E134</f>
        <v>0</v>
      </c>
      <c r="D127" s="430"/>
      <c r="E127" s="603">
        <f>+'[2]MSFR Inc Stmt by Acct - SCH C.2'!G134</f>
        <v>50426000</v>
      </c>
      <c r="F127" s="430"/>
      <c r="G127" s="430" t="str">
        <f>+'[2]MSFR Inc Stmt by Acct - SCH C.2'!I134</f>
        <v>Retiree Medical Exp</v>
      </c>
      <c r="H127" s="430"/>
      <c r="I127" s="602" t="str">
        <f>+'[2]MSFR Inc Stmt by Acct - SCH C.2'!K134</f>
        <v>604.8</v>
      </c>
      <c r="J127" s="430"/>
      <c r="L127" s="607">
        <f>+'[2]MSFR Inc Stmt by Acct - SCH C.2'!Q134</f>
        <v>19997.458553638349</v>
      </c>
    </row>
    <row r="128" spans="1:14" x14ac:dyDescent="0.2">
      <c r="A128" s="422"/>
      <c r="C128" s="430">
        <f>+'[2]MSFR Inc Stmt by Acct - SCH C.2'!E135</f>
        <v>0</v>
      </c>
      <c r="D128" s="430"/>
      <c r="E128" s="603">
        <f>+'[2]MSFR Inc Stmt by Acct - SCH C.2'!G135</f>
        <v>50426100</v>
      </c>
      <c r="F128" s="430"/>
      <c r="G128" s="430" t="str">
        <f>+'[2]MSFR Inc Stmt by Acct - SCH C.2'!I135</f>
        <v>Retiree Med Cap Cr</v>
      </c>
      <c r="H128" s="430"/>
      <c r="I128" s="602" t="str">
        <f>+'[2]MSFR Inc Stmt by Acct - SCH C.2'!K135</f>
        <v>604.8</v>
      </c>
      <c r="J128" s="430"/>
      <c r="L128" s="607">
        <f>+'[2]MSFR Inc Stmt by Acct - SCH C.2'!Q135</f>
        <v>-3329.4530138934606</v>
      </c>
    </row>
    <row r="129" spans="1:12" x14ac:dyDescent="0.2">
      <c r="A129" s="422"/>
      <c r="C129" s="430">
        <f>+'[2]MSFR Inc Stmt by Acct - SCH C.2'!E136</f>
        <v>0</v>
      </c>
      <c r="D129" s="430"/>
      <c r="E129" s="603">
        <f>+'[2]MSFR Inc Stmt by Acct - SCH C.2'!G136</f>
        <v>50450000</v>
      </c>
      <c r="F129" s="430"/>
      <c r="G129" s="430" t="str">
        <f>+'[2]MSFR Inc Stmt by Acct - SCH C.2'!I136</f>
        <v>Other Welfare</v>
      </c>
      <c r="H129" s="430"/>
      <c r="I129" s="602" t="str">
        <f>+'[2]MSFR Inc Stmt by Acct - SCH C.2'!K136</f>
        <v>604.8</v>
      </c>
      <c r="J129" s="430"/>
      <c r="L129" s="607">
        <f>+'[2]MSFR Inc Stmt by Acct - SCH C.2'!Q136</f>
        <v>26627.677643464493</v>
      </c>
    </row>
    <row r="130" spans="1:12" x14ac:dyDescent="0.2">
      <c r="A130" s="422"/>
      <c r="C130" s="430">
        <f>+'[2]MSFR Inc Stmt by Acct - SCH C.2'!E137</f>
        <v>0</v>
      </c>
      <c r="D130" s="430"/>
      <c r="E130" s="603">
        <f>+'[2]MSFR Inc Stmt by Acct - SCH C.2'!G137</f>
        <v>50450013</v>
      </c>
      <c r="F130" s="430"/>
      <c r="G130" s="430" t="str">
        <f>+'[2]MSFR Inc Stmt by Acct - SCH C.2'!I137</f>
        <v>Other Welfare WT</v>
      </c>
      <c r="H130" s="430"/>
      <c r="I130" s="602" t="str">
        <f>+'[2]MSFR Inc Stmt by Acct - SCH C.2'!K137</f>
        <v>604.3</v>
      </c>
      <c r="J130" s="430"/>
      <c r="L130" s="609">
        <f>+'[2]MSFR Inc Stmt by Acct - SCH C.2'!Q137</f>
        <v>576.17222481858403</v>
      </c>
    </row>
    <row r="131" spans="1:12" x14ac:dyDescent="0.2">
      <c r="A131" s="422"/>
      <c r="C131" s="430">
        <f>+'[2]MSFR Inc Stmt by Acct - SCH C.2'!E138</f>
        <v>0</v>
      </c>
      <c r="D131" s="430"/>
      <c r="E131" s="603">
        <f>+'[2]MSFR Inc Stmt by Acct - SCH C.2'!G138</f>
        <v>50450014</v>
      </c>
      <c r="F131" s="430"/>
      <c r="G131" s="430" t="str">
        <f>+'[2]MSFR Inc Stmt by Acct - SCH C.2'!I138</f>
        <v>Other Welfare TD</v>
      </c>
      <c r="H131" s="430"/>
      <c r="I131" s="602" t="str">
        <f>+'[2]MSFR Inc Stmt by Acct - SCH C.2'!K138</f>
        <v>604.5</v>
      </c>
      <c r="J131" s="430"/>
      <c r="L131" s="610">
        <f>+'[2]MSFR Inc Stmt by Acct - SCH C.2'!Q138</f>
        <v>530.52477742978783</v>
      </c>
    </row>
    <row r="132" spans="1:12" x14ac:dyDescent="0.2">
      <c r="A132" s="422"/>
      <c r="C132" s="430">
        <f>+'[2]MSFR Inc Stmt by Acct - SCH C.2'!E139</f>
        <v>0</v>
      </c>
      <c r="D132" s="430"/>
      <c r="E132" s="603">
        <f>+'[2]MSFR Inc Stmt by Acct - SCH C.2'!G139</f>
        <v>50450015</v>
      </c>
      <c r="F132" s="430"/>
      <c r="G132" s="430" t="str">
        <f>+'[2]MSFR Inc Stmt by Acct - SCH C.2'!I139</f>
        <v>Other Welfare CA</v>
      </c>
      <c r="H132" s="430"/>
      <c r="I132" s="602" t="str">
        <f>+'[2]MSFR Inc Stmt by Acct - SCH C.2'!K139</f>
        <v>604.7</v>
      </c>
      <c r="J132" s="430"/>
      <c r="L132" s="608">
        <f>+'[2]MSFR Inc Stmt by Acct - SCH C.2'!Q139</f>
        <v>388.51049666464382</v>
      </c>
    </row>
    <row r="133" spans="1:12" x14ac:dyDescent="0.2">
      <c r="A133" s="422"/>
      <c r="C133" s="430">
        <f>+'[2]MSFR Inc Stmt by Acct - SCH C.2'!E140</f>
        <v>0</v>
      </c>
      <c r="D133" s="430"/>
      <c r="E133" s="603">
        <f>+'[2]MSFR Inc Stmt by Acct - SCH C.2'!G140</f>
        <v>50450016</v>
      </c>
      <c r="F133" s="430"/>
      <c r="G133" s="430" t="str">
        <f>+'[2]MSFR Inc Stmt by Acct - SCH C.2'!I140</f>
        <v>Other Welfare AG</v>
      </c>
      <c r="H133" s="430"/>
      <c r="I133" s="602" t="str">
        <f>+'[2]MSFR Inc Stmt by Acct - SCH C.2'!K140</f>
        <v>604.8</v>
      </c>
      <c r="J133" s="430"/>
      <c r="L133" s="607">
        <f>+'[2]MSFR Inc Stmt by Acct - SCH C.2'!Q140</f>
        <v>10766.711257437415</v>
      </c>
    </row>
    <row r="134" spans="1:12" x14ac:dyDescent="0.2">
      <c r="A134" s="422"/>
      <c r="C134" s="430">
        <f>+'[2]MSFR Inc Stmt by Acct - SCH C.2'!E141</f>
        <v>0</v>
      </c>
      <c r="D134" s="430"/>
      <c r="E134" s="603">
        <f>+'[2]MSFR Inc Stmt by Acct - SCH C.2'!G141</f>
        <v>50451000</v>
      </c>
      <c r="F134" s="430"/>
      <c r="G134" s="430" t="str">
        <f>+'[2]MSFR Inc Stmt by Acct - SCH C.2'!I141</f>
        <v>Employee Awards</v>
      </c>
      <c r="H134" s="430"/>
      <c r="I134" s="602" t="str">
        <f>+'[2]MSFR Inc Stmt by Acct - SCH C.2'!K141</f>
        <v>604.8</v>
      </c>
      <c r="J134" s="430"/>
      <c r="L134" s="607">
        <f>+'[2]MSFR Inc Stmt by Acct - SCH C.2'!Q141</f>
        <v>6000.1033623273324</v>
      </c>
    </row>
    <row r="135" spans="1:12" x14ac:dyDescent="0.2">
      <c r="A135" s="422"/>
      <c r="C135" s="430">
        <f>+'[2]MSFR Inc Stmt by Acct - SCH C.2'!E142</f>
        <v>0</v>
      </c>
      <c r="D135" s="430"/>
      <c r="E135" s="603">
        <f>+'[2]MSFR Inc Stmt by Acct - SCH C.2'!G142</f>
        <v>50452000</v>
      </c>
      <c r="F135" s="430"/>
      <c r="G135" s="430" t="str">
        <f>+'[2]MSFR Inc Stmt by Acct - SCH C.2'!I142</f>
        <v>Emp Physical Exams</v>
      </c>
      <c r="H135" s="430"/>
      <c r="I135" s="602" t="str">
        <f>+'[2]MSFR Inc Stmt by Acct - SCH C.2'!K142</f>
        <v>604.8</v>
      </c>
      <c r="J135" s="430"/>
      <c r="L135" s="607">
        <f>+'[2]MSFR Inc Stmt by Acct - SCH C.2'!Q142</f>
        <v>4808.1977916198739</v>
      </c>
    </row>
    <row r="136" spans="1:12" x14ac:dyDescent="0.2">
      <c r="A136" s="422"/>
      <c r="C136" s="430">
        <f>+'[2]MSFR Inc Stmt by Acct - SCH C.2'!E143</f>
        <v>0</v>
      </c>
      <c r="D136" s="430"/>
      <c r="E136" s="603">
        <f>+'[2]MSFR Inc Stmt by Acct - SCH C.2'!G143</f>
        <v>50454000</v>
      </c>
      <c r="F136" s="430"/>
      <c r="G136" s="430" t="str">
        <f>+'[2]MSFR Inc Stmt by Acct - SCH C.2'!I143</f>
        <v>Safety Incent Awards</v>
      </c>
      <c r="H136" s="430"/>
      <c r="I136" s="602" t="str">
        <f>+'[2]MSFR Inc Stmt by Acct - SCH C.2'!K143</f>
        <v>604.8</v>
      </c>
      <c r="J136" s="430"/>
      <c r="L136" s="607">
        <f>+'[2]MSFR Inc Stmt by Acct - SCH C.2'!Q143</f>
        <v>2738.8468433277762</v>
      </c>
    </row>
    <row r="137" spans="1:12" x14ac:dyDescent="0.2">
      <c r="A137" s="422"/>
      <c r="C137" s="430">
        <f>+'[2]MSFR Inc Stmt by Acct - SCH C.2'!E144</f>
        <v>0</v>
      </c>
      <c r="D137" s="430"/>
      <c r="E137" s="603">
        <f>+'[2]MSFR Inc Stmt by Acct - SCH C.2'!G144</f>
        <v>50456000</v>
      </c>
      <c r="F137" s="430"/>
      <c r="G137" s="430" t="str">
        <f>+'[2]MSFR Inc Stmt by Acct - SCH C.2'!I144</f>
        <v>Tuition Aid</v>
      </c>
      <c r="H137" s="430"/>
      <c r="I137" s="602" t="str">
        <f>+'[2]MSFR Inc Stmt by Acct - SCH C.2'!K144</f>
        <v>604.8</v>
      </c>
      <c r="J137" s="430"/>
      <c r="L137" s="607">
        <f>+'[2]MSFR Inc Stmt by Acct - SCH C.2'!Q144</f>
        <v>13161.680663769592</v>
      </c>
    </row>
    <row r="138" spans="1:12" x14ac:dyDescent="0.2">
      <c r="A138" s="422"/>
      <c r="C138" s="430">
        <f>+'[2]MSFR Inc Stmt by Acct - SCH C.2'!E145</f>
        <v>0</v>
      </c>
      <c r="D138" s="430"/>
      <c r="E138" s="603">
        <f>+'[2]MSFR Inc Stmt by Acct - SCH C.2'!G145</f>
        <v>50457000</v>
      </c>
      <c r="F138" s="430"/>
      <c r="G138" s="430" t="str">
        <f>+'[2]MSFR Inc Stmt by Acct - SCH C.2'!I145</f>
        <v>Training</v>
      </c>
      <c r="H138" s="430"/>
      <c r="I138" s="602" t="str">
        <f>+'[2]MSFR Inc Stmt by Acct - SCH C.2'!K145</f>
        <v>604.8</v>
      </c>
      <c r="J138" s="430"/>
      <c r="L138" s="607">
        <f>+'[2]MSFR Inc Stmt by Acct - SCH C.2'!Q145</f>
        <v>29195.092962154347</v>
      </c>
    </row>
    <row r="139" spans="1:12" x14ac:dyDescent="0.2">
      <c r="A139" s="422"/>
      <c r="C139" s="430">
        <f>+'[2]MSFR Inc Stmt by Acct - SCH C.2'!E146</f>
        <v>0</v>
      </c>
      <c r="D139" s="430"/>
      <c r="E139" s="603">
        <f>+'[2]MSFR Inc Stmt by Acct - SCH C.2'!G146</f>
        <v>50458000</v>
      </c>
      <c r="F139" s="430"/>
      <c r="G139" s="430" t="str">
        <f>+'[2]MSFR Inc Stmt by Acct - SCH C.2'!I146</f>
        <v>Referral Bonus</v>
      </c>
      <c r="H139" s="430"/>
      <c r="I139" s="602" t="str">
        <f>+'[2]MSFR Inc Stmt by Acct - SCH C.2'!K146</f>
        <v>604.8</v>
      </c>
      <c r="J139" s="430"/>
      <c r="L139" s="607">
        <f>+'[2]MSFR Inc Stmt by Acct - SCH C.2'!Q146</f>
        <v>0</v>
      </c>
    </row>
    <row r="140" spans="1:12" x14ac:dyDescent="0.2">
      <c r="A140" s="422"/>
      <c r="C140" s="430">
        <f>+'[2]MSFR Inc Stmt by Acct - SCH C.2'!E147</f>
        <v>0</v>
      </c>
      <c r="D140" s="430"/>
      <c r="E140" s="603">
        <f>+'[2]MSFR Inc Stmt by Acct - SCH C.2'!G147</f>
        <v>0</v>
      </c>
      <c r="F140" s="430"/>
      <c r="G140" s="430">
        <f>+'[2]MSFR Inc Stmt by Acct - SCH C.2'!I147</f>
        <v>0</v>
      </c>
      <c r="H140" s="430"/>
      <c r="I140" s="602" t="str">
        <f>+'[2]MSFR Inc Stmt by Acct - SCH C.2'!K147</f>
        <v>Total</v>
      </c>
      <c r="J140" s="430"/>
      <c r="L140" s="601">
        <f>+'[2]MSFR Inc Stmt by Acct - SCH C.2'!Q147</f>
        <v>492820.87306496163</v>
      </c>
    </row>
    <row r="141" spans="1:12" x14ac:dyDescent="0.2">
      <c r="A141" s="422"/>
      <c r="C141" s="430">
        <f>+'[2]MSFR Inc Stmt by Acct - SCH C.2'!E148</f>
        <v>0</v>
      </c>
      <c r="D141" s="430"/>
      <c r="E141" s="603">
        <f>+'[2]MSFR Inc Stmt by Acct - SCH C.2'!G148</f>
        <v>0</v>
      </c>
      <c r="F141" s="430"/>
      <c r="G141" s="430">
        <f>+'[2]MSFR Inc Stmt by Acct - SCH C.2'!I148</f>
        <v>0</v>
      </c>
      <c r="H141" s="430"/>
      <c r="I141" s="602">
        <f>+'[2]MSFR Inc Stmt by Acct - SCH C.2'!K148</f>
        <v>0</v>
      </c>
      <c r="J141" s="430"/>
      <c r="L141" s="601">
        <f>+'[2]MSFR Inc Stmt by Acct - SCH C.2'!Q148</f>
        <v>0</v>
      </c>
    </row>
    <row r="142" spans="1:12" x14ac:dyDescent="0.2">
      <c r="A142" s="422"/>
      <c r="C142" s="430" t="str">
        <f>+'[2]MSFR Inc Stmt by Acct - SCH C.2'!E149</f>
        <v>Service Company Costs</v>
      </c>
      <c r="D142" s="430"/>
      <c r="E142" s="603">
        <f>+'[2]MSFR Inc Stmt by Acct - SCH C.2'!G149</f>
        <v>53401000</v>
      </c>
      <c r="F142" s="430"/>
      <c r="G142" s="430" t="str">
        <f>+'[2]MSFR Inc Stmt by Acct - SCH C.2'!I149</f>
        <v>AWWSC Labor OPEX</v>
      </c>
      <c r="H142" s="430"/>
      <c r="I142" s="602" t="str">
        <f>+'[2]MSFR Inc Stmt by Acct - SCH C.2'!K149</f>
        <v>634.8</v>
      </c>
      <c r="J142" s="430"/>
      <c r="L142" s="601">
        <f>+'[2]MSFR Inc Stmt by Acct - SCH C.2'!Q149</f>
        <v>4079156.5329831042</v>
      </c>
    </row>
    <row r="143" spans="1:12" x14ac:dyDescent="0.2">
      <c r="A143" s="422"/>
      <c r="C143" s="430">
        <f>+'[2]MSFR Inc Stmt by Acct - SCH C.2'!E150</f>
        <v>0</v>
      </c>
      <c r="D143" s="430"/>
      <c r="E143" s="603">
        <f>+'[2]MSFR Inc Stmt by Acct - SCH C.2'!G150</f>
        <v>53401100</v>
      </c>
      <c r="F143" s="430"/>
      <c r="G143" s="430" t="str">
        <f>+'[2]MSFR Inc Stmt by Acct - SCH C.2'!I150</f>
        <v>AWWSC Pension OPEX</v>
      </c>
      <c r="H143" s="430"/>
      <c r="I143" s="602" t="str">
        <f>+'[2]MSFR Inc Stmt by Acct - SCH C.2'!K150</f>
        <v>634.8</v>
      </c>
      <c r="J143" s="430"/>
      <c r="L143" s="601">
        <f>+'[2]MSFR Inc Stmt by Acct - SCH C.2'!Q150</f>
        <v>332779.74831510766</v>
      </c>
    </row>
    <row r="144" spans="1:12" x14ac:dyDescent="0.2">
      <c r="A144" s="422"/>
      <c r="C144" s="430">
        <f>+'[2]MSFR Inc Stmt by Acct - SCH C.2'!E151</f>
        <v>0</v>
      </c>
      <c r="D144" s="430"/>
      <c r="E144" s="603">
        <f>+'[2]MSFR Inc Stmt by Acct - SCH C.2'!G151</f>
        <v>53401200</v>
      </c>
      <c r="F144" s="430"/>
      <c r="G144" s="430" t="str">
        <f>+'[2]MSFR Inc Stmt by Acct - SCH C.2'!I151</f>
        <v>AWWSC Group Ins OPEX</v>
      </c>
      <c r="H144" s="430"/>
      <c r="I144" s="602" t="str">
        <f>+'[2]MSFR Inc Stmt by Acct - SCH C.2'!K151</f>
        <v>634.8</v>
      </c>
      <c r="J144" s="430"/>
      <c r="L144" s="601">
        <f>+'[2]MSFR Inc Stmt by Acct - SCH C.2'!Q151</f>
        <v>533611.24538114644</v>
      </c>
    </row>
    <row r="145" spans="1:12" x14ac:dyDescent="0.2">
      <c r="A145" s="422"/>
      <c r="C145" s="430">
        <f>+'[2]MSFR Inc Stmt by Acct - SCH C.2'!E152</f>
        <v>0</v>
      </c>
      <c r="D145" s="430"/>
      <c r="E145" s="603">
        <f>+'[2]MSFR Inc Stmt by Acct - SCH C.2'!G152</f>
        <v>53401300</v>
      </c>
      <c r="F145" s="430"/>
      <c r="G145" s="430" t="str">
        <f>+'[2]MSFR Inc Stmt by Acct - SCH C.2'!I152</f>
        <v>AWWSC Other Ben OPEX</v>
      </c>
      <c r="H145" s="430"/>
      <c r="I145" s="602" t="str">
        <f>+'[2]MSFR Inc Stmt by Acct - SCH C.2'!K152</f>
        <v>634.8</v>
      </c>
      <c r="J145" s="430"/>
      <c r="L145" s="601">
        <f>+'[2]MSFR Inc Stmt by Acct - SCH C.2'!Q152</f>
        <v>270410.15010032378</v>
      </c>
    </row>
    <row r="146" spans="1:12" x14ac:dyDescent="0.2">
      <c r="A146" s="422"/>
      <c r="C146" s="430">
        <f>+'[2]MSFR Inc Stmt by Acct - SCH C.2'!E153</f>
        <v>0</v>
      </c>
      <c r="D146" s="430"/>
      <c r="E146" s="603">
        <f>+'[2]MSFR Inc Stmt by Acct - SCH C.2'!G153</f>
        <v>53401400</v>
      </c>
      <c r="F146" s="430"/>
      <c r="G146" s="430" t="str">
        <f>+'[2]MSFR Inc Stmt by Acct - SCH C.2'!I153</f>
        <v>AWWSC Cont Svcs OPEX</v>
      </c>
      <c r="H146" s="430"/>
      <c r="I146" s="602" t="str">
        <f>+'[2]MSFR Inc Stmt by Acct - SCH C.2'!K153</f>
        <v>634.8</v>
      </c>
      <c r="J146" s="430"/>
      <c r="L146" s="601">
        <f>+'[2]MSFR Inc Stmt by Acct - SCH C.2'!Q153</f>
        <v>629969.39816586138</v>
      </c>
    </row>
    <row r="147" spans="1:12" x14ac:dyDescent="0.2">
      <c r="A147" s="422"/>
      <c r="C147" s="430">
        <f>+'[2]MSFR Inc Stmt by Acct - SCH C.2'!E154</f>
        <v>0</v>
      </c>
      <c r="D147" s="430"/>
      <c r="E147" s="603">
        <f>+'[2]MSFR Inc Stmt by Acct - SCH C.2'!G154</f>
        <v>53401500</v>
      </c>
      <c r="F147" s="430"/>
      <c r="G147" s="430" t="str">
        <f>+'[2]MSFR Inc Stmt by Acct - SCH C.2'!I154</f>
        <v>AWWSC Off Suppl OPEX</v>
      </c>
      <c r="H147" s="430"/>
      <c r="I147" s="602" t="str">
        <f>+'[2]MSFR Inc Stmt by Acct - SCH C.2'!K154</f>
        <v>634.8</v>
      </c>
      <c r="J147" s="430"/>
      <c r="L147" s="601">
        <f>+'[2]MSFR Inc Stmt by Acct - SCH C.2'!Q154</f>
        <v>429628.90074113908</v>
      </c>
    </row>
    <row r="148" spans="1:12" x14ac:dyDescent="0.2">
      <c r="A148" s="422"/>
      <c r="C148" s="430">
        <f>+'[2]MSFR Inc Stmt by Acct - SCH C.2'!E155</f>
        <v>0</v>
      </c>
      <c r="D148" s="430"/>
      <c r="E148" s="603">
        <f>+'[2]MSFR Inc Stmt by Acct - SCH C.2'!G155</f>
        <v>53401600</v>
      </c>
      <c r="F148" s="430"/>
      <c r="G148" s="430" t="str">
        <f>+'[2]MSFR Inc Stmt by Acct - SCH C.2'!I155</f>
        <v>AWWSC Transportaion</v>
      </c>
      <c r="H148" s="430"/>
      <c r="I148" s="602" t="str">
        <f>+'[2]MSFR Inc Stmt by Acct - SCH C.2'!K155</f>
        <v>634.8</v>
      </c>
      <c r="J148" s="430"/>
      <c r="L148" s="601">
        <f>+'[2]MSFR Inc Stmt by Acct - SCH C.2'!Q155</f>
        <v>67986.591965552754</v>
      </c>
    </row>
    <row r="149" spans="1:12" x14ac:dyDescent="0.2">
      <c r="A149" s="422"/>
      <c r="C149" s="430">
        <f>+'[2]MSFR Inc Stmt by Acct - SCH C.2'!E156</f>
        <v>0</v>
      </c>
      <c r="D149" s="430"/>
      <c r="E149" s="603">
        <f>+'[2]MSFR Inc Stmt by Acct - SCH C.2'!G156</f>
        <v>53401700</v>
      </c>
      <c r="F149" s="430"/>
      <c r="G149" s="430" t="str">
        <f>+'[2]MSFR Inc Stmt by Acct - SCH C.2'!I156</f>
        <v>AWWSC Rents OPEX</v>
      </c>
      <c r="H149" s="430"/>
      <c r="I149" s="602" t="str">
        <f>+'[2]MSFR Inc Stmt by Acct - SCH C.2'!K156</f>
        <v>634.8</v>
      </c>
      <c r="J149" s="430"/>
      <c r="L149" s="601">
        <f>+'[2]MSFR Inc Stmt by Acct - SCH C.2'!Q156</f>
        <v>265942.68555272295</v>
      </c>
    </row>
    <row r="150" spans="1:12" x14ac:dyDescent="0.2">
      <c r="A150" s="422"/>
      <c r="C150" s="430">
        <f>+'[2]MSFR Inc Stmt by Acct - SCH C.2'!E157</f>
        <v>0</v>
      </c>
      <c r="D150" s="430"/>
      <c r="E150" s="603">
        <f>+'[2]MSFR Inc Stmt by Acct - SCH C.2'!G157</f>
        <v>53401800</v>
      </c>
      <c r="F150" s="430"/>
      <c r="G150" s="430" t="str">
        <f>+'[2]MSFR Inc Stmt by Acct - SCH C.2'!I157</f>
        <v>AWWSC Other operting supplies</v>
      </c>
      <c r="H150" s="430"/>
      <c r="I150" s="602" t="str">
        <f>+'[2]MSFR Inc Stmt by Acct - SCH C.2'!K157</f>
        <v>634.8</v>
      </c>
      <c r="J150" s="430"/>
      <c r="L150" s="601">
        <f>+'[2]MSFR Inc Stmt by Acct - SCH C.2'!Q157</f>
        <v>35179.176017758626</v>
      </c>
    </row>
    <row r="151" spans="1:12" x14ac:dyDescent="0.2">
      <c r="A151" s="422"/>
      <c r="C151" s="430">
        <f>+'[2]MSFR Inc Stmt by Acct - SCH C.2'!E158</f>
        <v>0</v>
      </c>
      <c r="D151" s="430"/>
      <c r="E151" s="603">
        <f>+'[2]MSFR Inc Stmt by Acct - SCH C.2'!G158</f>
        <v>53401900</v>
      </c>
      <c r="F151" s="430"/>
      <c r="G151" s="430" t="str">
        <f>+'[2]MSFR Inc Stmt by Acct - SCH C.2'!I158</f>
        <v>AWWSC Maint OPEX</v>
      </c>
      <c r="H151" s="430"/>
      <c r="I151" s="602" t="str">
        <f>+'[2]MSFR Inc Stmt by Acct - SCH C.2'!K158</f>
        <v>634.8</v>
      </c>
      <c r="J151" s="430"/>
      <c r="L151" s="601">
        <f>+'[2]MSFR Inc Stmt by Acct - SCH C.2'!Q158</f>
        <v>302054.33943006338</v>
      </c>
    </row>
    <row r="152" spans="1:12" x14ac:dyDescent="0.2">
      <c r="A152" s="422"/>
      <c r="C152" s="430">
        <f>+'[2]MSFR Inc Stmt by Acct - SCH C.2'!E159</f>
        <v>0</v>
      </c>
      <c r="D152" s="430"/>
      <c r="E152" s="603">
        <f>+'[2]MSFR Inc Stmt by Acct - SCH C.2'!G159</f>
        <v>53402100</v>
      </c>
      <c r="F152" s="430"/>
      <c r="G152" s="430" t="str">
        <f>+'[2]MSFR Inc Stmt by Acct - SCH C.2'!I159</f>
        <v>AWWSC Oth O&amp;M OPEX</v>
      </c>
      <c r="H152" s="430"/>
      <c r="I152" s="602" t="str">
        <f>+'[2]MSFR Inc Stmt by Acct - SCH C.2'!K159</f>
        <v>634.8</v>
      </c>
      <c r="J152" s="430"/>
      <c r="L152" s="601">
        <f>+'[2]MSFR Inc Stmt by Acct - SCH C.2'!Q159</f>
        <v>268903.43446280749</v>
      </c>
    </row>
    <row r="153" spans="1:12" x14ac:dyDescent="0.2">
      <c r="A153" s="422"/>
      <c r="C153" s="430">
        <f>+'[2]MSFR Inc Stmt by Acct - SCH C.2'!E160</f>
        <v>0</v>
      </c>
      <c r="D153" s="430"/>
      <c r="E153" s="603">
        <f>+'[2]MSFR Inc Stmt by Acct - SCH C.2'!G160</f>
        <v>53402200</v>
      </c>
      <c r="F153" s="430"/>
      <c r="G153" s="430" t="str">
        <f>+'[2]MSFR Inc Stmt by Acct - SCH C.2'!I160</f>
        <v>AWWSC Dpr/Amrt OPEX</v>
      </c>
      <c r="H153" s="430"/>
      <c r="I153" s="602" t="str">
        <f>+'[2]MSFR Inc Stmt by Acct - SCH C.2'!K160</f>
        <v>634.8</v>
      </c>
      <c r="J153" s="430"/>
      <c r="L153" s="601">
        <f>+'[2]MSFR Inc Stmt by Acct - SCH C.2'!Q160</f>
        <v>963700.58999193204</v>
      </c>
    </row>
    <row r="154" spans="1:12" x14ac:dyDescent="0.2">
      <c r="A154" s="422"/>
      <c r="C154" s="430">
        <f>+'[2]MSFR Inc Stmt by Acct - SCH C.2'!E161</f>
        <v>0</v>
      </c>
      <c r="D154" s="430"/>
      <c r="E154" s="603">
        <f>+'[2]MSFR Inc Stmt by Acct - SCH C.2'!G161</f>
        <v>53402300</v>
      </c>
      <c r="F154" s="430"/>
      <c r="G154" s="430" t="str">
        <f>+'[2]MSFR Inc Stmt by Acct - SCH C.2'!I161</f>
        <v>AWWSC Gen Tax OPEX</v>
      </c>
      <c r="H154" s="430"/>
      <c r="I154" s="602" t="str">
        <f>+'[2]MSFR Inc Stmt by Acct - SCH C.2'!K161</f>
        <v>634.8</v>
      </c>
      <c r="J154" s="430"/>
      <c r="L154" s="601">
        <f>+'[2]MSFR Inc Stmt by Acct - SCH C.2'!Q161</f>
        <v>341706.24823191762</v>
      </c>
    </row>
    <row r="155" spans="1:12" x14ac:dyDescent="0.2">
      <c r="A155" s="422"/>
      <c r="C155" s="430">
        <f>+'[2]MSFR Inc Stmt by Acct - SCH C.2'!E162</f>
        <v>0</v>
      </c>
      <c r="D155" s="430"/>
      <c r="E155" s="603">
        <f>+'[2]MSFR Inc Stmt by Acct - SCH C.2'!G162</f>
        <v>53402400</v>
      </c>
      <c r="F155" s="430"/>
      <c r="G155" s="430" t="str">
        <f>+'[2]MSFR Inc Stmt by Acct - SCH C.2'!I162</f>
        <v>AWWSC Interest OPEX</v>
      </c>
      <c r="H155" s="430"/>
      <c r="I155" s="602" t="str">
        <f>+'[2]MSFR Inc Stmt by Acct - SCH C.2'!K162</f>
        <v>634.8</v>
      </c>
      <c r="J155" s="430"/>
      <c r="L155" s="601">
        <f>+'[2]MSFR Inc Stmt by Acct - SCH C.2'!Q162</f>
        <v>87661.347979078782</v>
      </c>
    </row>
    <row r="156" spans="1:12" x14ac:dyDescent="0.2">
      <c r="A156" s="422"/>
      <c r="C156" s="430">
        <f>+'[2]MSFR Inc Stmt by Acct - SCH C.2'!E163</f>
        <v>0</v>
      </c>
      <c r="D156" s="430"/>
      <c r="E156" s="603">
        <f>+'[2]MSFR Inc Stmt by Acct - SCH C.2'!G163</f>
        <v>53402500</v>
      </c>
      <c r="F156" s="430"/>
      <c r="G156" s="430" t="str">
        <f>+'[2]MSFR Inc Stmt by Acct - SCH C.2'!I163</f>
        <v>AWWSC Oth Inc OPEX</v>
      </c>
      <c r="H156" s="430"/>
      <c r="I156" s="602" t="str">
        <f>+'[2]MSFR Inc Stmt by Acct - SCH C.2'!K163</f>
        <v>634.8</v>
      </c>
      <c r="J156" s="430"/>
      <c r="L156" s="601">
        <f>+'[2]MSFR Inc Stmt by Acct - SCH C.2'!Q163</f>
        <v>-9917.9820251336405</v>
      </c>
    </row>
    <row r="157" spans="1:12" x14ac:dyDescent="0.2">
      <c r="A157" s="422"/>
      <c r="C157" s="430">
        <f>+'[2]MSFR Inc Stmt by Acct - SCH C.2'!E164</f>
        <v>0</v>
      </c>
      <c r="D157" s="430"/>
      <c r="E157" s="603">
        <f>+'[2]MSFR Inc Stmt by Acct - SCH C.2'!G164</f>
        <v>53402600</v>
      </c>
      <c r="F157" s="430"/>
      <c r="G157" s="430" t="str">
        <f>+'[2]MSFR Inc Stmt by Acct - SCH C.2'!I164</f>
        <v>AWWSC Inc Tax OPEX</v>
      </c>
      <c r="H157" s="430"/>
      <c r="I157" s="602" t="str">
        <f>+'[2]MSFR Inc Stmt by Acct - SCH C.2'!K164</f>
        <v>634.8</v>
      </c>
      <c r="J157" s="430"/>
      <c r="L157" s="601">
        <f>+'[2]MSFR Inc Stmt by Acct - SCH C.2'!Q164</f>
        <v>4908.9427658661025</v>
      </c>
    </row>
    <row r="158" spans="1:12" x14ac:dyDescent="0.2">
      <c r="A158" s="422"/>
      <c r="C158" s="430">
        <f>+'[2]MSFR Inc Stmt by Acct - SCH C.2'!E165</f>
        <v>0</v>
      </c>
      <c r="D158" s="430"/>
      <c r="E158" s="603">
        <f>+'[2]MSFR Inc Stmt by Acct - SCH C.2'!G165</f>
        <v>0</v>
      </c>
      <c r="F158" s="430"/>
      <c r="G158" s="430">
        <f>+'[2]MSFR Inc Stmt by Acct - SCH C.2'!I165</f>
        <v>0</v>
      </c>
      <c r="H158" s="430"/>
      <c r="I158" s="602" t="str">
        <f>+'[2]MSFR Inc Stmt by Acct - SCH C.2'!K165</f>
        <v>Total</v>
      </c>
      <c r="J158" s="430"/>
      <c r="L158" s="607">
        <f>+'[2]MSFR Inc Stmt by Acct - SCH C.2'!Q165</f>
        <v>8603681.3500592448</v>
      </c>
    </row>
    <row r="159" spans="1:12" x14ac:dyDescent="0.2">
      <c r="A159" s="422"/>
      <c r="C159" s="430">
        <f>+'[2]MSFR Inc Stmt by Acct - SCH C.2'!E166</f>
        <v>0</v>
      </c>
      <c r="D159" s="430"/>
      <c r="E159" s="603">
        <f>+'[2]MSFR Inc Stmt by Acct - SCH C.2'!G166</f>
        <v>0</v>
      </c>
      <c r="F159" s="430"/>
      <c r="G159" s="430">
        <f>+'[2]MSFR Inc Stmt by Acct - SCH C.2'!I166</f>
        <v>0</v>
      </c>
      <c r="H159" s="430"/>
      <c r="I159" s="602">
        <f>+'[2]MSFR Inc Stmt by Acct - SCH C.2'!K166</f>
        <v>0</v>
      </c>
      <c r="J159" s="430"/>
      <c r="L159" s="601">
        <f>+'[2]MSFR Inc Stmt by Acct - SCH C.2'!Q166</f>
        <v>0</v>
      </c>
    </row>
    <row r="160" spans="1:12" x14ac:dyDescent="0.2">
      <c r="A160" s="422"/>
      <c r="C160" s="430" t="str">
        <f>+'[2]MSFR Inc Stmt by Acct - SCH C.2'!E167</f>
        <v>Contracted services</v>
      </c>
      <c r="D160" s="430"/>
      <c r="E160" s="603">
        <f>+'[2]MSFR Inc Stmt by Acct - SCH C.2'!G167</f>
        <v>53110000</v>
      </c>
      <c r="F160" s="430"/>
      <c r="G160" s="430" t="str">
        <f>+'[2]MSFR Inc Stmt by Acct - SCH C.2'!I167</f>
        <v>Contr Svc-Eng</v>
      </c>
      <c r="H160" s="430"/>
      <c r="I160" s="602" t="str">
        <f>+'[2]MSFR Inc Stmt by Acct - SCH C.2'!K167</f>
        <v>631.8</v>
      </c>
      <c r="J160" s="430"/>
      <c r="L160" s="601">
        <f>+'[2]MSFR Inc Stmt by Acct - SCH C.2'!Q167</f>
        <v>0</v>
      </c>
    </row>
    <row r="161" spans="1:12" x14ac:dyDescent="0.2">
      <c r="A161" s="422"/>
      <c r="C161" s="430">
        <f>+'[2]MSFR Inc Stmt by Acct - SCH C.2'!E168</f>
        <v>0</v>
      </c>
      <c r="D161" s="430"/>
      <c r="E161" s="603">
        <f>+'[2]MSFR Inc Stmt by Acct - SCH C.2'!G168</f>
        <v>53110011</v>
      </c>
      <c r="F161" s="430"/>
      <c r="G161" s="430" t="str">
        <f>+'[2]MSFR Inc Stmt by Acct - SCH C.2'!I168</f>
        <v>Contr Svc-Eng SS</v>
      </c>
      <c r="H161" s="430"/>
      <c r="I161" s="602" t="str">
        <f>+'[2]MSFR Inc Stmt by Acct - SCH C.2'!K168</f>
        <v>631.1</v>
      </c>
      <c r="J161" s="430"/>
      <c r="L161" s="604">
        <f>+'[2]MSFR Inc Stmt by Acct - SCH C.2'!Q168</f>
        <v>682.14177952465366</v>
      </c>
    </row>
    <row r="162" spans="1:12" x14ac:dyDescent="0.2">
      <c r="A162" s="422"/>
      <c r="C162" s="430">
        <f>+'[2]MSFR Inc Stmt by Acct - SCH C.2'!E169</f>
        <v>0</v>
      </c>
      <c r="D162" s="430"/>
      <c r="E162" s="603">
        <f>+'[2]MSFR Inc Stmt by Acct - SCH C.2'!G169</f>
        <v>53110016</v>
      </c>
      <c r="F162" s="430"/>
      <c r="G162" s="430" t="str">
        <f>+'[2]MSFR Inc Stmt by Acct - SCH C.2'!I169</f>
        <v>Contr Svc-Eng AG</v>
      </c>
      <c r="H162" s="430"/>
      <c r="I162" s="602" t="str">
        <f>+'[2]MSFR Inc Stmt by Acct - SCH C.2'!K169</f>
        <v>631.8</v>
      </c>
      <c r="J162" s="430"/>
      <c r="L162" s="607">
        <f>+'[2]MSFR Inc Stmt by Acct - SCH C.2'!Q169</f>
        <v>22233.392520428872</v>
      </c>
    </row>
    <row r="163" spans="1:12" x14ac:dyDescent="0.2">
      <c r="A163" s="422"/>
      <c r="C163" s="430">
        <f>+'[2]MSFR Inc Stmt by Acct - SCH C.2'!E170</f>
        <v>0</v>
      </c>
      <c r="D163" s="430"/>
      <c r="E163" s="603">
        <f>+'[2]MSFR Inc Stmt by Acct - SCH C.2'!G170</f>
        <v>53150000</v>
      </c>
      <c r="F163" s="430"/>
      <c r="G163" s="430" t="str">
        <f>+'[2]MSFR Inc Stmt by Acct - SCH C.2'!I170</f>
        <v>Contr Svc-Other</v>
      </c>
      <c r="H163" s="430"/>
      <c r="I163" s="602" t="str">
        <f>+'[2]MSFR Inc Stmt by Acct - SCH C.2'!K170</f>
        <v>636.8</v>
      </c>
      <c r="J163" s="430"/>
      <c r="L163" s="607">
        <f>+'[2]MSFR Inc Stmt by Acct - SCH C.2'!Q170</f>
        <v>0</v>
      </c>
    </row>
    <row r="164" spans="1:12" x14ac:dyDescent="0.2">
      <c r="A164" s="422"/>
      <c r="C164" s="430">
        <f>+'[2]MSFR Inc Stmt by Acct - SCH C.2'!E171</f>
        <v>0</v>
      </c>
      <c r="D164" s="430"/>
      <c r="E164" s="603">
        <f>+'[2]MSFR Inc Stmt by Acct - SCH C.2'!G171</f>
        <v>53150011</v>
      </c>
      <c r="F164" s="430"/>
      <c r="G164" s="430" t="str">
        <f>+'[2]MSFR Inc Stmt by Acct - SCH C.2'!I171</f>
        <v>Contr Svc-Other SS</v>
      </c>
      <c r="H164" s="430"/>
      <c r="I164" s="602" t="str">
        <f>+'[2]MSFR Inc Stmt by Acct - SCH C.2'!K171</f>
        <v>636.1</v>
      </c>
      <c r="J164" s="430"/>
      <c r="L164" s="604">
        <f>+'[2]MSFR Inc Stmt by Acct - SCH C.2'!Q171</f>
        <v>0</v>
      </c>
    </row>
    <row r="165" spans="1:12" x14ac:dyDescent="0.2">
      <c r="A165" s="422"/>
      <c r="C165" s="430">
        <f>+'[2]MSFR Inc Stmt by Acct - SCH C.2'!E172</f>
        <v>0</v>
      </c>
      <c r="D165" s="430"/>
      <c r="E165" s="603">
        <f>+'[2]MSFR Inc Stmt by Acct - SCH C.2'!G172</f>
        <v>53150013</v>
      </c>
      <c r="F165" s="430"/>
      <c r="G165" s="430" t="str">
        <f>+'[2]MSFR Inc Stmt by Acct - SCH C.2'!I172</f>
        <v>Contr Svc-Other WT</v>
      </c>
      <c r="H165" s="430"/>
      <c r="I165" s="602" t="str">
        <f>+'[2]MSFR Inc Stmt by Acct - SCH C.2'!K172</f>
        <v>636.3</v>
      </c>
      <c r="J165" s="430"/>
      <c r="L165" s="609">
        <f>+'[2]MSFR Inc Stmt by Acct - SCH C.2'!Q172</f>
        <v>29764.41494606404</v>
      </c>
    </row>
    <row r="166" spans="1:12" x14ac:dyDescent="0.2">
      <c r="A166" s="422"/>
      <c r="C166" s="430">
        <f>+'[2]MSFR Inc Stmt by Acct - SCH C.2'!E173</f>
        <v>0</v>
      </c>
      <c r="D166" s="430"/>
      <c r="E166" s="603">
        <f>+'[2]MSFR Inc Stmt by Acct - SCH C.2'!G173</f>
        <v>53150014</v>
      </c>
      <c r="F166" s="430"/>
      <c r="G166" s="430" t="str">
        <f>+'[2]MSFR Inc Stmt by Acct - SCH C.2'!I173</f>
        <v>Contr Svc-Other TD</v>
      </c>
      <c r="H166" s="430"/>
      <c r="I166" s="602" t="str">
        <f>+'[2]MSFR Inc Stmt by Acct - SCH C.2'!K173</f>
        <v>636.5</v>
      </c>
      <c r="J166" s="430"/>
      <c r="L166" s="610">
        <f>+'[2]MSFR Inc Stmt by Acct - SCH C.2'!Q173</f>
        <v>93439.249420238077</v>
      </c>
    </row>
    <row r="167" spans="1:12" x14ac:dyDescent="0.2">
      <c r="A167" s="422"/>
      <c r="C167" s="430">
        <f>+'[2]MSFR Inc Stmt by Acct - SCH C.2'!E174</f>
        <v>0</v>
      </c>
      <c r="D167" s="430"/>
      <c r="E167" s="603">
        <f>+'[2]MSFR Inc Stmt by Acct - SCH C.2'!G174</f>
        <v>53150015</v>
      </c>
      <c r="F167" s="430"/>
      <c r="G167" s="430" t="str">
        <f>+'[2]MSFR Inc Stmt by Acct - SCH C.2'!I174</f>
        <v>Contr Svc-Other CA</v>
      </c>
      <c r="H167" s="430"/>
      <c r="I167" s="602" t="str">
        <f>+'[2]MSFR Inc Stmt by Acct - SCH C.2'!K174</f>
        <v>636.7</v>
      </c>
      <c r="J167" s="430"/>
      <c r="L167" s="608">
        <f>+'[2]MSFR Inc Stmt by Acct - SCH C.2'!Q174</f>
        <v>34286.040456056035</v>
      </c>
    </row>
    <row r="168" spans="1:12" x14ac:dyDescent="0.2">
      <c r="A168" s="422"/>
      <c r="C168" s="430">
        <f>+'[2]MSFR Inc Stmt by Acct - SCH C.2'!E175</f>
        <v>0</v>
      </c>
      <c r="D168" s="430"/>
      <c r="E168" s="603">
        <f>+'[2]MSFR Inc Stmt by Acct - SCH C.2'!G175</f>
        <v>53150016</v>
      </c>
      <c r="F168" s="430"/>
      <c r="G168" s="430" t="str">
        <f>+'[2]MSFR Inc Stmt by Acct - SCH C.2'!I175</f>
        <v>Contr Svc-Other AG</v>
      </c>
      <c r="H168" s="430"/>
      <c r="I168" s="602" t="str">
        <f>+'[2]MSFR Inc Stmt by Acct - SCH C.2'!K175</f>
        <v>636.8</v>
      </c>
      <c r="J168" s="430"/>
      <c r="L168" s="607">
        <f>+'[2]MSFR Inc Stmt by Acct - SCH C.2'!Q175</f>
        <v>46209.347223097997</v>
      </c>
    </row>
    <row r="169" spans="1:12" x14ac:dyDescent="0.2">
      <c r="A169" s="422"/>
      <c r="C169" s="430">
        <f>+'[2]MSFR Inc Stmt by Acct - SCH C.2'!E176</f>
        <v>0</v>
      </c>
      <c r="D169" s="430"/>
      <c r="E169" s="603">
        <f>+'[2]MSFR Inc Stmt by Acct - SCH C.2'!G176</f>
        <v>53151000</v>
      </c>
      <c r="F169" s="430"/>
      <c r="G169" s="430" t="str">
        <f>+'[2]MSFR Inc Stmt by Acct - SCH C.2'!I176</f>
        <v>Contr Svc-Temp EE</v>
      </c>
      <c r="H169" s="430"/>
      <c r="I169" s="602" t="str">
        <f>+'[2]MSFR Inc Stmt by Acct - SCH C.2'!K176</f>
        <v>636.8</v>
      </c>
      <c r="J169" s="430"/>
      <c r="L169" s="607">
        <f>+'[2]MSFR Inc Stmt by Acct - SCH C.2'!Q176</f>
        <v>0</v>
      </c>
    </row>
    <row r="170" spans="1:12" x14ac:dyDescent="0.2">
      <c r="A170" s="422"/>
      <c r="C170" s="430">
        <f>+'[2]MSFR Inc Stmt by Acct - SCH C.2'!E177</f>
        <v>0</v>
      </c>
      <c r="D170" s="430"/>
      <c r="E170" s="603">
        <f>+'[2]MSFR Inc Stmt by Acct - SCH C.2'!G177</f>
        <v>53151016</v>
      </c>
      <c r="F170" s="430"/>
      <c r="G170" s="430" t="str">
        <f>+'[2]MSFR Inc Stmt by Acct - SCH C.2'!I177</f>
        <v>Contr Svc-Temp EE AG</v>
      </c>
      <c r="H170" s="430"/>
      <c r="I170" s="602" t="str">
        <f>+'[2]MSFR Inc Stmt by Acct - SCH C.2'!K177</f>
        <v>636.8</v>
      </c>
      <c r="J170" s="430"/>
      <c r="L170" s="607">
        <f>+'[2]MSFR Inc Stmt by Acct - SCH C.2'!Q177</f>
        <v>17741.887556545764</v>
      </c>
    </row>
    <row r="171" spans="1:12" x14ac:dyDescent="0.2">
      <c r="A171" s="422"/>
      <c r="C171" s="430">
        <f>+'[2]MSFR Inc Stmt by Acct - SCH C.2'!E178</f>
        <v>0</v>
      </c>
      <c r="D171" s="430"/>
      <c r="E171" s="603">
        <f>+'[2]MSFR Inc Stmt by Acct - SCH C.2'!G178</f>
        <v>53152000</v>
      </c>
      <c r="F171" s="430"/>
      <c r="G171" s="430" t="str">
        <f>+'[2]MSFR Inc Stmt by Acct - SCH C.2'!I178</f>
        <v>Contr Svc-Lab Testng</v>
      </c>
      <c r="H171" s="430"/>
      <c r="I171" s="602" t="str">
        <f>+'[2]MSFR Inc Stmt by Acct - SCH C.2'!K178</f>
        <v>635.3</v>
      </c>
      <c r="J171" s="430"/>
      <c r="L171" s="609">
        <f>+'[2]MSFR Inc Stmt by Acct - SCH C.2'!Q178</f>
        <v>55864.754047824223</v>
      </c>
    </row>
    <row r="172" spans="1:12" x14ac:dyDescent="0.2">
      <c r="A172" s="422"/>
      <c r="C172" s="430">
        <f>+'[2]MSFR Inc Stmt by Acct - SCH C.2'!E179</f>
        <v>0</v>
      </c>
      <c r="D172" s="430"/>
      <c r="E172" s="603">
        <f>+'[2]MSFR Inc Stmt by Acct - SCH C.2'!G179</f>
        <v>53153000</v>
      </c>
      <c r="F172" s="430"/>
      <c r="G172" s="430" t="str">
        <f>+'[2]MSFR Inc Stmt by Acct - SCH C.2'!I179</f>
        <v>Contr Svc-Accounting</v>
      </c>
      <c r="H172" s="430"/>
      <c r="I172" s="602" t="str">
        <f>+'[2]MSFR Inc Stmt by Acct - SCH C.2'!K179</f>
        <v>632.8</v>
      </c>
      <c r="J172" s="430"/>
      <c r="L172" s="607">
        <f>+'[2]MSFR Inc Stmt by Acct - SCH C.2'!Q179</f>
        <v>243824.93485297516</v>
      </c>
    </row>
    <row r="173" spans="1:12" x14ac:dyDescent="0.2">
      <c r="A173" s="422"/>
      <c r="C173" s="430">
        <f>+'[2]MSFR Inc Stmt by Acct - SCH C.2'!E180</f>
        <v>0</v>
      </c>
      <c r="D173" s="430"/>
      <c r="E173" s="603">
        <f>+'[2]MSFR Inc Stmt by Acct - SCH C.2'!G180</f>
        <v>53154000</v>
      </c>
      <c r="F173" s="430"/>
      <c r="G173" s="430" t="str">
        <f>+'[2]MSFR Inc Stmt by Acct - SCH C.2'!I180</f>
        <v>Contr Svc-Audit Fees</v>
      </c>
      <c r="H173" s="430"/>
      <c r="I173" s="602" t="str">
        <f>+'[2]MSFR Inc Stmt by Acct - SCH C.2'!K180</f>
        <v>632.8</v>
      </c>
      <c r="J173" s="430"/>
      <c r="L173" s="607">
        <f>+'[2]MSFR Inc Stmt by Acct - SCH C.2'!Q180</f>
        <v>83272.679210075832</v>
      </c>
    </row>
    <row r="174" spans="1:12" x14ac:dyDescent="0.2">
      <c r="A174" s="422"/>
      <c r="C174" s="430">
        <f>+'[2]MSFR Inc Stmt by Acct - SCH C.2'!E181</f>
        <v>0</v>
      </c>
      <c r="D174" s="430"/>
      <c r="E174" s="603">
        <f>+'[2]MSFR Inc Stmt by Acct - SCH C.2'!G181</f>
        <v>53155000</v>
      </c>
      <c r="F174" s="430"/>
      <c r="G174" s="430" t="str">
        <f>+'[2]MSFR Inc Stmt by Acct - SCH C.2'!I181</f>
        <v>Contr Svc-Legal</v>
      </c>
      <c r="H174" s="430"/>
      <c r="I174" s="602" t="str">
        <f>+'[2]MSFR Inc Stmt by Acct - SCH C.2'!K181</f>
        <v>633.8</v>
      </c>
      <c r="J174" s="430"/>
      <c r="L174" s="607">
        <f>+'[2]MSFR Inc Stmt by Acct - SCH C.2'!Q181</f>
        <v>127877.66440366844</v>
      </c>
    </row>
    <row r="175" spans="1:12" x14ac:dyDescent="0.2">
      <c r="A175" s="422"/>
      <c r="C175" s="430">
        <f>+'[2]MSFR Inc Stmt by Acct - SCH C.2'!E182</f>
        <v>0</v>
      </c>
      <c r="D175" s="430"/>
      <c r="E175" s="603">
        <f>+'[2]MSFR Inc Stmt by Acct - SCH C.2'!G182</f>
        <v>53157000</v>
      </c>
      <c r="F175" s="430"/>
      <c r="G175" s="430" t="str">
        <f>+'[2]MSFR Inc Stmt by Acct - SCH C.2'!I182</f>
        <v>Contr Svc-Outplacemt</v>
      </c>
      <c r="H175" s="430"/>
      <c r="I175" s="602" t="str">
        <f>+'[2]MSFR Inc Stmt by Acct - SCH C.2'!K182</f>
        <v>675.8</v>
      </c>
      <c r="J175" s="430"/>
      <c r="L175" s="607">
        <f>+'[2]MSFR Inc Stmt by Acct - SCH C.2'!Q182</f>
        <v>3474.4935835008982</v>
      </c>
    </row>
    <row r="176" spans="1:12" x14ac:dyDescent="0.2">
      <c r="A176" s="422"/>
      <c r="C176" s="430">
        <f>+'[2]MSFR Inc Stmt by Acct - SCH C.2'!E183</f>
        <v>0</v>
      </c>
      <c r="D176" s="430"/>
      <c r="E176" s="603">
        <f>+'[2]MSFR Inc Stmt by Acct - SCH C.2'!G183</f>
        <v>0</v>
      </c>
      <c r="F176" s="430"/>
      <c r="G176" s="430">
        <f>+'[2]MSFR Inc Stmt by Acct - SCH C.2'!I183</f>
        <v>0</v>
      </c>
      <c r="H176" s="430"/>
      <c r="I176" s="602" t="str">
        <f>+'[2]MSFR Inc Stmt by Acct - SCH C.2'!K183</f>
        <v>Total</v>
      </c>
      <c r="J176" s="430"/>
      <c r="L176" s="601">
        <f>+'[2]MSFR Inc Stmt by Acct - SCH C.2'!Q183</f>
        <v>758671</v>
      </c>
    </row>
    <row r="177" spans="1:12" x14ac:dyDescent="0.2">
      <c r="A177" s="422"/>
      <c r="C177" s="430">
        <f>+'[2]MSFR Inc Stmt by Acct - SCH C.2'!E184</f>
        <v>0</v>
      </c>
      <c r="D177" s="430"/>
      <c r="E177" s="603">
        <f>+'[2]MSFR Inc Stmt by Acct - SCH C.2'!G184</f>
        <v>0</v>
      </c>
      <c r="F177" s="430"/>
      <c r="G177" s="430">
        <f>+'[2]MSFR Inc Stmt by Acct - SCH C.2'!I184</f>
        <v>0</v>
      </c>
      <c r="H177" s="430"/>
      <c r="I177" s="602">
        <f>+'[2]MSFR Inc Stmt by Acct - SCH C.2'!K184</f>
        <v>0</v>
      </c>
      <c r="J177" s="430"/>
      <c r="L177" s="601">
        <f>+'[2]MSFR Inc Stmt by Acct - SCH C.2'!Q184</f>
        <v>0</v>
      </c>
    </row>
    <row r="178" spans="1:12" x14ac:dyDescent="0.2">
      <c r="A178" s="422"/>
      <c r="C178" s="430" t="str">
        <f>+'[2]MSFR Inc Stmt by Acct - SCH C.2'!E185</f>
        <v>Building Maintenance and Services</v>
      </c>
      <c r="D178" s="430"/>
      <c r="E178" s="603">
        <f>+'[2]MSFR Inc Stmt by Acct - SCH C.2'!G185</f>
        <v>52532000</v>
      </c>
      <c r="F178" s="430"/>
      <c r="G178" s="430" t="str">
        <f>+'[2]MSFR Inc Stmt by Acct - SCH C.2'!I185</f>
        <v>Electricity</v>
      </c>
      <c r="H178" s="430"/>
      <c r="I178" s="602" t="str">
        <f>+'[2]MSFR Inc Stmt by Acct - SCH C.2'!K185</f>
        <v>675.8</v>
      </c>
      <c r="J178" s="430"/>
      <c r="L178" s="601">
        <f>+'[2]MSFR Inc Stmt by Acct - SCH C.2'!Q185</f>
        <v>0</v>
      </c>
    </row>
    <row r="179" spans="1:12" x14ac:dyDescent="0.2">
      <c r="A179" s="422"/>
      <c r="C179" s="430">
        <f>+'[2]MSFR Inc Stmt by Acct - SCH C.2'!E186</f>
        <v>0</v>
      </c>
      <c r="D179" s="430"/>
      <c r="E179" s="603">
        <f>+'[2]MSFR Inc Stmt by Acct - SCH C.2'!G186</f>
        <v>52532011</v>
      </c>
      <c r="F179" s="430"/>
      <c r="G179" s="430" t="str">
        <f>+'[2]MSFR Inc Stmt by Acct - SCH C.2'!I186</f>
        <v>Electricity SS</v>
      </c>
      <c r="H179" s="430"/>
      <c r="I179" s="602" t="str">
        <f>+'[2]MSFR Inc Stmt by Acct - SCH C.2'!K186</f>
        <v>675.1</v>
      </c>
      <c r="J179" s="430"/>
      <c r="L179" s="604">
        <f>+'[2]MSFR Inc Stmt by Acct - SCH C.2'!Q186</f>
        <v>921.81464593557246</v>
      </c>
    </row>
    <row r="180" spans="1:12" x14ac:dyDescent="0.2">
      <c r="A180" s="422"/>
      <c r="C180" s="430">
        <f>+'[2]MSFR Inc Stmt by Acct - SCH C.2'!E187</f>
        <v>0</v>
      </c>
      <c r="D180" s="430"/>
      <c r="E180" s="603">
        <f>+'[2]MSFR Inc Stmt by Acct - SCH C.2'!G187</f>
        <v>52532013</v>
      </c>
      <c r="F180" s="430"/>
      <c r="G180" s="430" t="str">
        <f>+'[2]MSFR Inc Stmt by Acct - SCH C.2'!I187</f>
        <v>Electricity WT</v>
      </c>
      <c r="H180" s="430"/>
      <c r="I180" s="602" t="str">
        <f>+'[2]MSFR Inc Stmt by Acct - SCH C.2'!K187</f>
        <v>675.3</v>
      </c>
      <c r="J180" s="430"/>
      <c r="L180" s="609">
        <f>+'[2]MSFR Inc Stmt by Acct - SCH C.2'!Q187</f>
        <v>9430.4745519588614</v>
      </c>
    </row>
    <row r="181" spans="1:12" x14ac:dyDescent="0.2">
      <c r="A181" s="422"/>
      <c r="C181" s="430">
        <f>+'[2]MSFR Inc Stmt by Acct - SCH C.2'!E188</f>
        <v>0</v>
      </c>
      <c r="D181" s="430"/>
      <c r="E181" s="603">
        <f>+'[2]MSFR Inc Stmt by Acct - SCH C.2'!G188</f>
        <v>52532014</v>
      </c>
      <c r="F181" s="430"/>
      <c r="G181" s="430" t="str">
        <f>+'[2]MSFR Inc Stmt by Acct - SCH C.2'!I188</f>
        <v>Electricity TD</v>
      </c>
      <c r="H181" s="430"/>
      <c r="I181" s="602" t="str">
        <f>+'[2]MSFR Inc Stmt by Acct - SCH C.2'!K188</f>
        <v>675.5</v>
      </c>
      <c r="J181" s="430"/>
      <c r="L181" s="610">
        <f>+'[2]MSFR Inc Stmt by Acct - SCH C.2'!Q188</f>
        <v>36906.247608201447</v>
      </c>
    </row>
    <row r="182" spans="1:12" x14ac:dyDescent="0.2">
      <c r="A182" s="422"/>
      <c r="C182" s="430">
        <f>+'[2]MSFR Inc Stmt by Acct - SCH C.2'!E189</f>
        <v>0</v>
      </c>
      <c r="D182" s="430"/>
      <c r="E182" s="603">
        <f>+'[2]MSFR Inc Stmt by Acct - SCH C.2'!G189</f>
        <v>52532016</v>
      </c>
      <c r="F182" s="430"/>
      <c r="G182" s="430" t="str">
        <f>+'[2]MSFR Inc Stmt by Acct - SCH C.2'!I189</f>
        <v>Electricity AG</v>
      </c>
      <c r="H182" s="430"/>
      <c r="I182" s="602" t="str">
        <f>+'[2]MSFR Inc Stmt by Acct - SCH C.2'!K189</f>
        <v>675.8</v>
      </c>
      <c r="J182" s="430"/>
      <c r="L182" s="607">
        <f>+'[2]MSFR Inc Stmt by Acct - SCH C.2'!Q189</f>
        <v>85081.420326266962</v>
      </c>
    </row>
    <row r="183" spans="1:12" x14ac:dyDescent="0.2">
      <c r="A183" s="422"/>
      <c r="C183" s="430">
        <f>+'[2]MSFR Inc Stmt by Acct - SCH C.2'!E190</f>
        <v>0</v>
      </c>
      <c r="D183" s="430"/>
      <c r="E183" s="603">
        <f>+'[2]MSFR Inc Stmt by Acct - SCH C.2'!G190</f>
        <v>52546000</v>
      </c>
      <c r="F183" s="430"/>
      <c r="G183" s="430" t="str">
        <f>+'[2]MSFR Inc Stmt by Acct - SCH C.2'!I190</f>
        <v>Grounds Keeping</v>
      </c>
      <c r="H183" s="430"/>
      <c r="I183" s="602" t="str">
        <f>+'[2]MSFR Inc Stmt by Acct - SCH C.2'!K190</f>
        <v>675.8</v>
      </c>
      <c r="J183" s="430"/>
      <c r="L183" s="601">
        <f>+'[2]MSFR Inc Stmt by Acct - SCH C.2'!Q190</f>
        <v>0</v>
      </c>
    </row>
    <row r="184" spans="1:12" x14ac:dyDescent="0.2">
      <c r="A184" s="422"/>
      <c r="C184" s="430">
        <f>+'[2]MSFR Inc Stmt by Acct - SCH C.2'!E191</f>
        <v>0</v>
      </c>
      <c r="D184" s="430"/>
      <c r="E184" s="603">
        <f>+'[2]MSFR Inc Stmt by Acct - SCH C.2'!G191</f>
        <v>52546011</v>
      </c>
      <c r="F184" s="430"/>
      <c r="G184" s="430" t="str">
        <f>+'[2]MSFR Inc Stmt by Acct - SCH C.2'!I191</f>
        <v>Grounds Keeping SS</v>
      </c>
      <c r="H184" s="430"/>
      <c r="I184" s="602" t="str">
        <f>+'[2]MSFR Inc Stmt by Acct - SCH C.2'!K191</f>
        <v>675.1</v>
      </c>
      <c r="J184" s="430"/>
      <c r="L184" s="604">
        <f>+'[2]MSFR Inc Stmt by Acct - SCH C.2'!Q191</f>
        <v>0</v>
      </c>
    </row>
    <row r="185" spans="1:12" x14ac:dyDescent="0.2">
      <c r="A185" s="422"/>
      <c r="C185" s="430">
        <f>+'[2]MSFR Inc Stmt by Acct - SCH C.2'!E192</f>
        <v>0</v>
      </c>
      <c r="D185" s="430"/>
      <c r="E185" s="603">
        <f>+'[2]MSFR Inc Stmt by Acct - SCH C.2'!G192</f>
        <v>52546013</v>
      </c>
      <c r="F185" s="430"/>
      <c r="G185" s="430" t="str">
        <f>+'[2]MSFR Inc Stmt by Acct - SCH C.2'!I192</f>
        <v>Grounds Keeping WT</v>
      </c>
      <c r="H185" s="430"/>
      <c r="I185" s="602" t="str">
        <f>+'[2]MSFR Inc Stmt by Acct - SCH C.2'!K192</f>
        <v>675.3</v>
      </c>
      <c r="J185" s="430"/>
      <c r="L185" s="609">
        <f>+'[2]MSFR Inc Stmt by Acct - SCH C.2'!Q192</f>
        <v>12315.029370981974</v>
      </c>
    </row>
    <row r="186" spans="1:12" x14ac:dyDescent="0.2">
      <c r="A186" s="422"/>
      <c r="C186" s="430">
        <f>+'[2]MSFR Inc Stmt by Acct - SCH C.2'!E193</f>
        <v>0</v>
      </c>
      <c r="D186" s="430"/>
      <c r="E186" s="603">
        <f>+'[2]MSFR Inc Stmt by Acct - SCH C.2'!G193</f>
        <v>52546014</v>
      </c>
      <c r="F186" s="430"/>
      <c r="G186" s="430" t="str">
        <f>+'[2]MSFR Inc Stmt by Acct - SCH C.2'!I193</f>
        <v>Grounds Keeping TD</v>
      </c>
      <c r="H186" s="430"/>
      <c r="I186" s="602" t="str">
        <f>+'[2]MSFR Inc Stmt by Acct - SCH C.2'!K193</f>
        <v>675.5</v>
      </c>
      <c r="J186" s="430"/>
      <c r="L186" s="610">
        <f>+'[2]MSFR Inc Stmt by Acct - SCH C.2'!Q193</f>
        <v>42292.130932768836</v>
      </c>
    </row>
    <row r="187" spans="1:12" x14ac:dyDescent="0.2">
      <c r="A187" s="422"/>
      <c r="C187" s="430">
        <f>+'[2]MSFR Inc Stmt by Acct - SCH C.2'!E194</f>
        <v>0</v>
      </c>
      <c r="D187" s="430"/>
      <c r="E187" s="603">
        <f>+'[2]MSFR Inc Stmt by Acct - SCH C.2'!G194</f>
        <v>52546016</v>
      </c>
      <c r="F187" s="430"/>
      <c r="G187" s="430" t="str">
        <f>+'[2]MSFR Inc Stmt by Acct - SCH C.2'!I194</f>
        <v>Grounds Keeping AG</v>
      </c>
      <c r="H187" s="430"/>
      <c r="I187" s="602" t="str">
        <f>+'[2]MSFR Inc Stmt by Acct - SCH C.2'!K194</f>
        <v>675.8</v>
      </c>
      <c r="J187" s="430"/>
      <c r="L187" s="607">
        <f>+'[2]MSFR Inc Stmt by Acct - SCH C.2'!Q194</f>
        <v>116283.29247099631</v>
      </c>
    </row>
    <row r="188" spans="1:12" x14ac:dyDescent="0.2">
      <c r="A188" s="422"/>
      <c r="C188" s="430">
        <f>+'[2]MSFR Inc Stmt by Acct - SCH C.2'!E195</f>
        <v>0</v>
      </c>
      <c r="D188" s="430"/>
      <c r="E188" s="603">
        <f>+'[2]MSFR Inc Stmt by Acct - SCH C.2'!G195</f>
        <v>52548000</v>
      </c>
      <c r="F188" s="430"/>
      <c r="G188" s="430" t="str">
        <f>+'[2]MSFR Inc Stmt by Acct - SCH C.2'!I195</f>
        <v>Heating Oil/Gas</v>
      </c>
      <c r="H188" s="430"/>
      <c r="I188" s="602" t="str">
        <f>+'[2]MSFR Inc Stmt by Acct - SCH C.2'!K195</f>
        <v>675.8</v>
      </c>
      <c r="J188" s="430"/>
      <c r="L188" s="601">
        <f>+'[2]MSFR Inc Stmt by Acct - SCH C.2'!Q195</f>
        <v>0</v>
      </c>
    </row>
    <row r="189" spans="1:12" x14ac:dyDescent="0.2">
      <c r="A189" s="422"/>
      <c r="C189" s="430">
        <f>+'[2]MSFR Inc Stmt by Acct - SCH C.2'!E196</f>
        <v>0</v>
      </c>
      <c r="D189" s="430"/>
      <c r="E189" s="603">
        <f>+'[2]MSFR Inc Stmt by Acct - SCH C.2'!G196</f>
        <v>52548013</v>
      </c>
      <c r="F189" s="430"/>
      <c r="G189" s="430" t="str">
        <f>+'[2]MSFR Inc Stmt by Acct - SCH C.2'!I196</f>
        <v>Heating Oil/Gas WT</v>
      </c>
      <c r="H189" s="430"/>
      <c r="I189" s="602" t="str">
        <f>+'[2]MSFR Inc Stmt by Acct - SCH C.2'!K196</f>
        <v>675.3</v>
      </c>
      <c r="J189" s="430"/>
      <c r="L189" s="609">
        <f>+'[2]MSFR Inc Stmt by Acct - SCH C.2'!Q196</f>
        <v>2294.1791469070708</v>
      </c>
    </row>
    <row r="190" spans="1:12" x14ac:dyDescent="0.2">
      <c r="A190" s="422"/>
      <c r="C190" s="430">
        <f>+'[2]MSFR Inc Stmt by Acct - SCH C.2'!E197</f>
        <v>0</v>
      </c>
      <c r="D190" s="430"/>
      <c r="E190" s="603">
        <f>+'[2]MSFR Inc Stmt by Acct - SCH C.2'!G197</f>
        <v>52548014</v>
      </c>
      <c r="F190" s="430"/>
      <c r="G190" s="430" t="str">
        <f>+'[2]MSFR Inc Stmt by Acct - SCH C.2'!I197</f>
        <v>Heating Oil/Gas TD</v>
      </c>
      <c r="H190" s="430"/>
      <c r="I190" s="602" t="str">
        <f>+'[2]MSFR Inc Stmt by Acct - SCH C.2'!K197</f>
        <v>675.5</v>
      </c>
      <c r="J190" s="430"/>
      <c r="L190" s="610">
        <f>+'[2]MSFR Inc Stmt by Acct - SCH C.2'!Q197</f>
        <v>-5075.1592866115789</v>
      </c>
    </row>
    <row r="191" spans="1:12" x14ac:dyDescent="0.2">
      <c r="A191" s="422"/>
      <c r="C191" s="430">
        <f>+'[2]MSFR Inc Stmt by Acct - SCH C.2'!E198</f>
        <v>0</v>
      </c>
      <c r="D191" s="430"/>
      <c r="E191" s="603">
        <f>+'[2]MSFR Inc Stmt by Acct - SCH C.2'!G198</f>
        <v>52548016</v>
      </c>
      <c r="F191" s="430"/>
      <c r="G191" s="430" t="str">
        <f>+'[2]MSFR Inc Stmt by Acct - SCH C.2'!I198</f>
        <v>Heating Oil/Gas AG</v>
      </c>
      <c r="H191" s="430"/>
      <c r="I191" s="602" t="str">
        <f>+'[2]MSFR Inc Stmt by Acct - SCH C.2'!K198</f>
        <v>675.8</v>
      </c>
      <c r="J191" s="430"/>
      <c r="L191" s="607">
        <f>+'[2]MSFR Inc Stmt by Acct - SCH C.2'!Q198</f>
        <v>-1219.5918489765579</v>
      </c>
    </row>
    <row r="192" spans="1:12" x14ac:dyDescent="0.2">
      <c r="A192" s="422"/>
      <c r="C192" s="430">
        <f>+'[2]MSFR Inc Stmt by Acct - SCH C.2'!E199</f>
        <v>0</v>
      </c>
      <c r="D192" s="430"/>
      <c r="E192" s="603">
        <f>+'[2]MSFR Inc Stmt by Acct - SCH C.2'!G199</f>
        <v>52550000</v>
      </c>
      <c r="F192" s="430"/>
      <c r="G192" s="430" t="str">
        <f>+'[2]MSFR Inc Stmt by Acct - SCH C.2'!I199</f>
        <v>Janitorial</v>
      </c>
      <c r="H192" s="430"/>
      <c r="I192" s="602" t="str">
        <f>+'[2]MSFR Inc Stmt by Acct - SCH C.2'!K199</f>
        <v>675.8</v>
      </c>
      <c r="J192" s="430"/>
      <c r="L192" s="601">
        <f>+'[2]MSFR Inc Stmt by Acct - SCH C.2'!Q199</f>
        <v>0</v>
      </c>
    </row>
    <row r="193" spans="1:12" x14ac:dyDescent="0.2">
      <c r="A193" s="422"/>
      <c r="C193" s="430">
        <f>+'[2]MSFR Inc Stmt by Acct - SCH C.2'!E200</f>
        <v>0</v>
      </c>
      <c r="D193" s="430"/>
      <c r="E193" s="603">
        <f>+'[2]MSFR Inc Stmt by Acct - SCH C.2'!G200</f>
        <v>52550013</v>
      </c>
      <c r="F193" s="430"/>
      <c r="G193" s="430" t="str">
        <f>+'[2]MSFR Inc Stmt by Acct - SCH C.2'!I200</f>
        <v>Janitorial WT</v>
      </c>
      <c r="H193" s="430"/>
      <c r="I193" s="602" t="str">
        <f>+'[2]MSFR Inc Stmt by Acct - SCH C.2'!K200</f>
        <v>675.3</v>
      </c>
      <c r="J193" s="430"/>
      <c r="L193" s="609">
        <f>+'[2]MSFR Inc Stmt by Acct - SCH C.2'!Q200</f>
        <v>7087.0974323754544</v>
      </c>
    </row>
    <row r="194" spans="1:12" x14ac:dyDescent="0.2">
      <c r="A194" s="422"/>
      <c r="C194" s="430">
        <f>+'[2]MSFR Inc Stmt by Acct - SCH C.2'!E201</f>
        <v>0</v>
      </c>
      <c r="D194" s="430"/>
      <c r="E194" s="603">
        <f>+'[2]MSFR Inc Stmt by Acct - SCH C.2'!G201</f>
        <v>52550014</v>
      </c>
      <c r="F194" s="430"/>
      <c r="G194" s="430" t="str">
        <f>+'[2]MSFR Inc Stmt by Acct - SCH C.2'!I201</f>
        <v>Janitorial TD</v>
      </c>
      <c r="H194" s="430"/>
      <c r="I194" s="602" t="str">
        <f>+'[2]MSFR Inc Stmt by Acct - SCH C.2'!K201</f>
        <v>675.5</v>
      </c>
      <c r="J194" s="430"/>
      <c r="L194" s="610">
        <f>+'[2]MSFR Inc Stmt by Acct - SCH C.2'!Q201</f>
        <v>13296.399457525742</v>
      </c>
    </row>
    <row r="195" spans="1:12" x14ac:dyDescent="0.2">
      <c r="A195" s="422"/>
      <c r="C195" s="430">
        <f>+'[2]MSFR Inc Stmt by Acct - SCH C.2'!E202</f>
        <v>0</v>
      </c>
      <c r="D195" s="430"/>
      <c r="E195" s="603">
        <f>+'[2]MSFR Inc Stmt by Acct - SCH C.2'!G202</f>
        <v>52550016</v>
      </c>
      <c r="F195" s="430"/>
      <c r="G195" s="430" t="str">
        <f>+'[2]MSFR Inc Stmt by Acct - SCH C.2'!I202</f>
        <v>Janitorial AG</v>
      </c>
      <c r="H195" s="430"/>
      <c r="I195" s="602" t="str">
        <f>+'[2]MSFR Inc Stmt by Acct - SCH C.2'!K202</f>
        <v>675.8</v>
      </c>
      <c r="J195" s="430"/>
      <c r="L195" s="607">
        <f>+'[2]MSFR Inc Stmt by Acct - SCH C.2'!Q202</f>
        <v>43529.848350626155</v>
      </c>
    </row>
    <row r="196" spans="1:12" x14ac:dyDescent="0.2">
      <c r="A196" s="422"/>
      <c r="C196" s="430">
        <f>+'[2]MSFR Inc Stmt by Acct - SCH C.2'!E203</f>
        <v>0</v>
      </c>
      <c r="D196" s="430"/>
      <c r="E196" s="603">
        <f>+'[2]MSFR Inc Stmt by Acct - SCH C.2'!G203</f>
        <v>52571000</v>
      </c>
      <c r="F196" s="430"/>
      <c r="G196" s="430" t="str">
        <f>+'[2]MSFR Inc Stmt by Acct - SCH C.2'!I203</f>
        <v>Security Svc</v>
      </c>
      <c r="H196" s="430"/>
      <c r="I196" s="602" t="str">
        <f>+'[2]MSFR Inc Stmt by Acct - SCH C.2'!K203</f>
        <v>675.8</v>
      </c>
      <c r="J196" s="430"/>
      <c r="L196" s="601">
        <f>+'[2]MSFR Inc Stmt by Acct - SCH C.2'!Q203</f>
        <v>0</v>
      </c>
    </row>
    <row r="197" spans="1:12" x14ac:dyDescent="0.2">
      <c r="A197" s="422"/>
      <c r="C197" s="430">
        <f>+'[2]MSFR Inc Stmt by Acct - SCH C.2'!E204</f>
        <v>0</v>
      </c>
      <c r="D197" s="430"/>
      <c r="E197" s="603">
        <f>+'[2]MSFR Inc Stmt by Acct - SCH C.2'!G204</f>
        <v>52571011</v>
      </c>
      <c r="F197" s="430"/>
      <c r="G197" s="430" t="str">
        <f>+'[2]MSFR Inc Stmt by Acct - SCH C.2'!I204</f>
        <v>Security Svc SS</v>
      </c>
      <c r="H197" s="430"/>
      <c r="I197" s="602" t="str">
        <f>+'[2]MSFR Inc Stmt by Acct - SCH C.2'!K204</f>
        <v>675.1</v>
      </c>
      <c r="J197" s="430"/>
      <c r="L197" s="604">
        <f>+'[2]MSFR Inc Stmt by Acct - SCH C.2'!Q204</f>
        <v>21838.721134327578</v>
      </c>
    </row>
    <row r="198" spans="1:12" x14ac:dyDescent="0.2">
      <c r="A198" s="422"/>
      <c r="C198" s="430">
        <f>+'[2]MSFR Inc Stmt by Acct - SCH C.2'!E205</f>
        <v>0</v>
      </c>
      <c r="D198" s="430"/>
      <c r="E198" s="603">
        <f>+'[2]MSFR Inc Stmt by Acct - SCH C.2'!G205</f>
        <v>52571014</v>
      </c>
      <c r="F198" s="430"/>
      <c r="G198" s="430" t="str">
        <f>+'[2]MSFR Inc Stmt by Acct - SCH C.2'!I205</f>
        <v>Security Svc TD</v>
      </c>
      <c r="H198" s="430"/>
      <c r="I198" s="602" t="str">
        <f>+'[2]MSFR Inc Stmt by Acct - SCH C.2'!K205</f>
        <v>675.5</v>
      </c>
      <c r="J198" s="430"/>
      <c r="L198" s="610">
        <f>+'[2]MSFR Inc Stmt by Acct - SCH C.2'!Q205</f>
        <v>403.94124934255422</v>
      </c>
    </row>
    <row r="199" spans="1:12" x14ac:dyDescent="0.2">
      <c r="A199" s="422"/>
      <c r="C199" s="430">
        <f>+'[2]MSFR Inc Stmt by Acct - SCH C.2'!E206</f>
        <v>0</v>
      </c>
      <c r="D199" s="430"/>
      <c r="E199" s="603">
        <f>+'[2]MSFR Inc Stmt by Acct - SCH C.2'!G206</f>
        <v>52571016</v>
      </c>
      <c r="F199" s="430"/>
      <c r="G199" s="430" t="str">
        <f>+'[2]MSFR Inc Stmt by Acct - SCH C.2'!I206</f>
        <v>Security Svc AG</v>
      </c>
      <c r="H199" s="430"/>
      <c r="I199" s="602" t="str">
        <f>+'[2]MSFR Inc Stmt by Acct - SCH C.2'!K206</f>
        <v>675.8</v>
      </c>
      <c r="J199" s="430"/>
      <c r="L199" s="607">
        <f>+'[2]MSFR Inc Stmt by Acct - SCH C.2'!Q206</f>
        <v>42688.304081162496</v>
      </c>
    </row>
    <row r="200" spans="1:12" x14ac:dyDescent="0.2">
      <c r="A200" s="422"/>
      <c r="C200" s="430">
        <f>+'[2]MSFR Inc Stmt by Acct - SCH C.2'!E207</f>
        <v>0</v>
      </c>
      <c r="D200" s="430"/>
      <c r="E200" s="603">
        <f>+'[2]MSFR Inc Stmt by Acct - SCH C.2'!G207</f>
        <v>52571100</v>
      </c>
      <c r="F200" s="430"/>
      <c r="G200" s="430" t="str">
        <f>+'[2]MSFR Inc Stmt by Acct - SCH C.2'!I207</f>
        <v>Add'l Security Costs</v>
      </c>
      <c r="H200" s="430"/>
      <c r="I200" s="602" t="str">
        <f>+'[2]MSFR Inc Stmt by Acct - SCH C.2'!K207</f>
        <v>675.8</v>
      </c>
      <c r="J200" s="430"/>
      <c r="L200" s="607">
        <f>+'[2]MSFR Inc Stmt by Acct - SCH C.2'!Q207</f>
        <v>2496.149771578348</v>
      </c>
    </row>
    <row r="201" spans="1:12" x14ac:dyDescent="0.2">
      <c r="A201" s="422"/>
      <c r="C201" s="430">
        <f>+'[2]MSFR Inc Stmt by Acct - SCH C.2'!E208</f>
        <v>0</v>
      </c>
      <c r="D201" s="430"/>
      <c r="E201" s="603">
        <f>+'[2]MSFR Inc Stmt by Acct - SCH C.2'!G208</f>
        <v>52578000</v>
      </c>
      <c r="F201" s="430"/>
      <c r="G201" s="430" t="str">
        <f>+'[2]MSFR Inc Stmt by Acct - SCH C.2'!I208</f>
        <v>Trash Removal</v>
      </c>
      <c r="H201" s="430"/>
      <c r="I201" s="602" t="str">
        <f>+'[2]MSFR Inc Stmt by Acct - SCH C.2'!K208</f>
        <v>675.8</v>
      </c>
      <c r="J201" s="430"/>
      <c r="L201" s="601">
        <f>+'[2]MSFR Inc Stmt by Acct - SCH C.2'!Q208</f>
        <v>0</v>
      </c>
    </row>
    <row r="202" spans="1:12" x14ac:dyDescent="0.2">
      <c r="A202" s="422"/>
      <c r="C202" s="430">
        <f>+'[2]MSFR Inc Stmt by Acct - SCH C.2'!E209</f>
        <v>0</v>
      </c>
      <c r="D202" s="430"/>
      <c r="E202" s="603">
        <f>+'[2]MSFR Inc Stmt by Acct - SCH C.2'!G209</f>
        <v>52578013</v>
      </c>
      <c r="F202" s="430"/>
      <c r="G202" s="430" t="str">
        <f>+'[2]MSFR Inc Stmt by Acct - SCH C.2'!I209</f>
        <v>Trash Removal WT</v>
      </c>
      <c r="H202" s="430"/>
      <c r="I202" s="602" t="str">
        <f>+'[2]MSFR Inc Stmt by Acct - SCH C.2'!K209</f>
        <v>675.3</v>
      </c>
      <c r="J202" s="430"/>
      <c r="L202" s="609">
        <f>+'[2]MSFR Inc Stmt by Acct - SCH C.2'!Q209</f>
        <v>12897.636942149118</v>
      </c>
    </row>
    <row r="203" spans="1:12" x14ac:dyDescent="0.2">
      <c r="A203" s="422"/>
      <c r="C203" s="430">
        <f>+'[2]MSFR Inc Stmt by Acct - SCH C.2'!E210</f>
        <v>0</v>
      </c>
      <c r="D203" s="430"/>
      <c r="E203" s="603">
        <f>+'[2]MSFR Inc Stmt by Acct - SCH C.2'!G210</f>
        <v>52578014</v>
      </c>
      <c r="F203" s="430"/>
      <c r="G203" s="430" t="str">
        <f>+'[2]MSFR Inc Stmt by Acct - SCH C.2'!I210</f>
        <v>Trash Removal TD</v>
      </c>
      <c r="H203" s="430"/>
      <c r="I203" s="602" t="str">
        <f>+'[2]MSFR Inc Stmt by Acct - SCH C.2'!K210</f>
        <v>675.5</v>
      </c>
      <c r="J203" s="430"/>
      <c r="L203" s="610">
        <f>+'[2]MSFR Inc Stmt by Acct - SCH C.2'!Q210</f>
        <v>0</v>
      </c>
    </row>
    <row r="204" spans="1:12" x14ac:dyDescent="0.2">
      <c r="A204" s="422"/>
      <c r="C204" s="430">
        <f>+'[2]MSFR Inc Stmt by Acct - SCH C.2'!E211</f>
        <v>0</v>
      </c>
      <c r="D204" s="430"/>
      <c r="E204" s="603">
        <f>+'[2]MSFR Inc Stmt by Acct - SCH C.2'!G211</f>
        <v>52578016</v>
      </c>
      <c r="F204" s="430"/>
      <c r="G204" s="430" t="str">
        <f>+'[2]MSFR Inc Stmt by Acct - SCH C.2'!I211</f>
        <v>Trash Removal AG</v>
      </c>
      <c r="H204" s="430"/>
      <c r="I204" s="602" t="str">
        <f>+'[2]MSFR Inc Stmt by Acct - SCH C.2'!K211</f>
        <v>675.8</v>
      </c>
      <c r="J204" s="430"/>
      <c r="L204" s="607">
        <f>+'[2]MSFR Inc Stmt by Acct - SCH C.2'!Q211</f>
        <v>16377.746167254203</v>
      </c>
    </row>
    <row r="205" spans="1:12" x14ac:dyDescent="0.2">
      <c r="A205" s="422"/>
      <c r="C205" s="430">
        <f>+'[2]MSFR Inc Stmt by Acct - SCH C.2'!E212</f>
        <v>0</v>
      </c>
      <c r="D205" s="430"/>
      <c r="E205" s="603">
        <f>+'[2]MSFR Inc Stmt by Acct - SCH C.2'!G212</f>
        <v>52583000</v>
      </c>
      <c r="F205" s="430"/>
      <c r="G205" s="430" t="str">
        <f>+'[2]MSFR Inc Stmt by Acct - SCH C.2'!I212</f>
        <v>Water &amp; WW</v>
      </c>
      <c r="H205" s="430"/>
      <c r="I205" s="602" t="str">
        <f>+'[2]MSFR Inc Stmt by Acct - SCH C.2'!K212</f>
        <v>675.8</v>
      </c>
      <c r="J205" s="430"/>
      <c r="L205" s="601">
        <f>+'[2]MSFR Inc Stmt by Acct - SCH C.2'!Q212</f>
        <v>0</v>
      </c>
    </row>
    <row r="206" spans="1:12" x14ac:dyDescent="0.2">
      <c r="A206" s="422"/>
      <c r="C206" s="430">
        <f>+'[2]MSFR Inc Stmt by Acct - SCH C.2'!E213</f>
        <v>0</v>
      </c>
      <c r="D206" s="430"/>
      <c r="E206" s="603">
        <f>+'[2]MSFR Inc Stmt by Acct - SCH C.2'!G213</f>
        <v>52583011</v>
      </c>
      <c r="F206" s="430"/>
      <c r="G206" s="430" t="str">
        <f>+'[2]MSFR Inc Stmt by Acct - SCH C.2'!I213</f>
        <v>Water &amp; WW SS</v>
      </c>
      <c r="H206" s="430"/>
      <c r="I206" s="602" t="str">
        <f>+'[2]MSFR Inc Stmt by Acct - SCH C.2'!K213</f>
        <v>675.1</v>
      </c>
      <c r="J206" s="430"/>
      <c r="L206" s="604">
        <f>+'[2]MSFR Inc Stmt by Acct - SCH C.2'!Q213</f>
        <v>103046.44845407877</v>
      </c>
    </row>
    <row r="207" spans="1:12" x14ac:dyDescent="0.2">
      <c r="A207" s="422"/>
      <c r="C207" s="430">
        <f>+'[2]MSFR Inc Stmt by Acct - SCH C.2'!E214</f>
        <v>0</v>
      </c>
      <c r="D207" s="430"/>
      <c r="E207" s="603">
        <f>+'[2]MSFR Inc Stmt by Acct - SCH C.2'!G214</f>
        <v>52583013</v>
      </c>
      <c r="F207" s="430"/>
      <c r="G207" s="430" t="str">
        <f>+'[2]MSFR Inc Stmt by Acct - SCH C.2'!I214</f>
        <v>Water &amp; WW WT</v>
      </c>
      <c r="H207" s="430"/>
      <c r="I207" s="602" t="str">
        <f>+'[2]MSFR Inc Stmt by Acct - SCH C.2'!K214</f>
        <v>675.3</v>
      </c>
      <c r="J207" s="430"/>
      <c r="L207" s="609">
        <f>+'[2]MSFR Inc Stmt by Acct - SCH C.2'!Q214</f>
        <v>0</v>
      </c>
    </row>
    <row r="208" spans="1:12" x14ac:dyDescent="0.2">
      <c r="A208" s="422"/>
      <c r="C208" s="430">
        <f>+'[2]MSFR Inc Stmt by Acct - SCH C.2'!E215</f>
        <v>0</v>
      </c>
      <c r="D208" s="430"/>
      <c r="E208" s="603">
        <f>+'[2]MSFR Inc Stmt by Acct - SCH C.2'!G215</f>
        <v>52583016</v>
      </c>
      <c r="F208" s="430"/>
      <c r="G208" s="430" t="str">
        <f>+'[2]MSFR Inc Stmt by Acct - SCH C.2'!I215</f>
        <v>Water &amp; WW AG</v>
      </c>
      <c r="H208" s="430"/>
      <c r="I208" s="602" t="str">
        <f>+'[2]MSFR Inc Stmt by Acct - SCH C.2'!K215</f>
        <v>675.8</v>
      </c>
      <c r="J208" s="430"/>
      <c r="L208" s="607">
        <f>+'[2]MSFR Inc Stmt by Acct - SCH C.2'!Q215</f>
        <v>32809.869041150676</v>
      </c>
    </row>
    <row r="209" spans="1:12" x14ac:dyDescent="0.2">
      <c r="A209" s="422"/>
      <c r="C209" s="430">
        <f>+'[2]MSFR Inc Stmt by Acct - SCH C.2'!E216</f>
        <v>0</v>
      </c>
      <c r="D209" s="430"/>
      <c r="E209" s="603">
        <f>+'[2]MSFR Inc Stmt by Acct - SCH C.2'!G216</f>
        <v>0</v>
      </c>
      <c r="F209" s="430"/>
      <c r="G209" s="430">
        <f>+'[2]MSFR Inc Stmt by Acct - SCH C.2'!I216</f>
        <v>0</v>
      </c>
      <c r="H209" s="430"/>
      <c r="I209" s="602" t="str">
        <f>+'[2]MSFR Inc Stmt by Acct - SCH C.2'!K216</f>
        <v>Total</v>
      </c>
      <c r="J209" s="430"/>
      <c r="L209" s="601">
        <f>+'[2]MSFR Inc Stmt by Acct - SCH C.2'!Q216</f>
        <v>595702.00000000012</v>
      </c>
    </row>
    <row r="210" spans="1:12" x14ac:dyDescent="0.2">
      <c r="A210" s="422"/>
      <c r="C210" s="430">
        <f>+'[2]MSFR Inc Stmt by Acct - SCH C.2'!E217</f>
        <v>0</v>
      </c>
      <c r="D210" s="430"/>
      <c r="E210" s="603">
        <f>+'[2]MSFR Inc Stmt by Acct - SCH C.2'!G217</f>
        <v>0</v>
      </c>
      <c r="F210" s="430"/>
      <c r="G210" s="430">
        <f>+'[2]MSFR Inc Stmt by Acct - SCH C.2'!I217</f>
        <v>0</v>
      </c>
      <c r="H210" s="430"/>
      <c r="I210" s="602">
        <f>+'[2]MSFR Inc Stmt by Acct - SCH C.2'!K217</f>
        <v>0</v>
      </c>
      <c r="J210" s="430"/>
      <c r="L210" s="601">
        <f>+'[2]MSFR Inc Stmt by Acct - SCH C.2'!Q217</f>
        <v>0</v>
      </c>
    </row>
    <row r="211" spans="1:12" x14ac:dyDescent="0.2">
      <c r="A211" s="422"/>
      <c r="C211" s="430" t="str">
        <f>+'[2]MSFR Inc Stmt by Acct - SCH C.2'!E218</f>
        <v>Telecommunication expenses</v>
      </c>
      <c r="D211" s="430"/>
      <c r="E211" s="603">
        <f>+'[2]MSFR Inc Stmt by Acct - SCH C.2'!G218</f>
        <v>52574000</v>
      </c>
      <c r="F211" s="430"/>
      <c r="G211" s="430" t="str">
        <f>+'[2]MSFR Inc Stmt by Acct - SCH C.2'!I218</f>
        <v>Telephone</v>
      </c>
      <c r="H211" s="430"/>
      <c r="I211" s="602" t="str">
        <f>+'[2]MSFR Inc Stmt by Acct - SCH C.2'!K218</f>
        <v>675.8</v>
      </c>
      <c r="J211" s="430"/>
      <c r="L211" s="601">
        <f>+'[2]MSFR Inc Stmt by Acct - SCH C.2'!Q218</f>
        <v>0</v>
      </c>
    </row>
    <row r="212" spans="1:12" x14ac:dyDescent="0.2">
      <c r="A212" s="422"/>
      <c r="C212" s="430">
        <f>+'[2]MSFR Inc Stmt by Acct - SCH C.2'!E219</f>
        <v>0</v>
      </c>
      <c r="D212" s="430"/>
      <c r="E212" s="603">
        <f>+'[2]MSFR Inc Stmt by Acct - SCH C.2'!G219</f>
        <v>52574013</v>
      </c>
      <c r="F212" s="430"/>
      <c r="G212" s="430" t="str">
        <f>+'[2]MSFR Inc Stmt by Acct - SCH C.2'!I219</f>
        <v>Telephone WT</v>
      </c>
      <c r="H212" s="430"/>
      <c r="I212" s="602" t="str">
        <f>+'[2]MSFR Inc Stmt by Acct - SCH C.2'!K219</f>
        <v>675.3</v>
      </c>
      <c r="J212" s="430"/>
      <c r="L212" s="609">
        <f>+'[2]MSFR Inc Stmt by Acct - SCH C.2'!Q219</f>
        <v>16738.821974626579</v>
      </c>
    </row>
    <row r="213" spans="1:12" x14ac:dyDescent="0.2">
      <c r="A213" s="422"/>
      <c r="C213" s="430">
        <f>+'[2]MSFR Inc Stmt by Acct - SCH C.2'!E220</f>
        <v>0</v>
      </c>
      <c r="D213" s="430"/>
      <c r="E213" s="603">
        <f>+'[2]MSFR Inc Stmt by Acct - SCH C.2'!G220</f>
        <v>52574014</v>
      </c>
      <c r="F213" s="430"/>
      <c r="G213" s="430" t="str">
        <f>+'[2]MSFR Inc Stmt by Acct - SCH C.2'!I220</f>
        <v>Telephone TD</v>
      </c>
      <c r="H213" s="430"/>
      <c r="I213" s="602" t="str">
        <f>+'[2]MSFR Inc Stmt by Acct - SCH C.2'!K220</f>
        <v>675.5</v>
      </c>
      <c r="J213" s="430"/>
      <c r="L213" s="610">
        <f>+'[2]MSFR Inc Stmt by Acct - SCH C.2'!Q220</f>
        <v>5082.4423640439627</v>
      </c>
    </row>
    <row r="214" spans="1:12" x14ac:dyDescent="0.2">
      <c r="A214" s="422"/>
      <c r="C214" s="430">
        <f>+'[2]MSFR Inc Stmt by Acct - SCH C.2'!E221</f>
        <v>0</v>
      </c>
      <c r="D214" s="430"/>
      <c r="E214" s="603">
        <f>+'[2]MSFR Inc Stmt by Acct - SCH C.2'!G221</f>
        <v>52574015</v>
      </c>
      <c r="F214" s="430"/>
      <c r="G214" s="430" t="str">
        <f>+'[2]MSFR Inc Stmt by Acct - SCH C.2'!I221</f>
        <v>Telephone CA</v>
      </c>
      <c r="H214" s="430"/>
      <c r="I214" s="602" t="str">
        <f>+'[2]MSFR Inc Stmt by Acct - SCH C.2'!K221</f>
        <v>675.7</v>
      </c>
      <c r="J214" s="430"/>
      <c r="L214" s="608">
        <f>+'[2]MSFR Inc Stmt by Acct - SCH C.2'!Q221</f>
        <v>109545.98661640121</v>
      </c>
    </row>
    <row r="215" spans="1:12" x14ac:dyDescent="0.2">
      <c r="A215" s="422"/>
      <c r="C215" s="430">
        <f>+'[2]MSFR Inc Stmt by Acct - SCH C.2'!E222</f>
        <v>0</v>
      </c>
      <c r="D215" s="430"/>
      <c r="E215" s="603">
        <f>+'[2]MSFR Inc Stmt by Acct - SCH C.2'!G222</f>
        <v>52574016</v>
      </c>
      <c r="F215" s="430"/>
      <c r="G215" s="430" t="str">
        <f>+'[2]MSFR Inc Stmt by Acct - SCH C.2'!I222</f>
        <v>Telephone AG</v>
      </c>
      <c r="H215" s="430"/>
      <c r="I215" s="602" t="str">
        <f>+'[2]MSFR Inc Stmt by Acct - SCH C.2'!K222</f>
        <v>675.8</v>
      </c>
      <c r="J215" s="430"/>
      <c r="L215" s="607">
        <f>+'[2]MSFR Inc Stmt by Acct - SCH C.2'!Q222</f>
        <v>24412.973358745938</v>
      </c>
    </row>
    <row r="216" spans="1:12" x14ac:dyDescent="0.2">
      <c r="A216" s="422"/>
      <c r="C216" s="430">
        <f>+'[2]MSFR Inc Stmt by Acct - SCH C.2'!E223</f>
        <v>0</v>
      </c>
      <c r="D216" s="430"/>
      <c r="E216" s="603">
        <f>+'[2]MSFR Inc Stmt by Acct - SCH C.2'!G223</f>
        <v>52574100</v>
      </c>
      <c r="F216" s="430"/>
      <c r="G216" s="430" t="str">
        <f>+'[2]MSFR Inc Stmt by Acct - SCH C.2'!I223</f>
        <v>Cell Phone</v>
      </c>
      <c r="H216" s="430"/>
      <c r="I216" s="602" t="str">
        <f>+'[2]MSFR Inc Stmt by Acct - SCH C.2'!K223</f>
        <v>675.8</v>
      </c>
      <c r="J216" s="430"/>
      <c r="L216" s="601">
        <f>+'[2]MSFR Inc Stmt by Acct - SCH C.2'!Q223</f>
        <v>0</v>
      </c>
    </row>
    <row r="217" spans="1:12" x14ac:dyDescent="0.2">
      <c r="A217" s="422"/>
      <c r="C217" s="430">
        <f>+'[2]MSFR Inc Stmt by Acct - SCH C.2'!E224</f>
        <v>0</v>
      </c>
      <c r="D217" s="430"/>
      <c r="E217" s="603">
        <f>+'[2]MSFR Inc Stmt by Acct - SCH C.2'!G224</f>
        <v>52574111</v>
      </c>
      <c r="F217" s="430"/>
      <c r="G217" s="430" t="str">
        <f>+'[2]MSFR Inc Stmt by Acct - SCH C.2'!I224</f>
        <v>Cell Phone SS</v>
      </c>
      <c r="H217" s="430"/>
      <c r="I217" s="602" t="str">
        <f>+'[2]MSFR Inc Stmt by Acct - SCH C.2'!K224</f>
        <v>675.1</v>
      </c>
      <c r="J217" s="430"/>
      <c r="L217" s="604">
        <f>+'[2]MSFR Inc Stmt by Acct - SCH C.2'!Q224</f>
        <v>0</v>
      </c>
    </row>
    <row r="218" spans="1:12" x14ac:dyDescent="0.2">
      <c r="A218" s="422"/>
      <c r="C218" s="430">
        <f>+'[2]MSFR Inc Stmt by Acct - SCH C.2'!E225</f>
        <v>0</v>
      </c>
      <c r="D218" s="430"/>
      <c r="E218" s="603">
        <f>+'[2]MSFR Inc Stmt by Acct - SCH C.2'!G225</f>
        <v>52574113</v>
      </c>
      <c r="F218" s="430"/>
      <c r="G218" s="430" t="str">
        <f>+'[2]MSFR Inc Stmt by Acct - SCH C.2'!I225</f>
        <v>Cell Phone WT</v>
      </c>
      <c r="H218" s="430"/>
      <c r="I218" s="602" t="str">
        <f>+'[2]MSFR Inc Stmt by Acct - SCH C.2'!K225</f>
        <v>675.3</v>
      </c>
      <c r="J218" s="430"/>
      <c r="L218" s="609">
        <f>+'[2]MSFR Inc Stmt by Acct - SCH C.2'!Q225</f>
        <v>6064.8515461666993</v>
      </c>
    </row>
    <row r="219" spans="1:12" x14ac:dyDescent="0.2">
      <c r="A219" s="422"/>
      <c r="C219" s="430">
        <f>+'[2]MSFR Inc Stmt by Acct - SCH C.2'!E226</f>
        <v>0</v>
      </c>
      <c r="D219" s="430"/>
      <c r="E219" s="603">
        <f>+'[2]MSFR Inc Stmt by Acct - SCH C.2'!G226</f>
        <v>52574114</v>
      </c>
      <c r="F219" s="430"/>
      <c r="G219" s="430" t="str">
        <f>+'[2]MSFR Inc Stmt by Acct - SCH C.2'!I226</f>
        <v>Cell Phone TD</v>
      </c>
      <c r="H219" s="430"/>
      <c r="I219" s="602" t="str">
        <f>+'[2]MSFR Inc Stmt by Acct - SCH C.2'!K226</f>
        <v>675.5</v>
      </c>
      <c r="J219" s="430"/>
      <c r="L219" s="610">
        <f>+'[2]MSFR Inc Stmt by Acct - SCH C.2'!Q226</f>
        <v>1272.7142509298831</v>
      </c>
    </row>
    <row r="220" spans="1:12" x14ac:dyDescent="0.2">
      <c r="A220" s="422"/>
      <c r="C220" s="430">
        <f>+'[2]MSFR Inc Stmt by Acct - SCH C.2'!E227</f>
        <v>0</v>
      </c>
      <c r="D220" s="430"/>
      <c r="E220" s="603">
        <f>+'[2]MSFR Inc Stmt by Acct - SCH C.2'!G227</f>
        <v>52574115</v>
      </c>
      <c r="F220" s="430"/>
      <c r="G220" s="430" t="str">
        <f>+'[2]MSFR Inc Stmt by Acct - SCH C.2'!I227</f>
        <v>Cell Phone CA</v>
      </c>
      <c r="H220" s="430"/>
      <c r="I220" s="602" t="str">
        <f>+'[2]MSFR Inc Stmt by Acct - SCH C.2'!K227</f>
        <v>675.7</v>
      </c>
      <c r="J220" s="430"/>
      <c r="L220" s="608">
        <f>+'[2]MSFR Inc Stmt by Acct - SCH C.2'!Q227</f>
        <v>8818.5423799968103</v>
      </c>
    </row>
    <row r="221" spans="1:12" x14ac:dyDescent="0.2">
      <c r="A221" s="422"/>
      <c r="C221" s="430">
        <f>+'[2]MSFR Inc Stmt by Acct - SCH C.2'!E228</f>
        <v>0</v>
      </c>
      <c r="D221" s="430"/>
      <c r="E221" s="603">
        <f>+'[2]MSFR Inc Stmt by Acct - SCH C.2'!G228</f>
        <v>52574116</v>
      </c>
      <c r="F221" s="430"/>
      <c r="G221" s="430" t="str">
        <f>+'[2]MSFR Inc Stmt by Acct - SCH C.2'!I228</f>
        <v>Cell Phone AG</v>
      </c>
      <c r="H221" s="430"/>
      <c r="I221" s="602" t="str">
        <f>+'[2]MSFR Inc Stmt by Acct - SCH C.2'!K228</f>
        <v>675.8</v>
      </c>
      <c r="J221" s="430"/>
      <c r="L221" s="607">
        <f>+'[2]MSFR Inc Stmt by Acct - SCH C.2'!Q228</f>
        <v>78500.173533387628</v>
      </c>
    </row>
    <row r="222" spans="1:12" x14ac:dyDescent="0.2">
      <c r="A222" s="422"/>
      <c r="C222" s="430">
        <f>+'[2]MSFR Inc Stmt by Acct - SCH C.2'!E229</f>
        <v>0</v>
      </c>
      <c r="D222" s="430"/>
      <c r="E222" s="603">
        <f>+'[2]MSFR Inc Stmt by Acct - SCH C.2'!G229</f>
        <v>52574200</v>
      </c>
      <c r="F222" s="430"/>
      <c r="G222" s="430" t="str">
        <f>+'[2]MSFR Inc Stmt by Acct - SCH C.2'!I229</f>
        <v>Data Lines AG</v>
      </c>
      <c r="H222" s="430"/>
      <c r="I222" s="602" t="str">
        <f>+'[2]MSFR Inc Stmt by Acct - SCH C.2'!K229</f>
        <v>675.8</v>
      </c>
      <c r="J222" s="430"/>
      <c r="L222" s="607">
        <f>+'[2]MSFR Inc Stmt by Acct - SCH C.2'!Q229</f>
        <v>111.49397570129554</v>
      </c>
    </row>
    <row r="223" spans="1:12" x14ac:dyDescent="0.2">
      <c r="A223" s="422"/>
      <c r="C223" s="430">
        <f>+'[2]MSFR Inc Stmt by Acct - SCH C.2'!E230</f>
        <v>0</v>
      </c>
      <c r="D223" s="430"/>
      <c r="E223" s="603">
        <f>+'[2]MSFR Inc Stmt by Acct - SCH C.2'!G230</f>
        <v>0</v>
      </c>
      <c r="F223" s="430"/>
      <c r="G223" s="430">
        <f>+'[2]MSFR Inc Stmt by Acct - SCH C.2'!I230</f>
        <v>0</v>
      </c>
      <c r="H223" s="430"/>
      <c r="I223" s="602" t="str">
        <f>+'[2]MSFR Inc Stmt by Acct - SCH C.2'!K230</f>
        <v>Total</v>
      </c>
      <c r="J223" s="430"/>
      <c r="L223" s="601">
        <f>+'[2]MSFR Inc Stmt by Acct - SCH C.2'!Q230</f>
        <v>250548</v>
      </c>
    </row>
    <row r="224" spans="1:12" x14ac:dyDescent="0.2">
      <c r="A224" s="422"/>
      <c r="C224" s="430">
        <f>+'[2]MSFR Inc Stmt by Acct - SCH C.2'!E231</f>
        <v>0</v>
      </c>
      <c r="D224" s="430"/>
      <c r="E224" s="603">
        <f>+'[2]MSFR Inc Stmt by Acct - SCH C.2'!G231</f>
        <v>0</v>
      </c>
      <c r="F224" s="430"/>
      <c r="G224" s="430">
        <f>+'[2]MSFR Inc Stmt by Acct - SCH C.2'!I231</f>
        <v>0</v>
      </c>
      <c r="H224" s="430"/>
      <c r="I224" s="602">
        <f>+'[2]MSFR Inc Stmt by Acct - SCH C.2'!K231</f>
        <v>0</v>
      </c>
      <c r="J224" s="430"/>
      <c r="L224" s="601">
        <f>+'[2]MSFR Inc Stmt by Acct - SCH C.2'!Q231</f>
        <v>0</v>
      </c>
    </row>
    <row r="225" spans="1:12" x14ac:dyDescent="0.2">
      <c r="A225" s="422"/>
      <c r="C225" s="430" t="str">
        <f>+'[2]MSFR Inc Stmt by Acct - SCH C.2'!E232</f>
        <v>Postage, printing and stationary</v>
      </c>
      <c r="D225" s="430"/>
      <c r="E225" s="603">
        <f>+'[2]MSFR Inc Stmt by Acct - SCH C.2'!G232</f>
        <v>52562500</v>
      </c>
      <c r="F225" s="430"/>
      <c r="G225" s="430" t="str">
        <f>+'[2]MSFR Inc Stmt by Acct - SCH C.2'!I232</f>
        <v>Overnight Shippng</v>
      </c>
      <c r="H225" s="430"/>
      <c r="I225" s="602" t="str">
        <f>+'[2]MSFR Inc Stmt by Acct - SCH C.2'!K232</f>
        <v>675.8</v>
      </c>
      <c r="J225" s="430"/>
      <c r="L225" s="601">
        <f>+'[2]MSFR Inc Stmt by Acct - SCH C.2'!Q232</f>
        <v>0</v>
      </c>
    </row>
    <row r="226" spans="1:12" x14ac:dyDescent="0.2">
      <c r="A226" s="422"/>
      <c r="C226" s="430">
        <f>+'[2]MSFR Inc Stmt by Acct - SCH C.2'!E233</f>
        <v>0</v>
      </c>
      <c r="D226" s="430"/>
      <c r="E226" s="603">
        <f>+'[2]MSFR Inc Stmt by Acct - SCH C.2'!G233</f>
        <v>52562511</v>
      </c>
      <c r="F226" s="430"/>
      <c r="G226" s="430" t="str">
        <f>+'[2]MSFR Inc Stmt by Acct - SCH C.2'!I233</f>
        <v>Overnight Shippng SS</v>
      </c>
      <c r="H226" s="430"/>
      <c r="I226" s="602" t="str">
        <f>+'[2]MSFR Inc Stmt by Acct - SCH C.2'!K233</f>
        <v>675.1</v>
      </c>
      <c r="J226" s="430"/>
      <c r="L226" s="604">
        <f>+'[2]MSFR Inc Stmt by Acct - SCH C.2'!Q233</f>
        <v>0</v>
      </c>
    </row>
    <row r="227" spans="1:12" x14ac:dyDescent="0.2">
      <c r="A227" s="422"/>
      <c r="C227" s="430">
        <f>+'[2]MSFR Inc Stmt by Acct - SCH C.2'!E234</f>
        <v>0</v>
      </c>
      <c r="D227" s="430"/>
      <c r="E227" s="603">
        <f>+'[2]MSFR Inc Stmt by Acct - SCH C.2'!G234</f>
        <v>52562513</v>
      </c>
      <c r="F227" s="430"/>
      <c r="G227" s="430" t="str">
        <f>+'[2]MSFR Inc Stmt by Acct - SCH C.2'!I234</f>
        <v>Overnight Shippng WT</v>
      </c>
      <c r="H227" s="430"/>
      <c r="I227" s="602" t="str">
        <f>+'[2]MSFR Inc Stmt by Acct - SCH C.2'!K234</f>
        <v>675.3</v>
      </c>
      <c r="J227" s="430"/>
      <c r="L227" s="609">
        <f>+'[2]MSFR Inc Stmt by Acct - SCH C.2'!Q234</f>
        <v>9946.9266801439771</v>
      </c>
    </row>
    <row r="228" spans="1:12" x14ac:dyDescent="0.2">
      <c r="A228" s="422"/>
      <c r="C228" s="430">
        <f>+'[2]MSFR Inc Stmt by Acct - SCH C.2'!E235</f>
        <v>0</v>
      </c>
      <c r="D228" s="430"/>
      <c r="E228" s="603">
        <f>+'[2]MSFR Inc Stmt by Acct - SCH C.2'!G235</f>
        <v>52562514</v>
      </c>
      <c r="F228" s="430"/>
      <c r="G228" s="430" t="str">
        <f>+'[2]MSFR Inc Stmt by Acct - SCH C.2'!I235</f>
        <v>Overnight Shippng TD</v>
      </c>
      <c r="H228" s="430"/>
      <c r="I228" s="602" t="str">
        <f>+'[2]MSFR Inc Stmt by Acct - SCH C.2'!K235</f>
        <v>675.5</v>
      </c>
      <c r="J228" s="430"/>
      <c r="L228" s="610">
        <f>+'[2]MSFR Inc Stmt by Acct - SCH C.2'!Q235</f>
        <v>314.38242690202651</v>
      </c>
    </row>
    <row r="229" spans="1:12" x14ac:dyDescent="0.2">
      <c r="A229" s="422"/>
      <c r="C229" s="430">
        <f>+'[2]MSFR Inc Stmt by Acct - SCH C.2'!E236</f>
        <v>0</v>
      </c>
      <c r="D229" s="430"/>
      <c r="E229" s="603">
        <f>+'[2]MSFR Inc Stmt by Acct - SCH C.2'!G236</f>
        <v>52562516</v>
      </c>
      <c r="F229" s="430"/>
      <c r="G229" s="430" t="str">
        <f>+'[2]MSFR Inc Stmt by Acct - SCH C.2'!I236</f>
        <v>Overnight Shippng AG</v>
      </c>
      <c r="H229" s="430"/>
      <c r="I229" s="602" t="str">
        <f>+'[2]MSFR Inc Stmt by Acct - SCH C.2'!K236</f>
        <v>675.8</v>
      </c>
      <c r="J229" s="430"/>
      <c r="L229" s="607">
        <f>+'[2]MSFR Inc Stmt by Acct - SCH C.2'!Q236</f>
        <v>1420.8308268823037</v>
      </c>
    </row>
    <row r="230" spans="1:12" x14ac:dyDescent="0.2">
      <c r="A230" s="422"/>
      <c r="C230" s="430">
        <f>+'[2]MSFR Inc Stmt by Acct - SCH C.2'!E237</f>
        <v>0</v>
      </c>
      <c r="D230" s="430"/>
      <c r="E230" s="603">
        <f>+'[2]MSFR Inc Stmt by Acct - SCH C.2'!G237</f>
        <v>52566000</v>
      </c>
      <c r="F230" s="430"/>
      <c r="G230" s="430" t="str">
        <f>+'[2]MSFR Inc Stmt by Acct - SCH C.2'!I237</f>
        <v>Postage</v>
      </c>
      <c r="H230" s="430"/>
      <c r="I230" s="602" t="str">
        <f>+'[2]MSFR Inc Stmt by Acct - SCH C.2'!K237</f>
        <v>675.8</v>
      </c>
      <c r="J230" s="430"/>
      <c r="L230" s="601">
        <f>+'[2]MSFR Inc Stmt by Acct - SCH C.2'!Q237</f>
        <v>0</v>
      </c>
    </row>
    <row r="231" spans="1:12" x14ac:dyDescent="0.2">
      <c r="A231" s="422"/>
      <c r="C231" s="430">
        <f>+'[2]MSFR Inc Stmt by Acct - SCH C.2'!E238</f>
        <v>0</v>
      </c>
      <c r="D231" s="430"/>
      <c r="E231" s="603">
        <f>+'[2]MSFR Inc Stmt by Acct - SCH C.2'!G238</f>
        <v>52566016</v>
      </c>
      <c r="F231" s="430"/>
      <c r="G231" s="430" t="str">
        <f>+'[2]MSFR Inc Stmt by Acct - SCH C.2'!I238</f>
        <v>Postage AG</v>
      </c>
      <c r="H231" s="430"/>
      <c r="I231" s="602" t="str">
        <f>+'[2]MSFR Inc Stmt by Acct - SCH C.2'!K238</f>
        <v>675.8</v>
      </c>
      <c r="J231" s="430"/>
      <c r="L231" s="607">
        <f>+'[2]MSFR Inc Stmt by Acct - SCH C.2'!Q238</f>
        <v>1309.7416300971354</v>
      </c>
    </row>
    <row r="232" spans="1:12" x14ac:dyDescent="0.2">
      <c r="A232" s="422"/>
      <c r="C232" s="430">
        <f>+'[2]MSFR Inc Stmt by Acct - SCH C.2'!E239</f>
        <v>0</v>
      </c>
      <c r="D232" s="430"/>
      <c r="E232" s="603">
        <f>+'[2]MSFR Inc Stmt by Acct - SCH C.2'!G239</f>
        <v>52566700</v>
      </c>
      <c r="F232" s="430"/>
      <c r="G232" s="430" t="str">
        <f>+'[2]MSFR Inc Stmt by Acct - SCH C.2'!I239</f>
        <v>Printing</v>
      </c>
      <c r="H232" s="430"/>
      <c r="I232" s="602" t="str">
        <f>+'[2]MSFR Inc Stmt by Acct - SCH C.2'!K239</f>
        <v>675.8</v>
      </c>
      <c r="J232" s="430"/>
      <c r="L232" s="607">
        <f>+'[2]MSFR Inc Stmt by Acct - SCH C.2'!Q239</f>
        <v>9538.1184359745585</v>
      </c>
    </row>
    <row r="233" spans="1:12" x14ac:dyDescent="0.2">
      <c r="A233" s="422"/>
      <c r="C233" s="430">
        <f>+'[2]MSFR Inc Stmt by Acct - SCH C.2'!E240</f>
        <v>0</v>
      </c>
      <c r="D233" s="430"/>
      <c r="E233" s="603">
        <f>+'[2]MSFR Inc Stmt by Acct - SCH C.2'!G240</f>
        <v>0</v>
      </c>
      <c r="F233" s="430"/>
      <c r="G233" s="430">
        <f>+'[2]MSFR Inc Stmt by Acct - SCH C.2'!I240</f>
        <v>0</v>
      </c>
      <c r="H233" s="430"/>
      <c r="I233" s="602" t="str">
        <f>+'[2]MSFR Inc Stmt by Acct - SCH C.2'!K240</f>
        <v>Total</v>
      </c>
      <c r="J233" s="430"/>
      <c r="L233" s="601">
        <f>+'[2]MSFR Inc Stmt by Acct - SCH C.2'!Q240</f>
        <v>22530</v>
      </c>
    </row>
    <row r="234" spans="1:12" x14ac:dyDescent="0.2">
      <c r="A234" s="422"/>
      <c r="C234" s="430">
        <f>+'[2]MSFR Inc Stmt by Acct - SCH C.2'!E241</f>
        <v>0</v>
      </c>
      <c r="D234" s="430"/>
      <c r="E234" s="603">
        <f>+'[2]MSFR Inc Stmt by Acct - SCH C.2'!G241</f>
        <v>0</v>
      </c>
      <c r="F234" s="430"/>
      <c r="G234" s="430">
        <f>+'[2]MSFR Inc Stmt by Acct - SCH C.2'!I241</f>
        <v>0</v>
      </c>
      <c r="H234" s="430"/>
      <c r="I234" s="602">
        <f>+'[2]MSFR Inc Stmt by Acct - SCH C.2'!K241</f>
        <v>0</v>
      </c>
      <c r="J234" s="430"/>
      <c r="L234" s="601">
        <f>+'[2]MSFR Inc Stmt by Acct - SCH C.2'!Q241</f>
        <v>166</v>
      </c>
    </row>
    <row r="235" spans="1:12" x14ac:dyDescent="0.2">
      <c r="A235" s="422"/>
      <c r="C235" s="430" t="str">
        <f>+'[2]MSFR Inc Stmt by Acct - SCH C.2'!E242</f>
        <v>Office supplies and services</v>
      </c>
      <c r="D235" s="430"/>
      <c r="E235" s="603">
        <f>+'[2]MSFR Inc Stmt by Acct - SCH C.2'!G242</f>
        <v>52526100</v>
      </c>
      <c r="F235" s="430"/>
      <c r="G235" s="430" t="str">
        <f>+'[2]MSFR Inc Stmt by Acct - SCH C.2'!I242</f>
        <v>Credit Line Fees I/C</v>
      </c>
      <c r="H235" s="430"/>
      <c r="I235" s="602" t="str">
        <f>+'[2]MSFR Inc Stmt by Acct - SCH C.2'!K242</f>
        <v>675.8</v>
      </c>
      <c r="J235" s="430"/>
      <c r="L235" s="607">
        <f>+'[2]MSFR Inc Stmt by Acct - SCH C.2'!Q242</f>
        <v>134030.74731842737</v>
      </c>
    </row>
    <row r="236" spans="1:12" x14ac:dyDescent="0.2">
      <c r="A236" s="422"/>
      <c r="C236" s="430">
        <f>+'[2]MSFR Inc Stmt by Acct - SCH C.2'!E243</f>
        <v>0</v>
      </c>
      <c r="D236" s="430"/>
      <c r="E236" s="603">
        <f>+'[2]MSFR Inc Stmt by Acct - SCH C.2'!G243</f>
        <v>52542016</v>
      </c>
      <c r="F236" s="430"/>
      <c r="G236" s="430" t="str">
        <f>+'[2]MSFR Inc Stmt by Acct - SCH C.2'!I243</f>
        <v>Forms AG</v>
      </c>
      <c r="H236" s="430"/>
      <c r="I236" s="602" t="str">
        <f>+'[2]MSFR Inc Stmt by Acct - SCH C.2'!K243</f>
        <v>675.8</v>
      </c>
      <c r="J236" s="430"/>
      <c r="L236" s="607">
        <f>+'[2]MSFR Inc Stmt by Acct - SCH C.2'!Q243</f>
        <v>2191.7623849552251</v>
      </c>
    </row>
    <row r="237" spans="1:12" x14ac:dyDescent="0.2">
      <c r="A237" s="422"/>
      <c r="C237" s="430">
        <f>+'[2]MSFR Inc Stmt by Acct - SCH C.2'!E244</f>
        <v>0</v>
      </c>
      <c r="D237" s="430"/>
      <c r="E237" s="603">
        <f>+'[2]MSFR Inc Stmt by Acct - SCH C.2'!G244</f>
        <v>52562000</v>
      </c>
      <c r="F237" s="430"/>
      <c r="G237" s="430" t="str">
        <f>+'[2]MSFR Inc Stmt by Acct - SCH C.2'!I244</f>
        <v>Office Supplies</v>
      </c>
      <c r="H237" s="430"/>
      <c r="I237" s="602" t="str">
        <f>+'[2]MSFR Inc Stmt by Acct - SCH C.2'!K244</f>
        <v>675.8</v>
      </c>
      <c r="J237" s="430"/>
      <c r="L237" s="601">
        <f>+'[2]MSFR Inc Stmt by Acct - SCH C.2'!Q244</f>
        <v>0</v>
      </c>
    </row>
    <row r="238" spans="1:12" x14ac:dyDescent="0.2">
      <c r="A238" s="422"/>
      <c r="C238" s="430">
        <f>+'[2]MSFR Inc Stmt by Acct - SCH C.2'!E245</f>
        <v>0</v>
      </c>
      <c r="D238" s="430"/>
      <c r="E238" s="603">
        <f>+'[2]MSFR Inc Stmt by Acct - SCH C.2'!G245</f>
        <v>52562011</v>
      </c>
      <c r="F238" s="430"/>
      <c r="G238" s="430" t="str">
        <f>+'[2]MSFR Inc Stmt by Acct - SCH C.2'!I245</f>
        <v>Off&amp;Adm Supplies SS</v>
      </c>
      <c r="H238" s="430"/>
      <c r="I238" s="602" t="str">
        <f>+'[2]MSFR Inc Stmt by Acct - SCH C.2'!K245</f>
        <v>675.1</v>
      </c>
      <c r="J238" s="430"/>
      <c r="L238" s="604">
        <f>+'[2]MSFR Inc Stmt by Acct - SCH C.2'!Q245</f>
        <v>0</v>
      </c>
    </row>
    <row r="239" spans="1:12" x14ac:dyDescent="0.2">
      <c r="A239" s="422"/>
      <c r="C239" s="430">
        <f>+'[2]MSFR Inc Stmt by Acct - SCH C.2'!E246</f>
        <v>0</v>
      </c>
      <c r="D239" s="430"/>
      <c r="E239" s="603">
        <f>+'[2]MSFR Inc Stmt by Acct - SCH C.2'!G246</f>
        <v>52562013</v>
      </c>
      <c r="F239" s="430"/>
      <c r="G239" s="430" t="str">
        <f>+'[2]MSFR Inc Stmt by Acct - SCH C.2'!I246</f>
        <v>Off&amp;Adm Supplies WT</v>
      </c>
      <c r="H239" s="430"/>
      <c r="I239" s="602" t="str">
        <f>+'[2]MSFR Inc Stmt by Acct - SCH C.2'!K246</f>
        <v>675.3</v>
      </c>
      <c r="J239" s="430"/>
      <c r="L239" s="609">
        <f>+'[2]MSFR Inc Stmt by Acct - SCH C.2'!Q246</f>
        <v>7616.1173832201666</v>
      </c>
    </row>
    <row r="240" spans="1:12" x14ac:dyDescent="0.2">
      <c r="A240" s="422"/>
      <c r="C240" s="430">
        <f>+'[2]MSFR Inc Stmt by Acct - SCH C.2'!E247</f>
        <v>0</v>
      </c>
      <c r="D240" s="430"/>
      <c r="E240" s="603">
        <f>+'[2]MSFR Inc Stmt by Acct - SCH C.2'!G247</f>
        <v>52562014</v>
      </c>
      <c r="F240" s="430"/>
      <c r="G240" s="430" t="str">
        <f>+'[2]MSFR Inc Stmt by Acct - SCH C.2'!I247</f>
        <v>Off&amp;Adm Supplies TD</v>
      </c>
      <c r="H240" s="430"/>
      <c r="I240" s="602" t="str">
        <f>+'[2]MSFR Inc Stmt by Acct - SCH C.2'!K247</f>
        <v>675.5</v>
      </c>
      <c r="J240" s="430"/>
      <c r="L240" s="610">
        <f>+'[2]MSFR Inc Stmt by Acct - SCH C.2'!Q247</f>
        <v>5007.4356966391651</v>
      </c>
    </row>
    <row r="241" spans="1:12" x14ac:dyDescent="0.2">
      <c r="A241" s="422"/>
      <c r="C241" s="430">
        <f>+'[2]MSFR Inc Stmt by Acct - SCH C.2'!E248</f>
        <v>0</v>
      </c>
      <c r="D241" s="430"/>
      <c r="E241" s="603">
        <f>+'[2]MSFR Inc Stmt by Acct - SCH C.2'!G248</f>
        <v>52562015</v>
      </c>
      <c r="F241" s="430"/>
      <c r="G241" s="430" t="str">
        <f>+'[2]MSFR Inc Stmt by Acct - SCH C.2'!I248</f>
        <v>Off&amp;Adm Supplies CA</v>
      </c>
      <c r="H241" s="430"/>
      <c r="I241" s="602" t="str">
        <f>+'[2]MSFR Inc Stmt by Acct - SCH C.2'!K248</f>
        <v>675.7</v>
      </c>
      <c r="J241" s="430"/>
      <c r="L241" s="608">
        <f>+'[2]MSFR Inc Stmt by Acct - SCH C.2'!Q248</f>
        <v>0</v>
      </c>
    </row>
    <row r="242" spans="1:12" x14ac:dyDescent="0.2">
      <c r="A242" s="422"/>
      <c r="C242" s="430">
        <f>+'[2]MSFR Inc Stmt by Acct - SCH C.2'!E249</f>
        <v>0</v>
      </c>
      <c r="D242" s="430"/>
      <c r="E242" s="603">
        <f>+'[2]MSFR Inc Stmt by Acct - SCH C.2'!G249</f>
        <v>52562016</v>
      </c>
      <c r="F242" s="430"/>
      <c r="G242" s="430" t="str">
        <f>+'[2]MSFR Inc Stmt by Acct - SCH C.2'!I249</f>
        <v>Off&amp;Adm Supplies AG</v>
      </c>
      <c r="H242" s="430"/>
      <c r="I242" s="602" t="str">
        <f>+'[2]MSFR Inc Stmt by Acct - SCH C.2'!K249</f>
        <v>675.8</v>
      </c>
      <c r="J242" s="430"/>
      <c r="L242" s="607">
        <f>+'[2]MSFR Inc Stmt by Acct - SCH C.2'!Q249</f>
        <v>25738.894772551881</v>
      </c>
    </row>
    <row r="243" spans="1:12" x14ac:dyDescent="0.2">
      <c r="A243" s="422"/>
      <c r="C243" s="430">
        <f>+'[2]MSFR Inc Stmt by Acct - SCH C.2'!E250</f>
        <v>0</v>
      </c>
      <c r="D243" s="430"/>
      <c r="E243" s="603">
        <f>+'[2]MSFR Inc Stmt by Acct - SCH C.2'!G250</f>
        <v>52571500</v>
      </c>
      <c r="F243" s="430"/>
      <c r="G243" s="430" t="str">
        <f>+'[2]MSFR Inc Stmt by Acct - SCH C.2'!I250</f>
        <v>Software Licenses</v>
      </c>
      <c r="H243" s="430"/>
      <c r="I243" s="602" t="str">
        <f>+'[2]MSFR Inc Stmt by Acct - SCH C.2'!K250</f>
        <v>675.8</v>
      </c>
      <c r="J243" s="430"/>
      <c r="L243" s="607">
        <f>+'[2]MSFR Inc Stmt by Acct - SCH C.2'!Q250</f>
        <v>84245.591416895841</v>
      </c>
    </row>
    <row r="244" spans="1:12" x14ac:dyDescent="0.2">
      <c r="A244" s="422"/>
      <c r="C244" s="430">
        <f>+'[2]MSFR Inc Stmt by Acct - SCH C.2'!E251</f>
        <v>0</v>
      </c>
      <c r="D244" s="430"/>
      <c r="E244" s="603">
        <f>+'[2]MSFR Inc Stmt by Acct - SCH C.2'!G251</f>
        <v>52582000</v>
      </c>
      <c r="F244" s="430"/>
      <c r="G244" s="430" t="str">
        <f>+'[2]MSFR Inc Stmt by Acct - SCH C.2'!I251</f>
        <v>Uniforms</v>
      </c>
      <c r="H244" s="430"/>
      <c r="I244" s="602" t="str">
        <f>+'[2]MSFR Inc Stmt by Acct - SCH C.2'!K251</f>
        <v>675.7</v>
      </c>
      <c r="J244" s="430"/>
      <c r="L244" s="601">
        <f>+'[2]MSFR Inc Stmt by Acct - SCH C.2'!Q251</f>
        <v>0</v>
      </c>
    </row>
    <row r="245" spans="1:12" x14ac:dyDescent="0.2">
      <c r="A245" s="422"/>
      <c r="C245" s="430">
        <f>+'[2]MSFR Inc Stmt by Acct - SCH C.2'!E252</f>
        <v>0</v>
      </c>
      <c r="D245" s="430"/>
      <c r="E245" s="603">
        <f>+'[2]MSFR Inc Stmt by Acct - SCH C.2'!G252</f>
        <v>52582013</v>
      </c>
      <c r="F245" s="430"/>
      <c r="G245" s="430" t="str">
        <f>+'[2]MSFR Inc Stmt by Acct - SCH C.2'!I252</f>
        <v>Uniforms WT</v>
      </c>
      <c r="H245" s="430"/>
      <c r="I245" s="602" t="str">
        <f>+'[2]MSFR Inc Stmt by Acct - SCH C.2'!K252</f>
        <v>675.3</v>
      </c>
      <c r="J245" s="430"/>
      <c r="L245" s="609">
        <f>+'[2]MSFR Inc Stmt by Acct - SCH C.2'!Q252</f>
        <v>11556.298388725741</v>
      </c>
    </row>
    <row r="246" spans="1:12" x14ac:dyDescent="0.2">
      <c r="A246" s="422"/>
      <c r="C246" s="430">
        <f>+'[2]MSFR Inc Stmt by Acct - SCH C.2'!E253</f>
        <v>0</v>
      </c>
      <c r="D246" s="430"/>
      <c r="E246" s="603">
        <f>+'[2]MSFR Inc Stmt by Acct - SCH C.2'!G253</f>
        <v>52582014</v>
      </c>
      <c r="F246" s="430"/>
      <c r="G246" s="430" t="str">
        <f>+'[2]MSFR Inc Stmt by Acct - SCH C.2'!I253</f>
        <v>Uniforms TD</v>
      </c>
      <c r="H246" s="430"/>
      <c r="I246" s="602" t="str">
        <f>+'[2]MSFR Inc Stmt by Acct - SCH C.2'!K253</f>
        <v>675.5</v>
      </c>
      <c r="J246" s="430"/>
      <c r="L246" s="610">
        <f>+'[2]MSFR Inc Stmt by Acct - SCH C.2'!Q253</f>
        <v>11026.341107433822</v>
      </c>
    </row>
    <row r="247" spans="1:12" x14ac:dyDescent="0.2">
      <c r="A247" s="422"/>
      <c r="C247" s="430">
        <f>+'[2]MSFR Inc Stmt by Acct - SCH C.2'!E254</f>
        <v>0</v>
      </c>
      <c r="D247" s="430"/>
      <c r="E247" s="603">
        <f>+'[2]MSFR Inc Stmt by Acct - SCH C.2'!G254</f>
        <v>52582016</v>
      </c>
      <c r="F247" s="430"/>
      <c r="G247" s="430" t="str">
        <f>+'[2]MSFR Inc Stmt by Acct - SCH C.2'!I254</f>
        <v>Uniforms AG</v>
      </c>
      <c r="H247" s="430"/>
      <c r="I247" s="602" t="str">
        <f>+'[2]MSFR Inc Stmt by Acct - SCH C.2'!K254</f>
        <v>675.7</v>
      </c>
      <c r="J247" s="430"/>
      <c r="L247" s="607">
        <f>+'[2]MSFR Inc Stmt by Acct - SCH C.2'!Q254</f>
        <v>1573.7235610663104</v>
      </c>
    </row>
    <row r="248" spans="1:12" x14ac:dyDescent="0.2">
      <c r="A248" s="422"/>
      <c r="C248" s="430">
        <f>+'[2]MSFR Inc Stmt by Acct - SCH C.2'!E255</f>
        <v>0</v>
      </c>
      <c r="D248" s="430"/>
      <c r="E248" s="603">
        <f>+'[2]MSFR Inc Stmt by Acct - SCH C.2'!G255</f>
        <v>52801100</v>
      </c>
      <c r="F248" s="430"/>
      <c r="G248" s="430" t="str">
        <f>+'[2]MSFR Inc Stmt by Acct - SCH C.2'!I255</f>
        <v>Indirect OH Clearing</v>
      </c>
      <c r="H248" s="430"/>
      <c r="I248" s="602" t="str">
        <f>+'[2]MSFR Inc Stmt by Acct - SCH C.2'!K255</f>
        <v>675.8</v>
      </c>
      <c r="J248" s="430"/>
      <c r="L248" s="601">
        <f>+'[2]MSFR Inc Stmt by Acct - SCH C.2'!Q255</f>
        <v>0</v>
      </c>
    </row>
    <row r="249" spans="1:12" x14ac:dyDescent="0.2">
      <c r="A249" s="422"/>
      <c r="C249" s="430">
        <f>+'[2]MSFR Inc Stmt by Acct - SCH C.2'!E256</f>
        <v>0</v>
      </c>
      <c r="D249" s="430"/>
      <c r="E249" s="603">
        <f>+'[2]MSFR Inc Stmt by Acct - SCH C.2'!G256</f>
        <v>0</v>
      </c>
      <c r="F249" s="430"/>
      <c r="G249" s="430">
        <f>+'[2]MSFR Inc Stmt by Acct - SCH C.2'!I256</f>
        <v>0</v>
      </c>
      <c r="H249" s="430"/>
      <c r="I249" s="602" t="str">
        <f>+'[2]MSFR Inc Stmt by Acct - SCH C.2'!K256</f>
        <v>Total</v>
      </c>
      <c r="J249" s="430"/>
      <c r="L249" s="601">
        <f>+'[2]MSFR Inc Stmt by Acct - SCH C.2'!Q256</f>
        <v>282986.91202991555</v>
      </c>
    </row>
    <row r="250" spans="1:12" x14ac:dyDescent="0.2">
      <c r="A250" s="422"/>
      <c r="C250" s="430">
        <f>+'[2]MSFR Inc Stmt by Acct - SCH C.2'!E257</f>
        <v>0</v>
      </c>
      <c r="D250" s="430"/>
      <c r="E250" s="603">
        <f>+'[2]MSFR Inc Stmt by Acct - SCH C.2'!G257</f>
        <v>0</v>
      </c>
      <c r="F250" s="430"/>
      <c r="G250" s="430">
        <f>+'[2]MSFR Inc Stmt by Acct - SCH C.2'!I257</f>
        <v>0</v>
      </c>
      <c r="H250" s="430"/>
      <c r="I250" s="602">
        <f>+'[2]MSFR Inc Stmt by Acct - SCH C.2'!K257</f>
        <v>0</v>
      </c>
      <c r="J250" s="430"/>
      <c r="L250" s="601">
        <f>+'[2]MSFR Inc Stmt by Acct - SCH C.2'!Q257</f>
        <v>289</v>
      </c>
    </row>
    <row r="251" spans="1:12" x14ac:dyDescent="0.2">
      <c r="A251" s="422"/>
      <c r="C251" s="430" t="str">
        <f>+'[2]MSFR Inc Stmt by Acct - SCH C.2'!E258</f>
        <v>Advertising &amp; marketing expenses</v>
      </c>
      <c r="D251" s="430"/>
      <c r="E251" s="603">
        <f>+'[2]MSFR Inc Stmt by Acct - SCH C.2'!G258</f>
        <v>52503000</v>
      </c>
      <c r="F251" s="430"/>
      <c r="G251" s="430" t="str">
        <f>+'[2]MSFR Inc Stmt by Acct - SCH C.2'!I258</f>
        <v>Advertising</v>
      </c>
      <c r="H251" s="430"/>
      <c r="I251" s="602" t="str">
        <f>+'[2]MSFR Inc Stmt by Acct - SCH C.2'!K258</f>
        <v>660.8</v>
      </c>
      <c r="J251" s="430"/>
      <c r="L251" s="601">
        <f>+'[2]MSFR Inc Stmt by Acct - SCH C.2'!Q258</f>
        <v>0</v>
      </c>
    </row>
    <row r="252" spans="1:12" x14ac:dyDescent="0.2">
      <c r="A252" s="422"/>
      <c r="C252" s="430">
        <f>+'[2]MSFR Inc Stmt by Acct - SCH C.2'!E259</f>
        <v>0</v>
      </c>
      <c r="D252" s="430"/>
      <c r="E252" s="603">
        <f>+'[2]MSFR Inc Stmt by Acct - SCH C.2'!G259</f>
        <v>0</v>
      </c>
      <c r="F252" s="430"/>
      <c r="G252" s="430">
        <f>+'[2]MSFR Inc Stmt by Acct - SCH C.2'!I259</f>
        <v>0</v>
      </c>
      <c r="H252" s="430"/>
      <c r="I252" s="602" t="str">
        <f>+'[2]MSFR Inc Stmt by Acct - SCH C.2'!K259</f>
        <v>Total</v>
      </c>
      <c r="J252" s="430"/>
      <c r="L252" s="601">
        <f>+'[2]MSFR Inc Stmt by Acct - SCH C.2'!Q259</f>
        <v>0</v>
      </c>
    </row>
    <row r="253" spans="1:12" x14ac:dyDescent="0.2">
      <c r="A253" s="422"/>
      <c r="C253" s="430">
        <f>+'[2]MSFR Inc Stmt by Acct - SCH C.2'!E260</f>
        <v>0</v>
      </c>
      <c r="D253" s="430"/>
      <c r="E253" s="603">
        <f>+'[2]MSFR Inc Stmt by Acct - SCH C.2'!G260</f>
        <v>0</v>
      </c>
      <c r="F253" s="430"/>
      <c r="G253" s="430">
        <f>+'[2]MSFR Inc Stmt by Acct - SCH C.2'!I260</f>
        <v>0</v>
      </c>
      <c r="H253" s="430"/>
      <c r="I253" s="602">
        <f>+'[2]MSFR Inc Stmt by Acct - SCH C.2'!K260</f>
        <v>0</v>
      </c>
      <c r="J253" s="430"/>
      <c r="L253" s="601">
        <f>+'[2]MSFR Inc Stmt by Acct - SCH C.2'!Q260</f>
        <v>0</v>
      </c>
    </row>
    <row r="254" spans="1:12" x14ac:dyDescent="0.2">
      <c r="A254" s="422"/>
      <c r="C254" s="430" t="str">
        <f>+'[2]MSFR Inc Stmt by Acct - SCH C.2'!E261</f>
        <v>Employee Related Expense</v>
      </c>
      <c r="D254" s="430"/>
      <c r="E254" s="603">
        <f>+'[2]MSFR Inc Stmt by Acct - SCH C.2'!G261</f>
        <v>52534000</v>
      </c>
      <c r="F254" s="430"/>
      <c r="G254" s="430" t="str">
        <f>+'[2]MSFR Inc Stmt by Acct - SCH C.2'!I261</f>
        <v>Employee Expenses</v>
      </c>
      <c r="H254" s="430"/>
      <c r="I254" s="602" t="str">
        <f>+'[2]MSFR Inc Stmt by Acct - SCH C.2'!K261</f>
        <v>675.8</v>
      </c>
      <c r="J254" s="430"/>
      <c r="L254" s="607">
        <f>+'[2]MSFR Inc Stmt by Acct - SCH C.2'!Q261</f>
        <v>102438.26805486403</v>
      </c>
    </row>
    <row r="255" spans="1:12" x14ac:dyDescent="0.2">
      <c r="A255" s="422"/>
      <c r="C255" s="430">
        <f>+'[2]MSFR Inc Stmt by Acct - SCH C.2'!E262</f>
        <v>0</v>
      </c>
      <c r="D255" s="430"/>
      <c r="E255" s="603">
        <f>+'[2]MSFR Inc Stmt by Acct - SCH C.2'!G262</f>
        <v>52534021</v>
      </c>
      <c r="F255" s="430"/>
      <c r="G255" s="430" t="str">
        <f>+'[2]MSFR Inc Stmt by Acct - SCH C.2'!I262</f>
        <v>Travel - Meals</v>
      </c>
      <c r="H255" s="430"/>
      <c r="I255" s="602" t="str">
        <f>+'[2]MSFR Inc Stmt by Acct - SCH C.2'!K262</f>
        <v>675.8</v>
      </c>
      <c r="J255" s="430"/>
      <c r="L255" s="607">
        <f>+'[2]MSFR Inc Stmt by Acct - SCH C.2'!Q262</f>
        <v>11697.91527965479</v>
      </c>
    </row>
    <row r="256" spans="1:12" x14ac:dyDescent="0.2">
      <c r="A256" s="422"/>
      <c r="C256" s="430">
        <f>+'[2]MSFR Inc Stmt by Acct - SCH C.2'!E263</f>
        <v>0</v>
      </c>
      <c r="D256" s="430"/>
      <c r="E256" s="603">
        <f>+'[2]MSFR Inc Stmt by Acct - SCH C.2'!G263</f>
        <v>52534200</v>
      </c>
      <c r="F256" s="430"/>
      <c r="G256" s="430" t="str">
        <f>+'[2]MSFR Inc Stmt by Acct - SCH C.2'!I263</f>
        <v>Conferences &amp; Reg</v>
      </c>
      <c r="H256" s="430"/>
      <c r="I256" s="602" t="str">
        <f>+'[2]MSFR Inc Stmt by Acct - SCH C.2'!K263</f>
        <v>675.8</v>
      </c>
      <c r="J256" s="430"/>
      <c r="L256" s="607">
        <f>+'[2]MSFR Inc Stmt by Acct - SCH C.2'!Q263</f>
        <v>11935.470576380492</v>
      </c>
    </row>
    <row r="257" spans="1:12" x14ac:dyDescent="0.2">
      <c r="A257" s="422"/>
      <c r="C257" s="430">
        <f>+'[2]MSFR Inc Stmt by Acct - SCH C.2'!E264</f>
        <v>0</v>
      </c>
      <c r="D257" s="430"/>
      <c r="E257" s="603">
        <f>+'[2]MSFR Inc Stmt by Acct - SCH C.2'!G264</f>
        <v>52535000</v>
      </c>
      <c r="F257" s="430"/>
      <c r="G257" s="430" t="str">
        <f>+'[2]MSFR Inc Stmt by Acct - SCH C.2'!I264</f>
        <v>Meals Deductible</v>
      </c>
      <c r="H257" s="430"/>
      <c r="I257" s="602" t="str">
        <f>+'[2]MSFR Inc Stmt by Acct - SCH C.2'!K264</f>
        <v>675.8</v>
      </c>
      <c r="J257" s="430"/>
      <c r="L257" s="607">
        <f>+'[2]MSFR Inc Stmt by Acct - SCH C.2'!Q264</f>
        <v>35926.632021006706</v>
      </c>
    </row>
    <row r="258" spans="1:12" x14ac:dyDescent="0.2">
      <c r="A258" s="422"/>
      <c r="C258" s="430">
        <f>+'[2]MSFR Inc Stmt by Acct - SCH C.2'!E265</f>
        <v>0</v>
      </c>
      <c r="D258" s="430"/>
      <c r="E258" s="603">
        <f>+'[2]MSFR Inc Stmt by Acct - SCH C.2'!G265</f>
        <v>52535100</v>
      </c>
      <c r="F258" s="430"/>
      <c r="G258" s="430" t="str">
        <f>+'[2]MSFR Inc Stmt by Acct - SCH C.2'!I265</f>
        <v>Meals Nondeductible</v>
      </c>
      <c r="H258" s="430"/>
      <c r="I258" s="602" t="str">
        <f>+'[2]MSFR Inc Stmt by Acct - SCH C.2'!K265</f>
        <v>675.8</v>
      </c>
      <c r="J258" s="430"/>
      <c r="L258" s="607">
        <f>+'[2]MSFR Inc Stmt by Acct - SCH C.2'!Q265</f>
        <v>0</v>
      </c>
    </row>
    <row r="259" spans="1:12" x14ac:dyDescent="0.2">
      <c r="A259" s="422"/>
      <c r="C259" s="430">
        <f>+'[2]MSFR Inc Stmt by Acct - SCH C.2'!E266</f>
        <v>0</v>
      </c>
      <c r="D259" s="430"/>
      <c r="E259" s="603">
        <f>+'[2]MSFR Inc Stmt by Acct - SCH C.2'!G266</f>
        <v>52567000</v>
      </c>
      <c r="F259" s="430"/>
      <c r="G259" s="430" t="str">
        <f>+'[2]MSFR Inc Stmt by Acct - SCH C.2'!I266</f>
        <v>Relocation Expenses</v>
      </c>
      <c r="H259" s="430"/>
      <c r="I259" s="602" t="str">
        <f>+'[2]MSFR Inc Stmt by Acct - SCH C.2'!K266</f>
        <v>675.8</v>
      </c>
      <c r="J259" s="430"/>
      <c r="L259" s="607">
        <f>+'[2]MSFR Inc Stmt by Acct - SCH C.2'!Q266</f>
        <v>258.71406809398491</v>
      </c>
    </row>
    <row r="260" spans="1:12" x14ac:dyDescent="0.2">
      <c r="A260" s="422"/>
      <c r="C260" s="430">
        <f>+'[2]MSFR Inc Stmt by Acct - SCH C.2'!E267</f>
        <v>0</v>
      </c>
      <c r="D260" s="430"/>
      <c r="E260" s="603">
        <f>+'[2]MSFR Inc Stmt by Acct - SCH C.2'!G267</f>
        <v>0</v>
      </c>
      <c r="F260" s="430"/>
      <c r="G260" s="430">
        <f>+'[2]MSFR Inc Stmt by Acct - SCH C.2'!I267</f>
        <v>0</v>
      </c>
      <c r="H260" s="430"/>
      <c r="I260" s="602">
        <f>+'[2]MSFR Inc Stmt by Acct - SCH C.2'!K267</f>
        <v>0</v>
      </c>
      <c r="J260" s="430"/>
      <c r="L260" s="607">
        <f>+'[2]MSFR Inc Stmt by Acct - SCH C.2'!Q267</f>
        <v>162257</v>
      </c>
    </row>
    <row r="261" spans="1:12" x14ac:dyDescent="0.2">
      <c r="A261" s="422"/>
      <c r="C261" s="430">
        <f>+'[2]MSFR Inc Stmt by Acct - SCH C.2'!E268</f>
        <v>0</v>
      </c>
      <c r="D261" s="430"/>
      <c r="E261" s="603">
        <f>+'[2]MSFR Inc Stmt by Acct - SCH C.2'!G268</f>
        <v>0</v>
      </c>
      <c r="F261" s="430"/>
      <c r="G261" s="430">
        <f>+'[2]MSFR Inc Stmt by Acct - SCH C.2'!I268</f>
        <v>0</v>
      </c>
      <c r="H261" s="430"/>
      <c r="I261" s="602">
        <f>+'[2]MSFR Inc Stmt by Acct - SCH C.2'!K268</f>
        <v>0</v>
      </c>
      <c r="J261" s="430"/>
      <c r="L261" s="601">
        <f>+'[2]MSFR Inc Stmt by Acct - SCH C.2'!Q268</f>
        <v>0</v>
      </c>
    </row>
    <row r="262" spans="1:12" x14ac:dyDescent="0.2">
      <c r="A262" s="422"/>
      <c r="C262" s="430" t="str">
        <f>+'[2]MSFR Inc Stmt by Acct - SCH C.2'!E269</f>
        <v>Miscellaneous expenses</v>
      </c>
      <c r="D262" s="430"/>
      <c r="E262" s="603">
        <f>+'[2]MSFR Inc Stmt by Acct - SCH C.2'!G269</f>
        <v>52000000</v>
      </c>
      <c r="F262" s="430"/>
      <c r="G262" s="430" t="str">
        <f>+'[2]MSFR Inc Stmt by Acct - SCH C.2'!I269</f>
        <v>M&amp;S Expense (O&amp;M)</v>
      </c>
      <c r="H262" s="430"/>
      <c r="I262" s="602" t="str">
        <f>+'[2]MSFR Inc Stmt by Acct - SCH C.2'!K269</f>
        <v>620.5</v>
      </c>
      <c r="J262" s="430"/>
      <c r="L262" s="601">
        <f>+'[2]MSFR Inc Stmt by Acct - SCH C.2'!Q269</f>
        <v>0</v>
      </c>
    </row>
    <row r="263" spans="1:12" x14ac:dyDescent="0.2">
      <c r="A263" s="422"/>
      <c r="C263" s="430">
        <f>+'[2]MSFR Inc Stmt by Acct - SCH C.2'!E270</f>
        <v>0</v>
      </c>
      <c r="D263" s="430"/>
      <c r="E263" s="603">
        <f>+'[2]MSFR Inc Stmt by Acct - SCH C.2'!G270</f>
        <v>52001000</v>
      </c>
      <c r="F263" s="430"/>
      <c r="G263" s="430" t="str">
        <f>+'[2]MSFR Inc Stmt by Acct - SCH C.2'!I270</f>
        <v>M&amp;S Expense (O&amp;M)</v>
      </c>
      <c r="H263" s="430"/>
      <c r="I263" s="602" t="str">
        <f>+'[2]MSFR Inc Stmt by Acct - SCH C.2'!K270</f>
        <v>620.5</v>
      </c>
      <c r="J263" s="430"/>
      <c r="L263" s="601">
        <f>+'[2]MSFR Inc Stmt by Acct - SCH C.2'!Q270</f>
        <v>0</v>
      </c>
    </row>
    <row r="264" spans="1:12" x14ac:dyDescent="0.2">
      <c r="A264" s="422"/>
      <c r="C264" s="430">
        <f>+'[2]MSFR Inc Stmt by Acct - SCH C.2'!E271</f>
        <v>0</v>
      </c>
      <c r="D264" s="430"/>
      <c r="E264" s="603">
        <f>+'[2]MSFR Inc Stmt by Acct - SCH C.2'!G271</f>
        <v>52001100</v>
      </c>
      <c r="F264" s="430"/>
      <c r="G264" s="430" t="str">
        <f>+'[2]MSFR Inc Stmt by Acct - SCH C.2'!I271</f>
        <v>M&amp;S Oper SS</v>
      </c>
      <c r="H264" s="430"/>
      <c r="I264" s="602" t="str">
        <f>+'[2]MSFR Inc Stmt by Acct - SCH C.2'!K271</f>
        <v>620.1</v>
      </c>
      <c r="J264" s="430"/>
      <c r="L264" s="604">
        <f>+'[2]MSFR Inc Stmt by Acct - SCH C.2'!Q271</f>
        <v>94.465640303068298</v>
      </c>
    </row>
    <row r="265" spans="1:12" x14ac:dyDescent="0.2">
      <c r="A265" s="422"/>
      <c r="C265" s="430">
        <f>+'[2]MSFR Inc Stmt by Acct - SCH C.2'!E272</f>
        <v>0</v>
      </c>
      <c r="D265" s="430"/>
      <c r="E265" s="603">
        <f>+'[2]MSFR Inc Stmt by Acct - SCH C.2'!G272</f>
        <v>52001200</v>
      </c>
      <c r="F265" s="430"/>
      <c r="G265" s="430" t="str">
        <f>+'[2]MSFR Inc Stmt by Acct - SCH C.2'!I272</f>
        <v>M&amp;S Oper P</v>
      </c>
      <c r="H265" s="430"/>
      <c r="I265" s="602" t="str">
        <f>+'[2]MSFR Inc Stmt by Acct - SCH C.2'!K272</f>
        <v>620.1</v>
      </c>
      <c r="J265" s="430"/>
      <c r="L265" s="604">
        <f>+'[2]MSFR Inc Stmt by Acct - SCH C.2'!Q272</f>
        <v>247.06398233110164</v>
      </c>
    </row>
    <row r="266" spans="1:12" x14ac:dyDescent="0.2">
      <c r="A266" s="422"/>
      <c r="C266" s="430">
        <f>+'[2]MSFR Inc Stmt by Acct - SCH C.2'!E273</f>
        <v>0</v>
      </c>
      <c r="D266" s="430"/>
      <c r="E266" s="603">
        <f>+'[2]MSFR Inc Stmt by Acct - SCH C.2'!G273</f>
        <v>52001300</v>
      </c>
      <c r="F266" s="430"/>
      <c r="G266" s="430" t="str">
        <f>+'[2]MSFR Inc Stmt by Acct - SCH C.2'!I273</f>
        <v>M&amp;S Oper WT</v>
      </c>
      <c r="H266" s="430"/>
      <c r="I266" s="602" t="str">
        <f>+'[2]MSFR Inc Stmt by Acct - SCH C.2'!K273</f>
        <v>620.3</v>
      </c>
      <c r="J266" s="430"/>
      <c r="L266" s="609">
        <f>+'[2]MSFR Inc Stmt by Acct - SCH C.2'!Q273</f>
        <v>27571.048590334834</v>
      </c>
    </row>
    <row r="267" spans="1:12" x14ac:dyDescent="0.2">
      <c r="A267" s="422"/>
      <c r="C267" s="430">
        <f>+'[2]MSFR Inc Stmt by Acct - SCH C.2'!E274</f>
        <v>0</v>
      </c>
      <c r="D267" s="430"/>
      <c r="E267" s="603">
        <f>+'[2]MSFR Inc Stmt by Acct - SCH C.2'!G274</f>
        <v>52001400</v>
      </c>
      <c r="F267" s="430"/>
      <c r="G267" s="430" t="str">
        <f>+'[2]MSFR Inc Stmt by Acct - SCH C.2'!I274</f>
        <v>M&amp;S Oper TD</v>
      </c>
      <c r="H267" s="430"/>
      <c r="I267" s="602" t="str">
        <f>+'[2]MSFR Inc Stmt by Acct - SCH C.2'!K274</f>
        <v>620.5</v>
      </c>
      <c r="J267" s="430"/>
      <c r="L267" s="610">
        <f>+'[2]MSFR Inc Stmt by Acct - SCH C.2'!Q274</f>
        <v>-13229.226635604906</v>
      </c>
    </row>
    <row r="268" spans="1:12" x14ac:dyDescent="0.2">
      <c r="A268" s="422"/>
      <c r="C268" s="430">
        <f>+'[2]MSFR Inc Stmt by Acct - SCH C.2'!E275</f>
        <v>0</v>
      </c>
      <c r="D268" s="430"/>
      <c r="E268" s="603">
        <f>+'[2]MSFR Inc Stmt by Acct - SCH C.2'!G275</f>
        <v>52001600</v>
      </c>
      <c r="F268" s="430"/>
      <c r="G268" s="430" t="str">
        <f>+'[2]MSFR Inc Stmt by Acct - SCH C.2'!I275</f>
        <v>M&amp;S Oper AG</v>
      </c>
      <c r="H268" s="430"/>
      <c r="I268" s="602" t="str">
        <f>+'[2]MSFR Inc Stmt by Acct - SCH C.2'!K275</f>
        <v>620.8</v>
      </c>
      <c r="J268" s="430"/>
      <c r="L268" s="607">
        <f>+'[2]MSFR Inc Stmt by Acct - SCH C.2'!Q275</f>
        <v>8474.4560736838012</v>
      </c>
    </row>
    <row r="269" spans="1:12" x14ac:dyDescent="0.2">
      <c r="A269" s="422"/>
      <c r="C269" s="430">
        <f>+'[2]MSFR Inc Stmt by Acct - SCH C.2'!E276</f>
        <v>0</v>
      </c>
      <c r="D269" s="430"/>
      <c r="E269" s="603">
        <f>+'[2]MSFR Inc Stmt by Acct - SCH C.2'!G276</f>
        <v>52500000</v>
      </c>
      <c r="F269" s="430"/>
      <c r="G269" s="430" t="str">
        <f>+'[2]MSFR Inc Stmt by Acct - SCH C.2'!I276</f>
        <v>Misc Expense (O&amp;M)</v>
      </c>
      <c r="H269" s="430"/>
      <c r="I269" s="602" t="str">
        <f>+'[2]MSFR Inc Stmt by Acct - SCH C.2'!K276</f>
        <v>675.8</v>
      </c>
      <c r="J269" s="430"/>
      <c r="L269" s="601">
        <f>+'[2]MSFR Inc Stmt by Acct - SCH C.2'!Q276</f>
        <v>0</v>
      </c>
    </row>
    <row r="270" spans="1:12" x14ac:dyDescent="0.2">
      <c r="A270" s="422"/>
      <c r="C270" s="430">
        <f>+'[2]MSFR Inc Stmt by Acct - SCH C.2'!E277</f>
        <v>0</v>
      </c>
      <c r="D270" s="430"/>
      <c r="E270" s="603">
        <f>+'[2]MSFR Inc Stmt by Acct - SCH C.2'!G277</f>
        <v>52501200</v>
      </c>
      <c r="F270" s="430"/>
      <c r="G270" s="430" t="str">
        <f>+'[2]MSFR Inc Stmt by Acct - SCH C.2'!I277</f>
        <v>Misc Oper P</v>
      </c>
      <c r="H270" s="430"/>
      <c r="I270" s="602" t="str">
        <f>+'[2]MSFR Inc Stmt by Acct - SCH C.2'!K277</f>
        <v>675.1</v>
      </c>
      <c r="J270" s="430"/>
      <c r="L270" s="604">
        <f>+'[2]MSFR Inc Stmt by Acct - SCH C.2'!Q277</f>
        <v>12.918378161103355</v>
      </c>
    </row>
    <row r="271" spans="1:12" x14ac:dyDescent="0.2">
      <c r="A271" s="422"/>
      <c r="C271" s="430">
        <f>+'[2]MSFR Inc Stmt by Acct - SCH C.2'!E278</f>
        <v>0</v>
      </c>
      <c r="D271" s="430"/>
      <c r="E271" s="603">
        <f>+'[2]MSFR Inc Stmt by Acct - SCH C.2'!G278</f>
        <v>52501300</v>
      </c>
      <c r="F271" s="430"/>
      <c r="G271" s="430" t="str">
        <f>+'[2]MSFR Inc Stmt by Acct - SCH C.2'!I278</f>
        <v>Misc Oper WT</v>
      </c>
      <c r="H271" s="430"/>
      <c r="I271" s="602" t="str">
        <f>+'[2]MSFR Inc Stmt by Acct - SCH C.2'!K278</f>
        <v>675.3</v>
      </c>
      <c r="J271" s="430"/>
      <c r="L271" s="609">
        <f>+'[2]MSFR Inc Stmt by Acct - SCH C.2'!Q278</f>
        <v>9168.0115012080369</v>
      </c>
    </row>
    <row r="272" spans="1:12" x14ac:dyDescent="0.2">
      <c r="A272" s="422"/>
      <c r="C272" s="430">
        <f>+'[2]MSFR Inc Stmt by Acct - SCH C.2'!E279</f>
        <v>0</v>
      </c>
      <c r="D272" s="430"/>
      <c r="E272" s="603">
        <f>+'[2]MSFR Inc Stmt by Acct - SCH C.2'!G279</f>
        <v>52501400</v>
      </c>
      <c r="F272" s="430"/>
      <c r="G272" s="430" t="str">
        <f>+'[2]MSFR Inc Stmt by Acct - SCH C.2'!I279</f>
        <v>Misc Oper TD</v>
      </c>
      <c r="H272" s="430"/>
      <c r="I272" s="602" t="str">
        <f>+'[2]MSFR Inc Stmt by Acct - SCH C.2'!K279</f>
        <v>675.5</v>
      </c>
      <c r="J272" s="430"/>
      <c r="L272" s="610">
        <f>+'[2]MSFR Inc Stmt by Acct - SCH C.2'!Q279</f>
        <v>24578.021850134202</v>
      </c>
    </row>
    <row r="273" spans="1:12" x14ac:dyDescent="0.2">
      <c r="A273" s="422"/>
      <c r="C273" s="430">
        <f>+'[2]MSFR Inc Stmt by Acct - SCH C.2'!E280</f>
        <v>0</v>
      </c>
      <c r="D273" s="430"/>
      <c r="E273" s="603">
        <f>+'[2]MSFR Inc Stmt by Acct - SCH C.2'!G280</f>
        <v>52501600</v>
      </c>
      <c r="F273" s="430"/>
      <c r="G273" s="430" t="str">
        <f>+'[2]MSFR Inc Stmt by Acct - SCH C.2'!I280</f>
        <v>Misc Oper AG</v>
      </c>
      <c r="H273" s="430"/>
      <c r="I273" s="602" t="str">
        <f>+'[2]MSFR Inc Stmt by Acct - SCH C.2'!K280</f>
        <v>675.8</v>
      </c>
      <c r="J273" s="430"/>
      <c r="L273" s="607">
        <f>+'[2]MSFR Inc Stmt by Acct - SCH C.2'!Q280</f>
        <v>51936.724599445901</v>
      </c>
    </row>
    <row r="274" spans="1:12" x14ac:dyDescent="0.2">
      <c r="A274" s="422"/>
      <c r="C274" s="430">
        <f>+'[2]MSFR Inc Stmt by Acct - SCH C.2'!E281</f>
        <v>0</v>
      </c>
      <c r="D274" s="430"/>
      <c r="E274" s="603">
        <f>+'[2]MSFR Inc Stmt by Acct - SCH C.2'!G281</f>
        <v>52514000</v>
      </c>
      <c r="F274" s="430"/>
      <c r="G274" s="430" t="str">
        <f>+'[2]MSFR Inc Stmt by Acct - SCH C.2'!I281</f>
        <v>Charitb Contr Deduct</v>
      </c>
      <c r="H274" s="430"/>
      <c r="I274" s="602" t="str">
        <f>+'[2]MSFR Inc Stmt by Acct - SCH C.2'!K281</f>
        <v>675.8</v>
      </c>
      <c r="J274" s="430"/>
      <c r="L274" s="607">
        <f>+'[2]MSFR Inc Stmt by Acct - SCH C.2'!Q281</f>
        <v>2396.3591488846723</v>
      </c>
    </row>
    <row r="275" spans="1:12" x14ac:dyDescent="0.2">
      <c r="A275" s="422"/>
      <c r="C275" s="430">
        <f>+'[2]MSFR Inc Stmt by Acct - SCH C.2'!E282</f>
        <v>0</v>
      </c>
      <c r="D275" s="430"/>
      <c r="E275" s="603">
        <f>+'[2]MSFR Inc Stmt by Acct - SCH C.2'!G282</f>
        <v>52514500</v>
      </c>
      <c r="F275" s="430"/>
      <c r="G275" s="430" t="str">
        <f>+'[2]MSFR Inc Stmt by Acct - SCH C.2'!I282</f>
        <v>Charitb Don-H/Ed/En</v>
      </c>
      <c r="H275" s="430"/>
      <c r="I275" s="602" t="str">
        <f>+'[2]MSFR Inc Stmt by Acct - SCH C.2'!K282</f>
        <v>675.8</v>
      </c>
      <c r="J275" s="430"/>
      <c r="L275" s="607">
        <f>+'[2]MSFR Inc Stmt by Acct - SCH C.2'!Q282</f>
        <v>61927.475309789203</v>
      </c>
    </row>
    <row r="276" spans="1:12" x14ac:dyDescent="0.2">
      <c r="A276" s="422"/>
      <c r="C276" s="430">
        <f>+'[2]MSFR Inc Stmt by Acct - SCH C.2'!E283</f>
        <v>0</v>
      </c>
      <c r="D276" s="430"/>
      <c r="E276" s="603">
        <f>+'[2]MSFR Inc Stmt by Acct - SCH C.2'!G283</f>
        <v>52514600</v>
      </c>
      <c r="F276" s="430"/>
      <c r="G276" s="430" t="str">
        <f>+'[2]MSFR Inc Stmt by Acct - SCH C.2'!I283</f>
        <v>Charitb Don-Commnty</v>
      </c>
      <c r="H276" s="430"/>
      <c r="I276" s="602" t="str">
        <f>+'[2]MSFR Inc Stmt by Acct - SCH C.2'!K283</f>
        <v>675.8</v>
      </c>
      <c r="J276" s="430"/>
      <c r="L276" s="607">
        <f>+'[2]MSFR Inc Stmt by Acct - SCH C.2'!Q283</f>
        <v>36644.594451239805</v>
      </c>
    </row>
    <row r="277" spans="1:12" x14ac:dyDescent="0.2">
      <c r="A277" s="422"/>
      <c r="C277" s="430">
        <f>+'[2]MSFR Inc Stmt by Acct - SCH C.2'!E284</f>
        <v>0</v>
      </c>
      <c r="D277" s="430"/>
      <c r="E277" s="603">
        <f>+'[2]MSFR Inc Stmt by Acct - SCH C.2'!G284</f>
        <v>52514700</v>
      </c>
      <c r="F277" s="430"/>
      <c r="G277" s="430" t="str">
        <f>+'[2]MSFR Inc Stmt by Acct - SCH C.2'!I284</f>
        <v>Community Partnrshps</v>
      </c>
      <c r="H277" s="430"/>
      <c r="I277" s="602" t="str">
        <f>+'[2]MSFR Inc Stmt by Acct - SCH C.2'!K284</f>
        <v>675.8</v>
      </c>
      <c r="J277" s="430"/>
      <c r="L277" s="607">
        <f>+'[2]MSFR Inc Stmt by Acct - SCH C.2'!Q284</f>
        <v>59799.172507747433</v>
      </c>
    </row>
    <row r="278" spans="1:12" x14ac:dyDescent="0.2">
      <c r="A278" s="422"/>
      <c r="C278" s="430">
        <f>+'[2]MSFR Inc Stmt by Acct - SCH C.2'!E285</f>
        <v>0</v>
      </c>
      <c r="D278" s="430"/>
      <c r="E278" s="603">
        <f>+'[2]MSFR Inc Stmt by Acct - SCH C.2'!G285</f>
        <v>52514901</v>
      </c>
      <c r="F278" s="430"/>
      <c r="G278" s="430" t="str">
        <f>+'[2]MSFR Inc Stmt by Acct - SCH C.2'!I285</f>
        <v>Cust Edu Comm-Reg</v>
      </c>
      <c r="H278" s="430"/>
      <c r="I278" s="602" t="str">
        <f>+'[2]MSFR Inc Stmt by Acct - SCH C.2'!K285</f>
        <v>675.8</v>
      </c>
      <c r="J278" s="430"/>
      <c r="L278" s="608">
        <f>+'[2]MSFR Inc Stmt by Acct - SCH C.2'!Q285</f>
        <v>1671.3151745927466</v>
      </c>
    </row>
    <row r="279" spans="1:12" x14ac:dyDescent="0.2">
      <c r="A279" s="422"/>
      <c r="C279" s="430">
        <f>+'[2]MSFR Inc Stmt by Acct - SCH C.2'!E286</f>
        <v>0</v>
      </c>
      <c r="D279" s="430"/>
      <c r="E279" s="603">
        <f>+'[2]MSFR Inc Stmt by Acct - SCH C.2'!G286</f>
        <v>52514903</v>
      </c>
      <c r="F279" s="430"/>
      <c r="G279" s="430" t="str">
        <f>+'[2]MSFR Inc Stmt by Acct - SCH C.2'!I286</f>
        <v>Cust Edu Comm-Issues</v>
      </c>
      <c r="H279" s="430"/>
      <c r="I279" s="602" t="str">
        <f>+'[2]MSFR Inc Stmt by Acct - SCH C.2'!K286</f>
        <v>675.8</v>
      </c>
      <c r="J279" s="430"/>
      <c r="L279" s="608">
        <f>+'[2]MSFR Inc Stmt by Acct - SCH C.2'!Q286</f>
        <v>20355.326988723544</v>
      </c>
    </row>
    <row r="280" spans="1:12" x14ac:dyDescent="0.2">
      <c r="A280" s="422"/>
      <c r="C280" s="430">
        <f>+'[2]MSFR Inc Stmt by Acct - SCH C.2'!E287</f>
        <v>0</v>
      </c>
      <c r="D280" s="430"/>
      <c r="E280" s="603">
        <f>+'[2]MSFR Inc Stmt by Acct - SCH C.2'!G287</f>
        <v>52514904</v>
      </c>
      <c r="F280" s="430"/>
      <c r="G280" s="430" t="str">
        <f>+'[2]MSFR Inc Stmt by Acct - SCH C.2'!I287</f>
        <v>Cust Edu Comm-Consrv</v>
      </c>
      <c r="H280" s="430"/>
      <c r="I280" s="602" t="str">
        <f>+'[2]MSFR Inc Stmt by Acct - SCH C.2'!K287</f>
        <v>675.8</v>
      </c>
      <c r="J280" s="430"/>
      <c r="L280" s="608">
        <f>+'[2]MSFR Inc Stmt by Acct - SCH C.2'!Q287</f>
        <v>80464.540572337457</v>
      </c>
    </row>
    <row r="281" spans="1:12" x14ac:dyDescent="0.2">
      <c r="A281" s="422"/>
      <c r="C281" s="430">
        <f>+'[2]MSFR Inc Stmt by Acct - SCH C.2'!E288</f>
        <v>0</v>
      </c>
      <c r="D281" s="430"/>
      <c r="E281" s="603">
        <f>+'[2]MSFR Inc Stmt by Acct - SCH C.2'!G288</f>
        <v>52514905</v>
      </c>
      <c r="F281" s="430"/>
      <c r="G281" s="430" t="str">
        <f>+'[2]MSFR Inc Stmt by Acct - SCH C.2'!I288</f>
        <v>Cust Edu Comm-Printd</v>
      </c>
      <c r="H281" s="430"/>
      <c r="I281" s="602" t="str">
        <f>+'[2]MSFR Inc Stmt by Acct - SCH C.2'!K288</f>
        <v>675.8</v>
      </c>
      <c r="J281" s="430"/>
      <c r="L281" s="608">
        <f>+'[2]MSFR Inc Stmt by Acct - SCH C.2'!Q288</f>
        <v>12999.92542324532</v>
      </c>
    </row>
    <row r="282" spans="1:12" x14ac:dyDescent="0.2">
      <c r="A282" s="422"/>
      <c r="C282" s="430">
        <f>+'[2]MSFR Inc Stmt by Acct - SCH C.2'!E289</f>
        <v>0</v>
      </c>
      <c r="D282" s="430"/>
      <c r="E282" s="603">
        <f>+'[2]MSFR Inc Stmt by Acct - SCH C.2'!G289</f>
        <v>52514907</v>
      </c>
      <c r="F282" s="430"/>
      <c r="G282" s="430" t="str">
        <f>+'[2]MSFR Inc Stmt by Acct - SCH C.2'!I289</f>
        <v>Cust Edu-Press Rls</v>
      </c>
      <c r="H282" s="430"/>
      <c r="I282" s="602" t="str">
        <f>+'[2]MSFR Inc Stmt by Acct - SCH C.2'!K289</f>
        <v>675.8</v>
      </c>
      <c r="J282" s="430"/>
      <c r="L282" s="608">
        <f>+'[2]MSFR Inc Stmt by Acct - SCH C.2'!Q289</f>
        <v>827.58360094568377</v>
      </c>
    </row>
    <row r="283" spans="1:12" x14ac:dyDescent="0.2">
      <c r="A283" s="422"/>
      <c r="C283" s="430">
        <f>+'[2]MSFR Inc Stmt by Acct - SCH C.2'!E290</f>
        <v>0</v>
      </c>
      <c r="D283" s="430"/>
      <c r="E283" s="603">
        <f>+'[2]MSFR Inc Stmt by Acct - SCH C.2'!G290</f>
        <v>52514909</v>
      </c>
      <c r="F283" s="430"/>
      <c r="G283" s="430" t="str">
        <f>+'[2]MSFR Inc Stmt by Acct - SCH C.2'!I290</f>
        <v>Cust Edu-Video&amp;Photo</v>
      </c>
      <c r="H283" s="430"/>
      <c r="I283" s="602" t="str">
        <f>+'[2]MSFR Inc Stmt by Acct - SCH C.2'!K290</f>
        <v>675.8</v>
      </c>
      <c r="J283" s="430"/>
      <c r="L283" s="608">
        <f>+'[2]MSFR Inc Stmt by Acct - SCH C.2'!Q290</f>
        <v>4564.2244840448293</v>
      </c>
    </row>
    <row r="284" spans="1:12" x14ac:dyDescent="0.2">
      <c r="A284" s="422"/>
      <c r="C284" s="430">
        <f>+'[2]MSFR Inc Stmt by Acct - SCH C.2'!E291</f>
        <v>0</v>
      </c>
      <c r="D284" s="430"/>
      <c r="E284" s="603">
        <f>+'[2]MSFR Inc Stmt by Acct - SCH C.2'!G291</f>
        <v>52515000</v>
      </c>
      <c r="F284" s="430"/>
      <c r="G284" s="430" t="str">
        <f>+'[2]MSFR Inc Stmt by Acct - SCH C.2'!I291</f>
        <v>Commun Relations-E</v>
      </c>
      <c r="H284" s="430"/>
      <c r="I284" s="602" t="str">
        <f>+'[2]MSFR Inc Stmt by Acct - SCH C.2'!K291</f>
        <v>675.8</v>
      </c>
      <c r="J284" s="430"/>
      <c r="L284" s="607">
        <f>+'[2]MSFR Inc Stmt by Acct - SCH C.2'!Q291</f>
        <v>12214.326551323222</v>
      </c>
    </row>
    <row r="285" spans="1:12" x14ac:dyDescent="0.2">
      <c r="A285" s="422"/>
      <c r="C285" s="430">
        <f>+'[2]MSFR Inc Stmt by Acct - SCH C.2'!E292</f>
        <v>0</v>
      </c>
      <c r="D285" s="430"/>
      <c r="E285" s="603">
        <f>+'[2]MSFR Inc Stmt by Acct - SCH C.2'!G292</f>
        <v>52515001</v>
      </c>
      <c r="F285" s="430"/>
      <c r="G285" s="430" t="str">
        <f>+'[2]MSFR Inc Stmt by Acct - SCH C.2'!I292</f>
        <v>Commun Relations-S</v>
      </c>
      <c r="H285" s="430"/>
      <c r="I285" s="602" t="str">
        <f>+'[2]MSFR Inc Stmt by Acct - SCH C.2'!K292</f>
        <v>675.8</v>
      </c>
      <c r="J285" s="430"/>
      <c r="L285" s="607">
        <f>+'[2]MSFR Inc Stmt by Acct - SCH C.2'!Q292</f>
        <v>9585.4365955386893</v>
      </c>
    </row>
    <row r="286" spans="1:12" x14ac:dyDescent="0.2">
      <c r="A286" s="422"/>
      <c r="C286" s="430">
        <f>+'[2]MSFR Inc Stmt by Acct - SCH C.2'!E293</f>
        <v>0</v>
      </c>
      <c r="D286" s="430"/>
      <c r="E286" s="603">
        <f>+'[2]MSFR Inc Stmt by Acct - SCH C.2'!G293</f>
        <v>52522000</v>
      </c>
      <c r="F286" s="430"/>
      <c r="G286" s="430" t="str">
        <f>+'[2]MSFR Inc Stmt by Acct - SCH C.2'!I293</f>
        <v>Community Relations</v>
      </c>
      <c r="H286" s="430"/>
      <c r="I286" s="602" t="str">
        <f>+'[2]MSFR Inc Stmt by Acct - SCH C.2'!K293</f>
        <v>675.8</v>
      </c>
      <c r="J286" s="430"/>
      <c r="L286" s="607">
        <f>+'[2]MSFR Inc Stmt by Acct - SCH C.2'!Q293</f>
        <v>1744.7884503840219</v>
      </c>
    </row>
    <row r="287" spans="1:12" x14ac:dyDescent="0.2">
      <c r="A287" s="422"/>
      <c r="C287" s="430">
        <f>+'[2]MSFR Inc Stmt by Acct - SCH C.2'!E294</f>
        <v>0</v>
      </c>
      <c r="D287" s="430"/>
      <c r="E287" s="603">
        <f>+'[2]MSFR Inc Stmt by Acct - SCH C.2'!G294</f>
        <v>52524000</v>
      </c>
      <c r="F287" s="430"/>
      <c r="G287" s="430" t="str">
        <f>+'[2]MSFR Inc Stmt by Acct - SCH C.2'!I294</f>
        <v>Co Dues/Mmbrshp Ded</v>
      </c>
      <c r="H287" s="430"/>
      <c r="I287" s="602" t="str">
        <f>+'[2]MSFR Inc Stmt by Acct - SCH C.2'!K294</f>
        <v>675.8</v>
      </c>
      <c r="J287" s="430"/>
      <c r="L287" s="607">
        <f>+'[2]MSFR Inc Stmt by Acct - SCH C.2'!Q294</f>
        <v>77070.236710507539</v>
      </c>
    </row>
    <row r="288" spans="1:12" x14ac:dyDescent="0.2">
      <c r="A288" s="422"/>
      <c r="C288" s="430">
        <f>+'[2]MSFR Inc Stmt by Acct - SCH C.2'!E295</f>
        <v>0</v>
      </c>
      <c r="D288" s="430"/>
      <c r="E288" s="603">
        <f>+'[2]MSFR Inc Stmt by Acct - SCH C.2'!G295</f>
        <v>52527000</v>
      </c>
      <c r="F288" s="430"/>
      <c r="G288" s="430" t="str">
        <f>+'[2]MSFR Inc Stmt by Acct - SCH C.2'!I295</f>
        <v>Directors Fees</v>
      </c>
      <c r="H288" s="430"/>
      <c r="I288" s="602" t="str">
        <f>+'[2]MSFR Inc Stmt by Acct - SCH C.2'!K295</f>
        <v>675.8</v>
      </c>
      <c r="J288" s="430"/>
      <c r="L288" s="607">
        <f>+'[2]MSFR Inc Stmt by Acct - SCH C.2'!Q295</f>
        <v>31084.84745015495</v>
      </c>
    </row>
    <row r="289" spans="1:12" x14ac:dyDescent="0.2">
      <c r="A289" s="422"/>
      <c r="C289" s="430">
        <f>+'[2]MSFR Inc Stmt by Acct - SCH C.2'!E296</f>
        <v>0</v>
      </c>
      <c r="D289" s="430"/>
      <c r="E289" s="603">
        <f>+'[2]MSFR Inc Stmt by Acct - SCH C.2'!G296</f>
        <v>52528000</v>
      </c>
      <c r="F289" s="430"/>
      <c r="G289" s="430" t="str">
        <f>+'[2]MSFR Inc Stmt by Acct - SCH C.2'!I296</f>
        <v>Dues/Membership Deductible</v>
      </c>
      <c r="H289" s="430"/>
      <c r="I289" s="602" t="str">
        <f>+'[2]MSFR Inc Stmt by Acct - SCH C.2'!K296</f>
        <v>675.8</v>
      </c>
      <c r="J289" s="430"/>
      <c r="L289" s="607">
        <f>+'[2]MSFR Inc Stmt by Acct - SCH C.2'!Q296</f>
        <v>649.95590123051261</v>
      </c>
    </row>
    <row r="290" spans="1:12" x14ac:dyDescent="0.2">
      <c r="A290" s="422"/>
      <c r="C290" s="430">
        <f>+'[2]MSFR Inc Stmt by Acct - SCH C.2'!E297</f>
        <v>0</v>
      </c>
      <c r="D290" s="430"/>
      <c r="E290" s="603">
        <f>+'[2]MSFR Inc Stmt by Acct - SCH C.2'!G297</f>
        <v>52540000</v>
      </c>
      <c r="F290" s="430"/>
      <c r="G290" s="430" t="str">
        <f>+'[2]MSFR Inc Stmt by Acct - SCH C.2'!I297</f>
        <v>Amort Bus Svc ProjXp</v>
      </c>
      <c r="H290" s="430"/>
      <c r="I290" s="602" t="str">
        <f>+'[2]MSFR Inc Stmt by Acct - SCH C.2'!K297</f>
        <v>675.8</v>
      </c>
      <c r="J290" s="430"/>
      <c r="L290" s="607">
        <f>+'[2]MSFR Inc Stmt by Acct - SCH C.2'!Q297</f>
        <v>0</v>
      </c>
    </row>
    <row r="291" spans="1:12" x14ac:dyDescent="0.2">
      <c r="A291" s="422"/>
      <c r="C291" s="430">
        <f>+'[2]MSFR Inc Stmt by Acct - SCH C.2'!E298</f>
        <v>0</v>
      </c>
      <c r="D291" s="430"/>
      <c r="E291" s="603">
        <f>+'[2]MSFR Inc Stmt by Acct - SCH C.2'!G298</f>
        <v>52548100</v>
      </c>
      <c r="F291" s="430"/>
      <c r="G291" s="430" t="str">
        <f>+'[2]MSFR Inc Stmt by Acct - SCH C.2'!I298</f>
        <v>Hiring Costs</v>
      </c>
      <c r="H291" s="430"/>
      <c r="I291" s="602" t="str">
        <f>+'[2]MSFR Inc Stmt by Acct - SCH C.2'!K298</f>
        <v>675.8</v>
      </c>
      <c r="J291" s="430"/>
      <c r="L291" s="607">
        <f>+'[2]MSFR Inc Stmt by Acct - SCH C.2'!Q298</f>
        <v>110.61361300444747</v>
      </c>
    </row>
    <row r="292" spans="1:12" x14ac:dyDescent="0.2">
      <c r="A292" s="422"/>
      <c r="C292" s="430">
        <f>+'[2]MSFR Inc Stmt by Acct - SCH C.2'!E299</f>
        <v>0</v>
      </c>
      <c r="D292" s="430"/>
      <c r="E292" s="603">
        <f>+'[2]MSFR Inc Stmt by Acct - SCH C.2'!G299</f>
        <v>52549000</v>
      </c>
      <c r="F292" s="430"/>
      <c r="G292" s="430" t="str">
        <f>+'[2]MSFR Inc Stmt by Acct - SCH C.2'!I299</f>
        <v>Injuries and Damages</v>
      </c>
      <c r="H292" s="430"/>
      <c r="I292" s="602" t="str">
        <f>+'[2]MSFR Inc Stmt by Acct - SCH C.2'!K299</f>
        <v>675.8</v>
      </c>
      <c r="J292" s="430"/>
      <c r="L292" s="607">
        <f>+'[2]MSFR Inc Stmt by Acct - SCH C.2'!Q299</f>
        <v>188.9312806061366</v>
      </c>
    </row>
    <row r="293" spans="1:12" x14ac:dyDescent="0.2">
      <c r="A293" s="422"/>
      <c r="C293" s="430">
        <f>+'[2]MSFR Inc Stmt by Acct - SCH C.2'!E300</f>
        <v>0</v>
      </c>
      <c r="D293" s="430"/>
      <c r="E293" s="603">
        <f>+'[2]MSFR Inc Stmt by Acct - SCH C.2'!G300</f>
        <v>52549500</v>
      </c>
      <c r="F293" s="430"/>
      <c r="G293" s="430" t="str">
        <f>+'[2]MSFR Inc Stmt by Acct - SCH C.2'!I300</f>
        <v>Inv Phys W/O Scrap</v>
      </c>
      <c r="H293" s="430"/>
      <c r="I293" s="602" t="str">
        <f>+'[2]MSFR Inc Stmt by Acct - SCH C.2'!K300</f>
        <v>675.8</v>
      </c>
      <c r="J293" s="430"/>
      <c r="L293" s="607">
        <f>+'[2]MSFR Inc Stmt by Acct - SCH C.2'!Q300</f>
        <v>22804.167048887695</v>
      </c>
    </row>
    <row r="294" spans="1:12" x14ac:dyDescent="0.2">
      <c r="A294" s="422"/>
      <c r="C294" s="430">
        <f>+'[2]MSFR Inc Stmt by Acct - SCH C.2'!E301</f>
        <v>0</v>
      </c>
      <c r="D294" s="430"/>
      <c r="E294" s="603">
        <f>+'[2]MSFR Inc Stmt by Acct - SCH C.2'!G301</f>
        <v>52554500</v>
      </c>
      <c r="F294" s="430"/>
      <c r="G294" s="430" t="str">
        <f>+'[2]MSFR Inc Stmt by Acct - SCH C.2'!I301</f>
        <v>Lab Supplies</v>
      </c>
      <c r="H294" s="430"/>
      <c r="I294" s="602" t="str">
        <f>+'[2]MSFR Inc Stmt by Acct - SCH C.2'!K301</f>
        <v>675.3</v>
      </c>
      <c r="J294" s="430"/>
      <c r="L294" s="609">
        <f>+'[2]MSFR Inc Stmt by Acct - SCH C.2'!Q301</f>
        <v>84039.701728422806</v>
      </c>
    </row>
    <row r="295" spans="1:12" x14ac:dyDescent="0.2">
      <c r="A295" s="422"/>
      <c r="C295" s="430">
        <f>+'[2]MSFR Inc Stmt by Acct - SCH C.2'!E302</f>
        <v>0</v>
      </c>
      <c r="D295" s="430"/>
      <c r="E295" s="603">
        <f>+'[2]MSFR Inc Stmt by Acct - SCH C.2'!G302</f>
        <v>52556500</v>
      </c>
      <c r="F295" s="430"/>
      <c r="G295" s="430" t="str">
        <f>+'[2]MSFR Inc Stmt by Acct - SCH C.2'!I302</f>
        <v>Low Income Pay Prog</v>
      </c>
      <c r="H295" s="430"/>
      <c r="I295" s="602" t="str">
        <f>+'[2]MSFR Inc Stmt by Acct - SCH C.2'!K302</f>
        <v>675.8</v>
      </c>
      <c r="J295" s="430"/>
      <c r="L295" s="607">
        <f>+'[2]MSFR Inc Stmt by Acct - SCH C.2'!Q302</f>
        <v>48443.918104137585</v>
      </c>
    </row>
    <row r="296" spans="1:12" x14ac:dyDescent="0.2">
      <c r="A296" s="422"/>
      <c r="C296" s="430">
        <f>+'[2]MSFR Inc Stmt by Acct - SCH C.2'!E303</f>
        <v>0</v>
      </c>
      <c r="D296" s="430"/>
      <c r="E296" s="603">
        <f>+'[2]MSFR Inc Stmt by Acct - SCH C.2'!G303</f>
        <v>52564000</v>
      </c>
      <c r="F296" s="430"/>
      <c r="G296" s="430" t="str">
        <f>+'[2]MSFR Inc Stmt by Acct - SCH C.2'!I303</f>
        <v>Penalties Non-deduct</v>
      </c>
      <c r="H296" s="430"/>
      <c r="I296" s="602" t="str">
        <f>+'[2]MSFR Inc Stmt by Acct - SCH C.2'!K303</f>
        <v>675.8</v>
      </c>
      <c r="J296" s="430"/>
      <c r="L296" s="607">
        <f>+'[2]MSFR Inc Stmt by Acct - SCH C.2'!Q303</f>
        <v>249805.10069716081</v>
      </c>
    </row>
    <row r="297" spans="1:12" x14ac:dyDescent="0.2">
      <c r="A297" s="422"/>
      <c r="C297" s="430">
        <f>+'[2]MSFR Inc Stmt by Acct - SCH C.2'!E304</f>
        <v>0</v>
      </c>
      <c r="D297" s="430"/>
      <c r="E297" s="603">
        <f>+'[2]MSFR Inc Stmt by Acct - SCH C.2'!G304</f>
        <v>52568000</v>
      </c>
      <c r="F297" s="430"/>
      <c r="G297" s="430" t="str">
        <f>+'[2]MSFR Inc Stmt by Acct - SCH C.2'!I304</f>
        <v>Research &amp; Develop</v>
      </c>
      <c r="H297" s="430"/>
      <c r="I297" s="602" t="str">
        <f>+'[2]MSFR Inc Stmt by Acct - SCH C.2'!K304</f>
        <v>675.8</v>
      </c>
      <c r="J297" s="430"/>
      <c r="L297" s="607">
        <f>+'[2]MSFR Inc Stmt by Acct - SCH C.2'!Q304</f>
        <v>18079.270236464145</v>
      </c>
    </row>
    <row r="298" spans="1:12" x14ac:dyDescent="0.2">
      <c r="A298" s="422"/>
      <c r="C298" s="430">
        <f>+'[2]MSFR Inc Stmt by Acct - SCH C.2'!E305</f>
        <v>0</v>
      </c>
      <c r="D298" s="430"/>
      <c r="E298" s="603">
        <f>+'[2]MSFR Inc Stmt by Acct - SCH C.2'!G305</f>
        <v>52579000</v>
      </c>
      <c r="F298" s="430"/>
      <c r="G298" s="430" t="str">
        <f>+'[2]MSFR Inc Stmt by Acct - SCH C.2'!I305</f>
        <v>Trustee Fees</v>
      </c>
      <c r="H298" s="430"/>
      <c r="I298" s="602" t="str">
        <f>+'[2]MSFR Inc Stmt by Acct - SCH C.2'!K305</f>
        <v>675.8</v>
      </c>
      <c r="J298" s="430"/>
      <c r="L298" s="607">
        <f>+'[2]MSFR Inc Stmt by Acct - SCH C.2'!Q305</f>
        <v>16281.19347616557</v>
      </c>
    </row>
    <row r="299" spans="1:12" x14ac:dyDescent="0.2">
      <c r="A299" s="422"/>
      <c r="C299" s="430">
        <f>+'[2]MSFR Inc Stmt by Acct - SCH C.2'!E306</f>
        <v>0</v>
      </c>
      <c r="D299" s="430"/>
      <c r="E299" s="603">
        <f>+'[2]MSFR Inc Stmt by Acct - SCH C.2'!G306</f>
        <v>52585000</v>
      </c>
      <c r="F299" s="430"/>
      <c r="G299" s="430" t="str">
        <f>+'[2]MSFR Inc Stmt by Acct - SCH C.2'!I306</f>
        <v>Discounts Available</v>
      </c>
      <c r="H299" s="430"/>
      <c r="I299" s="602" t="str">
        <f>+'[2]MSFR Inc Stmt by Acct - SCH C.2'!K306</f>
        <v>675.8</v>
      </c>
      <c r="J299" s="430"/>
      <c r="L299" s="607">
        <f>+'[2]MSFR Inc Stmt by Acct - SCH C.2'!Q306</f>
        <v>-28858.849413269825</v>
      </c>
    </row>
    <row r="300" spans="1:12" x14ac:dyDescent="0.2">
      <c r="A300" s="422"/>
      <c r="C300" s="430">
        <f>+'[2]MSFR Inc Stmt by Acct - SCH C.2'!E307</f>
        <v>0</v>
      </c>
      <c r="D300" s="430"/>
      <c r="E300" s="603">
        <f>+'[2]MSFR Inc Stmt by Acct - SCH C.2'!G307</f>
        <v>52586000</v>
      </c>
      <c r="F300" s="430"/>
      <c r="G300" s="430" t="str">
        <f>+'[2]MSFR Inc Stmt by Acct - SCH C.2'!I307</f>
        <v>PO Small Differences</v>
      </c>
      <c r="H300" s="430"/>
      <c r="I300" s="602" t="str">
        <f>+'[2]MSFR Inc Stmt by Acct - SCH C.2'!K307</f>
        <v>675.8</v>
      </c>
      <c r="J300" s="430"/>
      <c r="L300" s="607">
        <f>+'[2]MSFR Inc Stmt by Acct - SCH C.2'!Q307</f>
        <v>279.35992773386005</v>
      </c>
    </row>
    <row r="301" spans="1:12" x14ac:dyDescent="0.2">
      <c r="A301" s="422"/>
      <c r="C301" s="430">
        <f>+'[2]MSFR Inc Stmt by Acct - SCH C.2'!E308</f>
        <v>0</v>
      </c>
      <c r="D301" s="430"/>
      <c r="E301" s="603">
        <f>+'[2]MSFR Inc Stmt by Acct - SCH C.2'!G308</f>
        <v>0</v>
      </c>
      <c r="F301" s="430"/>
      <c r="G301" s="430">
        <f>+'[2]MSFR Inc Stmt by Acct - SCH C.2'!I308</f>
        <v>0</v>
      </c>
      <c r="H301" s="430"/>
      <c r="I301" s="602" t="str">
        <f>+'[2]MSFR Inc Stmt by Acct - SCH C.2'!K308</f>
        <v>Total</v>
      </c>
      <c r="J301" s="430"/>
      <c r="L301" s="601">
        <f>+'[2]MSFR Inc Stmt by Acct - SCH C.2'!Q308</f>
        <v>934027</v>
      </c>
    </row>
    <row r="302" spans="1:12" x14ac:dyDescent="0.2">
      <c r="A302" s="422"/>
      <c r="C302" s="430">
        <f>+'[2]MSFR Inc Stmt by Acct - SCH C.2'!E309</f>
        <v>0</v>
      </c>
      <c r="D302" s="430"/>
      <c r="E302" s="603">
        <f>+'[2]MSFR Inc Stmt by Acct - SCH C.2'!G309</f>
        <v>0</v>
      </c>
      <c r="F302" s="430"/>
      <c r="G302" s="430">
        <f>+'[2]MSFR Inc Stmt by Acct - SCH C.2'!I309</f>
        <v>0</v>
      </c>
      <c r="H302" s="430"/>
      <c r="I302" s="602">
        <f>+'[2]MSFR Inc Stmt by Acct - SCH C.2'!K309</f>
        <v>0</v>
      </c>
      <c r="J302" s="430"/>
      <c r="L302" s="601">
        <f>+'[2]MSFR Inc Stmt by Acct - SCH C.2'!Q309</f>
        <v>11664</v>
      </c>
    </row>
    <row r="303" spans="1:12" x14ac:dyDescent="0.2">
      <c r="A303" s="422"/>
      <c r="C303" s="430" t="str">
        <f>+'[2]MSFR Inc Stmt by Acct - SCH C.2'!E310</f>
        <v>Rents</v>
      </c>
      <c r="D303" s="430"/>
      <c r="E303" s="603">
        <f>+'[2]MSFR Inc Stmt by Acct - SCH C.2'!G310</f>
        <v>54110000</v>
      </c>
      <c r="F303" s="430"/>
      <c r="G303" s="430" t="str">
        <f>+'[2]MSFR Inc Stmt by Acct - SCH C.2'!I310</f>
        <v>Rents-Real Prop</v>
      </c>
      <c r="H303" s="430"/>
      <c r="I303" s="602" t="str">
        <f>+'[2]MSFR Inc Stmt by Acct - SCH C.2'!K310</f>
        <v>641.8</v>
      </c>
      <c r="J303" s="430"/>
      <c r="L303" s="601">
        <f>+'[2]MSFR Inc Stmt by Acct - SCH C.2'!Q310</f>
        <v>0</v>
      </c>
    </row>
    <row r="304" spans="1:12" x14ac:dyDescent="0.2">
      <c r="A304" s="422"/>
      <c r="C304" s="430"/>
      <c r="D304" s="430"/>
      <c r="E304" s="603"/>
      <c r="F304" s="430"/>
      <c r="G304" s="430"/>
      <c r="H304" s="430"/>
      <c r="I304" s="602"/>
      <c r="J304" s="430"/>
      <c r="L304" s="601"/>
    </row>
    <row r="305" spans="1:12" x14ac:dyDescent="0.2">
      <c r="A305" s="422"/>
      <c r="C305" s="430">
        <f>+'[2]MSFR Inc Stmt by Acct - SCH C.2'!E311</f>
        <v>0</v>
      </c>
      <c r="D305" s="430"/>
      <c r="E305" s="603">
        <f>+'[2]MSFR Inc Stmt by Acct - SCH C.2'!G311</f>
        <v>54110014</v>
      </c>
      <c r="F305" s="430"/>
      <c r="G305" s="430" t="str">
        <f>+'[2]MSFR Inc Stmt by Acct - SCH C.2'!I311</f>
        <v>Rents-Real Prop TD</v>
      </c>
      <c r="H305" s="430"/>
      <c r="I305" s="602" t="str">
        <f>+'[2]MSFR Inc Stmt by Acct - SCH C.2'!K311</f>
        <v>641.5</v>
      </c>
      <c r="J305" s="430"/>
      <c r="L305" s="610">
        <f>+'[2]MSFR Inc Stmt by Acct - SCH C.2'!Q311</f>
        <v>5154.4913637535446</v>
      </c>
    </row>
    <row r="306" spans="1:12" x14ac:dyDescent="0.2">
      <c r="A306" s="422"/>
      <c r="C306" s="430">
        <f>+'[2]MSFR Inc Stmt by Acct - SCH C.2'!E312</f>
        <v>0</v>
      </c>
      <c r="D306" s="430"/>
      <c r="E306" s="603">
        <f>+'[2]MSFR Inc Stmt by Acct - SCH C.2'!G312</f>
        <v>54140000</v>
      </c>
      <c r="F306" s="430"/>
      <c r="G306" s="430" t="str">
        <f>+'[2]MSFR Inc Stmt by Acct - SCH C.2'!I312</f>
        <v>Rents-Equip</v>
      </c>
      <c r="H306" s="430"/>
      <c r="I306" s="602" t="str">
        <f>+'[2]MSFR Inc Stmt by Acct - SCH C.2'!K312</f>
        <v>642.8</v>
      </c>
      <c r="J306" s="430"/>
      <c r="L306" s="601">
        <f>+'[2]MSFR Inc Stmt by Acct - SCH C.2'!Q312</f>
        <v>0</v>
      </c>
    </row>
    <row r="307" spans="1:12" x14ac:dyDescent="0.2">
      <c r="A307" s="422"/>
      <c r="C307" s="430">
        <f>+'[2]MSFR Inc Stmt by Acct - SCH C.2'!E313</f>
        <v>0</v>
      </c>
      <c r="D307" s="430"/>
      <c r="E307" s="603">
        <f>+'[2]MSFR Inc Stmt by Acct - SCH C.2'!G313</f>
        <v>54140014</v>
      </c>
      <c r="F307" s="430"/>
      <c r="G307" s="430" t="str">
        <f>+'[2]MSFR Inc Stmt by Acct - SCH C.2'!I313</f>
        <v>Rents-Equip TD</v>
      </c>
      <c r="H307" s="430"/>
      <c r="I307" s="602" t="str">
        <f>+'[2]MSFR Inc Stmt by Acct - SCH C.2'!K313</f>
        <v>642.5</v>
      </c>
      <c r="J307" s="430"/>
      <c r="L307" s="610">
        <f>+'[2]MSFR Inc Stmt by Acct - SCH C.2'!Q313</f>
        <v>166.70069605568446</v>
      </c>
    </row>
    <row r="308" spans="1:12" x14ac:dyDescent="0.2">
      <c r="A308" s="422"/>
      <c r="C308" s="430">
        <f>+'[2]MSFR Inc Stmt by Acct - SCH C.2'!E314</f>
        <v>0</v>
      </c>
      <c r="D308" s="430"/>
      <c r="E308" s="603">
        <f>+'[2]MSFR Inc Stmt by Acct - SCH C.2'!G314</f>
        <v>54140016</v>
      </c>
      <c r="F308" s="430"/>
      <c r="G308" s="430" t="str">
        <f>+'[2]MSFR Inc Stmt by Acct - SCH C.2'!I314</f>
        <v>Rents-Equip AG</v>
      </c>
      <c r="H308" s="430"/>
      <c r="I308" s="602" t="str">
        <f>+'[2]MSFR Inc Stmt by Acct - SCH C.2'!K314</f>
        <v>642.8</v>
      </c>
      <c r="J308" s="430"/>
      <c r="L308" s="607">
        <f>+'[2]MSFR Inc Stmt by Acct - SCH C.2'!Q314</f>
        <v>3543.0513018819283</v>
      </c>
    </row>
    <row r="309" spans="1:12" x14ac:dyDescent="0.2">
      <c r="A309" s="422"/>
      <c r="C309" s="430">
        <f>+'[2]MSFR Inc Stmt by Acct - SCH C.2'!E315</f>
        <v>0</v>
      </c>
      <c r="D309" s="430"/>
      <c r="E309" s="603">
        <f>+'[2]MSFR Inc Stmt by Acct - SCH C.2'!G315</f>
        <v>0</v>
      </c>
      <c r="F309" s="430"/>
      <c r="G309" s="430">
        <f>+'[2]MSFR Inc Stmt by Acct - SCH C.2'!I315</f>
        <v>0</v>
      </c>
      <c r="H309" s="430"/>
      <c r="I309" s="602" t="str">
        <f>+'[2]MSFR Inc Stmt by Acct - SCH C.2'!K315</f>
        <v>Total</v>
      </c>
      <c r="J309" s="430"/>
      <c r="L309" s="601">
        <f>+'[2]MSFR Inc Stmt by Acct - SCH C.2'!Q315</f>
        <v>8864.2433616911585</v>
      </c>
    </row>
    <row r="310" spans="1:12" x14ac:dyDescent="0.2">
      <c r="A310" s="422"/>
      <c r="C310" s="430">
        <f>+'[2]MSFR Inc Stmt by Acct - SCH C.2'!E316</f>
        <v>0</v>
      </c>
      <c r="D310" s="430"/>
      <c r="E310" s="603">
        <f>+'[2]MSFR Inc Stmt by Acct - SCH C.2'!G316</f>
        <v>0</v>
      </c>
      <c r="F310" s="430"/>
      <c r="G310" s="430">
        <f>+'[2]MSFR Inc Stmt by Acct - SCH C.2'!I316</f>
        <v>0</v>
      </c>
      <c r="H310" s="430"/>
      <c r="I310" s="602">
        <f>+'[2]MSFR Inc Stmt by Acct - SCH C.2'!K316</f>
        <v>0</v>
      </c>
      <c r="J310" s="430"/>
      <c r="L310" s="601">
        <f>+'[2]MSFR Inc Stmt by Acct - SCH C.2'!Q316</f>
        <v>0</v>
      </c>
    </row>
    <row r="311" spans="1:12" x14ac:dyDescent="0.2">
      <c r="A311" s="422"/>
      <c r="C311" s="430" t="str">
        <f>+'[2]MSFR Inc Stmt by Acct - SCH C.2'!E317</f>
        <v>Transportation</v>
      </c>
      <c r="D311" s="430"/>
      <c r="E311" s="603">
        <f>+'[2]MSFR Inc Stmt by Acct - SCH C.2'!G317</f>
        <v>55000000</v>
      </c>
      <c r="F311" s="430"/>
      <c r="G311" s="430" t="str">
        <f>+'[2]MSFR Inc Stmt by Acct - SCH C.2'!I317</f>
        <v>Transportation (O&amp;M)</v>
      </c>
      <c r="H311" s="430"/>
      <c r="I311" s="602" t="str">
        <f>+'[2]MSFR Inc Stmt by Acct - SCH C.2'!K317</f>
        <v>650.8</v>
      </c>
      <c r="J311" s="430"/>
      <c r="L311" s="601">
        <f>+'[2]MSFR Inc Stmt by Acct - SCH C.2'!Q317</f>
        <v>0</v>
      </c>
    </row>
    <row r="312" spans="1:12" x14ac:dyDescent="0.2">
      <c r="A312" s="422"/>
      <c r="C312" s="430">
        <f>+'[2]MSFR Inc Stmt by Acct - SCH C.2'!E318</f>
        <v>0</v>
      </c>
      <c r="D312" s="430"/>
      <c r="E312" s="603">
        <f>+'[2]MSFR Inc Stmt by Acct - SCH C.2'!G318</f>
        <v>55000010</v>
      </c>
      <c r="F312" s="430"/>
      <c r="G312" s="430" t="str">
        <f>+'[2]MSFR Inc Stmt by Acct - SCH C.2'!I318</f>
        <v>Transportation</v>
      </c>
      <c r="H312" s="430"/>
      <c r="I312" s="602" t="str">
        <f>+'[2]MSFR Inc Stmt by Acct - SCH C.2'!K318</f>
        <v>650.8</v>
      </c>
      <c r="J312" s="430"/>
      <c r="L312" s="601">
        <f>+'[2]MSFR Inc Stmt by Acct - SCH C.2'!Q318</f>
        <v>0</v>
      </c>
    </row>
    <row r="313" spans="1:12" x14ac:dyDescent="0.2">
      <c r="A313" s="422"/>
      <c r="C313" s="430">
        <f>+'[2]MSFR Inc Stmt by Acct - SCH C.2'!E319</f>
        <v>0</v>
      </c>
      <c r="D313" s="430"/>
      <c r="E313" s="603">
        <f>+'[2]MSFR Inc Stmt by Acct - SCH C.2'!G319</f>
        <v>55000012</v>
      </c>
      <c r="F313" s="430"/>
      <c r="G313" s="430" t="str">
        <f>+'[2]MSFR Inc Stmt by Acct - SCH C.2'!I319</f>
        <v>Trans Oper P</v>
      </c>
      <c r="H313" s="430"/>
      <c r="I313" s="602" t="str">
        <f>+'[2]MSFR Inc Stmt by Acct - SCH C.2'!K319</f>
        <v>650.1</v>
      </c>
      <c r="J313" s="430"/>
      <c r="L313" s="601">
        <f>+'[2]MSFR Inc Stmt by Acct - SCH C.2'!Q319</f>
        <v>0</v>
      </c>
    </row>
    <row r="314" spans="1:12" x14ac:dyDescent="0.2">
      <c r="A314" s="422"/>
      <c r="C314" s="430">
        <f>+'[2]MSFR Inc Stmt by Acct - SCH C.2'!E320</f>
        <v>0</v>
      </c>
      <c r="D314" s="430"/>
      <c r="E314" s="603">
        <f>+'[2]MSFR Inc Stmt by Acct - SCH C.2'!G320</f>
        <v>55000013</v>
      </c>
      <c r="F314" s="430"/>
      <c r="G314" s="430" t="str">
        <f>+'[2]MSFR Inc Stmt by Acct - SCH C.2'!I320</f>
        <v>Trans Oper WT</v>
      </c>
      <c r="H314" s="430"/>
      <c r="I314" s="602" t="str">
        <f>+'[2]MSFR Inc Stmt by Acct - SCH C.2'!K320</f>
        <v>650.3</v>
      </c>
      <c r="J314" s="430"/>
      <c r="L314" s="609">
        <f>+'[2]MSFR Inc Stmt by Acct - SCH C.2'!Q320</f>
        <v>-173.45640471252699</v>
      </c>
    </row>
    <row r="315" spans="1:12" x14ac:dyDescent="0.2">
      <c r="A315" s="422"/>
      <c r="C315" s="430">
        <f>+'[2]MSFR Inc Stmt by Acct - SCH C.2'!E321</f>
        <v>0</v>
      </c>
      <c r="D315" s="430"/>
      <c r="E315" s="603">
        <f>+'[2]MSFR Inc Stmt by Acct - SCH C.2'!G321</f>
        <v>55000014</v>
      </c>
      <c r="F315" s="430"/>
      <c r="G315" s="430" t="str">
        <f>+'[2]MSFR Inc Stmt by Acct - SCH C.2'!I321</f>
        <v>Trans Oper TD</v>
      </c>
      <c r="H315" s="430"/>
      <c r="I315" s="602" t="str">
        <f>+'[2]MSFR Inc Stmt by Acct - SCH C.2'!K321</f>
        <v>650.5</v>
      </c>
      <c r="J315" s="430"/>
      <c r="L315" s="610">
        <f>+'[2]MSFR Inc Stmt by Acct - SCH C.2'!Q321</f>
        <v>124.04761064289809</v>
      </c>
    </row>
    <row r="316" spans="1:12" x14ac:dyDescent="0.2">
      <c r="A316" s="422"/>
      <c r="C316" s="430">
        <f>+'[2]MSFR Inc Stmt by Acct - SCH C.2'!E322</f>
        <v>0</v>
      </c>
      <c r="D316" s="430"/>
      <c r="E316" s="603">
        <f>+'[2]MSFR Inc Stmt by Acct - SCH C.2'!G322</f>
        <v>55000015</v>
      </c>
      <c r="F316" s="430"/>
      <c r="G316" s="430" t="str">
        <f>+'[2]MSFR Inc Stmt by Acct - SCH C.2'!I322</f>
        <v>Trans Oper CA</v>
      </c>
      <c r="H316" s="430"/>
      <c r="I316" s="602" t="str">
        <f>+'[2]MSFR Inc Stmt by Acct - SCH C.2'!K322</f>
        <v>650.7</v>
      </c>
      <c r="J316" s="430"/>
      <c r="L316" s="601">
        <f>+'[2]MSFR Inc Stmt by Acct - SCH C.2'!Q322</f>
        <v>0</v>
      </c>
    </row>
    <row r="317" spans="1:12" x14ac:dyDescent="0.2">
      <c r="A317" s="422"/>
      <c r="C317" s="430">
        <f>+'[2]MSFR Inc Stmt by Acct - SCH C.2'!E323</f>
        <v>0</v>
      </c>
      <c r="D317" s="430"/>
      <c r="E317" s="603">
        <f>+'[2]MSFR Inc Stmt by Acct - SCH C.2'!G323</f>
        <v>55000016</v>
      </c>
      <c r="F317" s="430"/>
      <c r="G317" s="430" t="str">
        <f>+'[2]MSFR Inc Stmt by Acct - SCH C.2'!I323</f>
        <v>Trans Oper AG</v>
      </c>
      <c r="H317" s="430"/>
      <c r="I317" s="602" t="str">
        <f>+'[2]MSFR Inc Stmt by Acct - SCH C.2'!K323</f>
        <v>650.8</v>
      </c>
      <c r="J317" s="430"/>
      <c r="L317" s="607">
        <f>+'[2]MSFR Inc Stmt by Acct - SCH C.2'!Q323</f>
        <v>1058.6096942152406</v>
      </c>
    </row>
    <row r="318" spans="1:12" x14ac:dyDescent="0.2">
      <c r="A318" s="422"/>
      <c r="C318" s="430">
        <f>+'[2]MSFR Inc Stmt by Acct - SCH C.2'!E324</f>
        <v>0</v>
      </c>
      <c r="D318" s="430"/>
      <c r="E318" s="603">
        <f>+'[2]MSFR Inc Stmt by Acct - SCH C.2'!G324</f>
        <v>55000023</v>
      </c>
      <c r="F318" s="430"/>
      <c r="G318" s="430" t="str">
        <f>+'[2]MSFR Inc Stmt by Acct - SCH C.2'!I324</f>
        <v>Trans Maint WT</v>
      </c>
      <c r="H318" s="430"/>
      <c r="I318" s="602" t="str">
        <f>+'[2]MSFR Inc Stmt by Acct - SCH C.2'!K324</f>
        <v>650.4</v>
      </c>
      <c r="J318" s="430"/>
      <c r="L318" s="609">
        <f>+'[2]MSFR Inc Stmt by Acct - SCH C.2'!Q324</f>
        <v>332.1952962979305</v>
      </c>
    </row>
    <row r="319" spans="1:12" x14ac:dyDescent="0.2">
      <c r="A319" s="422"/>
      <c r="C319" s="430">
        <f>+'[2]MSFR Inc Stmt by Acct - SCH C.2'!E325</f>
        <v>0</v>
      </c>
      <c r="D319" s="430"/>
      <c r="E319" s="603">
        <f>+'[2]MSFR Inc Stmt by Acct - SCH C.2'!G325</f>
        <v>55000024</v>
      </c>
      <c r="F319" s="430"/>
      <c r="G319" s="430" t="str">
        <f>+'[2]MSFR Inc Stmt by Acct - SCH C.2'!I325</f>
        <v>Trans Maint TD</v>
      </c>
      <c r="H319" s="430"/>
      <c r="I319" s="602" t="str">
        <f>+'[2]MSFR Inc Stmt by Acct - SCH C.2'!K325</f>
        <v>650.6</v>
      </c>
      <c r="J319" s="430"/>
      <c r="L319" s="610">
        <f>+'[2]MSFR Inc Stmt by Acct - SCH C.2'!Q325</f>
        <v>0</v>
      </c>
    </row>
    <row r="320" spans="1:12" x14ac:dyDescent="0.2">
      <c r="A320" s="422"/>
      <c r="C320" s="430">
        <f>+'[2]MSFR Inc Stmt by Acct - SCH C.2'!E326</f>
        <v>0</v>
      </c>
      <c r="D320" s="430"/>
      <c r="E320" s="603">
        <f>+'[2]MSFR Inc Stmt by Acct - SCH C.2'!G326</f>
        <v>55000100</v>
      </c>
      <c r="F320" s="430"/>
      <c r="G320" s="430" t="str">
        <f>+'[2]MSFR Inc Stmt by Acct - SCH C.2'!I326</f>
        <v>Trans Cap Credits</v>
      </c>
      <c r="H320" s="430"/>
      <c r="I320" s="602" t="str">
        <f>+'[2]MSFR Inc Stmt by Acct - SCH C.2'!K326</f>
        <v>650.8</v>
      </c>
      <c r="J320" s="430"/>
      <c r="L320" s="607">
        <f>+'[2]MSFR Inc Stmt by Acct - SCH C.2'!Q326</f>
        <v>-109433.12010766445</v>
      </c>
    </row>
    <row r="321" spans="1:13" x14ac:dyDescent="0.2">
      <c r="A321" s="422"/>
      <c r="C321" s="430">
        <f>+'[2]MSFR Inc Stmt by Acct - SCH C.2'!E327</f>
        <v>0</v>
      </c>
      <c r="D321" s="430"/>
      <c r="E321" s="603">
        <f>+'[2]MSFR Inc Stmt by Acct - SCH C.2'!G327</f>
        <v>55010100</v>
      </c>
      <c r="F321" s="430"/>
      <c r="G321" s="430" t="str">
        <f>+'[2]MSFR Inc Stmt by Acct - SCH C.2'!I327</f>
        <v>Trans Lease Costs</v>
      </c>
      <c r="H321" s="430"/>
      <c r="I321" s="602" t="str">
        <f>+'[2]MSFR Inc Stmt by Acct - SCH C.2'!K327</f>
        <v>650.8</v>
      </c>
      <c r="J321" s="430"/>
      <c r="L321" s="607">
        <f>+'[2]MSFR Inc Stmt by Acct - SCH C.2'!Q327</f>
        <v>56106.313793407746</v>
      </c>
    </row>
    <row r="322" spans="1:13" x14ac:dyDescent="0.2">
      <c r="A322" s="422"/>
      <c r="C322" s="430">
        <f>+'[2]MSFR Inc Stmt by Acct - SCH C.2'!E328</f>
        <v>0</v>
      </c>
      <c r="D322" s="430"/>
      <c r="E322" s="603">
        <f>+'[2]MSFR Inc Stmt by Acct - SCH C.2'!G328</f>
        <v>55010200</v>
      </c>
      <c r="F322" s="430"/>
      <c r="G322" s="430" t="str">
        <f>+'[2]MSFR Inc Stmt by Acct - SCH C.2'!I328</f>
        <v>Trans Lease Fuel</v>
      </c>
      <c r="H322" s="430"/>
      <c r="I322" s="602" t="str">
        <f>+'[2]MSFR Inc Stmt by Acct - SCH C.2'!K328</f>
        <v>650.8</v>
      </c>
      <c r="J322" s="430"/>
      <c r="L322" s="607">
        <f>+'[2]MSFR Inc Stmt by Acct - SCH C.2'!Q328</f>
        <v>271835.62121078407</v>
      </c>
    </row>
    <row r="323" spans="1:13" x14ac:dyDescent="0.2">
      <c r="A323" s="422"/>
      <c r="C323" s="430">
        <f>+'[2]MSFR Inc Stmt by Acct - SCH C.2'!E329</f>
        <v>0</v>
      </c>
      <c r="D323" s="430"/>
      <c r="E323" s="603">
        <f>+'[2]MSFR Inc Stmt by Acct - SCH C.2'!G329</f>
        <v>55010300</v>
      </c>
      <c r="F323" s="430"/>
      <c r="G323" s="430" t="str">
        <f>+'[2]MSFR Inc Stmt by Acct - SCH C.2'!I329</f>
        <v>Trans Lease Maint</v>
      </c>
      <c r="H323" s="430"/>
      <c r="I323" s="602" t="str">
        <f>+'[2]MSFR Inc Stmt by Acct - SCH C.2'!K329</f>
        <v>650.8</v>
      </c>
      <c r="J323" s="430"/>
      <c r="L323" s="607">
        <f>+'[2]MSFR Inc Stmt by Acct - SCH C.2'!Q329</f>
        <v>204438.87234699729</v>
      </c>
    </row>
    <row r="324" spans="1:13" x14ac:dyDescent="0.2">
      <c r="A324" s="422"/>
      <c r="C324" s="430">
        <f>+'[2]MSFR Inc Stmt by Acct - SCH C.2'!E330</f>
        <v>0</v>
      </c>
      <c r="D324" s="430"/>
      <c r="E324" s="603">
        <f>+'[2]MSFR Inc Stmt by Acct - SCH C.2'!G330</f>
        <v>55010400</v>
      </c>
      <c r="F324" s="430"/>
      <c r="G324" s="430" t="str">
        <f>+'[2]MSFR Inc Stmt by Acct - SCH C.2'!I330</f>
        <v>Trans Emp Reimb Co</v>
      </c>
      <c r="H324" s="430"/>
      <c r="I324" s="602" t="str">
        <f>+'[2]MSFR Inc Stmt by Acct - SCH C.2'!K330</f>
        <v>650.8</v>
      </c>
      <c r="J324" s="430"/>
      <c r="L324" s="607">
        <f>+'[2]MSFR Inc Stmt by Acct - SCH C.2'!Q330</f>
        <v>0</v>
      </c>
    </row>
    <row r="325" spans="1:13" x14ac:dyDescent="0.2">
      <c r="A325" s="422"/>
      <c r="C325" s="430">
        <f>+'[2]MSFR Inc Stmt by Acct - SCH C.2'!E331</f>
        <v>0</v>
      </c>
      <c r="D325" s="430"/>
      <c r="E325" s="603">
        <f>+'[2]MSFR Inc Stmt by Acct - SCH C.2'!G331</f>
        <v>55010500</v>
      </c>
      <c r="F325" s="430"/>
      <c r="G325" s="430" t="str">
        <f>+'[2]MSFR Inc Stmt by Acct - SCH C.2'!I331</f>
        <v>Trans Reimb EE Prsnl</v>
      </c>
      <c r="H325" s="430"/>
      <c r="I325" s="602" t="str">
        <f>+'[2]MSFR Inc Stmt by Acct - SCH C.2'!K331</f>
        <v>650.8</v>
      </c>
      <c r="J325" s="430"/>
      <c r="L325" s="607">
        <f>+'[2]MSFR Inc Stmt by Acct - SCH C.2'!Q331</f>
        <v>4551.9165600317692</v>
      </c>
    </row>
    <row r="326" spans="1:13" x14ac:dyDescent="0.2">
      <c r="A326" s="422"/>
      <c r="C326" s="430">
        <f>+'[2]MSFR Inc Stmt by Acct - SCH C.2'!E332</f>
        <v>0</v>
      </c>
      <c r="D326" s="430"/>
      <c r="E326" s="603">
        <f>+'[2]MSFR Inc Stmt by Acct - SCH C.2'!G332</f>
        <v>0</v>
      </c>
      <c r="F326" s="430"/>
      <c r="G326" s="430">
        <f>+'[2]MSFR Inc Stmt by Acct - SCH C.2'!I332</f>
        <v>0</v>
      </c>
      <c r="H326" s="430"/>
      <c r="I326" s="602" t="str">
        <f>+'[2]MSFR Inc Stmt by Acct - SCH C.2'!K332</f>
        <v>Total</v>
      </c>
      <c r="J326" s="430"/>
      <c r="L326" s="601">
        <f>+'[2]MSFR Inc Stmt by Acct - SCH C.2'!Q332</f>
        <v>428840.99999999994</v>
      </c>
    </row>
    <row r="327" spans="1:13" x14ac:dyDescent="0.2">
      <c r="A327" s="422"/>
      <c r="C327" s="430">
        <f>+'[2]MSFR Inc Stmt by Acct - SCH C.2'!E333</f>
        <v>0</v>
      </c>
      <c r="D327" s="430"/>
      <c r="E327" s="603">
        <f>+'[2]MSFR Inc Stmt by Acct - SCH C.2'!G333</f>
        <v>0</v>
      </c>
      <c r="F327" s="430"/>
      <c r="G327" s="430">
        <f>+'[2]MSFR Inc Stmt by Acct - SCH C.2'!I333</f>
        <v>0</v>
      </c>
      <c r="H327" s="430"/>
      <c r="I327" s="602">
        <f>+'[2]MSFR Inc Stmt by Acct - SCH C.2'!K333</f>
        <v>0</v>
      </c>
      <c r="J327" s="430"/>
      <c r="L327" s="601">
        <f>+'[2]MSFR Inc Stmt by Acct - SCH C.2'!Q333</f>
        <v>0</v>
      </c>
    </row>
    <row r="328" spans="1:13" x14ac:dyDescent="0.2">
      <c r="A328" s="422"/>
      <c r="C328" s="430" t="str">
        <f>+'[2]MSFR Inc Stmt by Acct - SCH C.2'!E334</f>
        <v>Uncollectible accounts expense</v>
      </c>
      <c r="D328" s="430"/>
      <c r="E328" s="603">
        <f>+'[2]MSFR Inc Stmt by Acct - SCH C.2'!G334</f>
        <v>57010000</v>
      </c>
      <c r="F328" s="430"/>
      <c r="G328" s="430" t="str">
        <f>+'[2]MSFR Inc Stmt by Acct - SCH C.2'!I334</f>
        <v>Uncoll Accts Exp</v>
      </c>
      <c r="H328" s="430"/>
      <c r="I328" s="602" t="str">
        <f>+'[2]MSFR Inc Stmt by Acct - SCH C.2'!K334</f>
        <v>670.7</v>
      </c>
      <c r="J328" s="430"/>
      <c r="L328" s="608">
        <f>+'[2]MSFR Inc Stmt by Acct - SCH C.2'!Q334</f>
        <v>164281.3476761253</v>
      </c>
    </row>
    <row r="329" spans="1:13" x14ac:dyDescent="0.2">
      <c r="A329" s="422"/>
      <c r="C329" s="430">
        <f>+'[2]MSFR Inc Stmt by Acct - SCH C.2'!E335</f>
        <v>0</v>
      </c>
      <c r="D329" s="430"/>
      <c r="E329" s="603">
        <f>+'[2]MSFR Inc Stmt by Acct - SCH C.2'!G335</f>
        <v>57010015</v>
      </c>
      <c r="F329" s="430"/>
      <c r="G329" s="430" t="str">
        <f>+'[2]MSFR Inc Stmt by Acct - SCH C.2'!I335</f>
        <v>Uncoll Accts Exp CA</v>
      </c>
      <c r="H329" s="430"/>
      <c r="I329" s="602" t="str">
        <f>+'[2]MSFR Inc Stmt by Acct - SCH C.2'!K335</f>
        <v>670.7</v>
      </c>
      <c r="J329" s="430"/>
      <c r="L329" s="608">
        <f>+'[2]MSFR Inc Stmt by Acct - SCH C.2'!Q335</f>
        <v>454980.93462285027</v>
      </c>
    </row>
    <row r="330" spans="1:13" x14ac:dyDescent="0.2">
      <c r="A330" s="422"/>
      <c r="C330" s="430">
        <f>+'[2]MSFR Inc Stmt by Acct - SCH C.2'!E336</f>
        <v>0</v>
      </c>
      <c r="D330" s="430"/>
      <c r="E330" s="603">
        <f>+'[2]MSFR Inc Stmt by Acct - SCH C.2'!G336</f>
        <v>57010016</v>
      </c>
      <c r="F330" s="430"/>
      <c r="G330" s="430" t="str">
        <f>+'[2]MSFR Inc Stmt by Acct - SCH C.2'!I336</f>
        <v>Uncoll Accts Exp AG</v>
      </c>
      <c r="H330" s="430"/>
      <c r="I330" s="602" t="str">
        <f>+'[2]MSFR Inc Stmt by Acct - SCH C.2'!K336</f>
        <v>670.7</v>
      </c>
      <c r="J330" s="430"/>
      <c r="L330" s="608">
        <f>+'[2]MSFR Inc Stmt by Acct - SCH C.2'!Q336</f>
        <v>65963.717701024405</v>
      </c>
    </row>
    <row r="331" spans="1:13" x14ac:dyDescent="0.2">
      <c r="A331" s="422"/>
      <c r="C331" s="430">
        <f>+'[2]MSFR Inc Stmt by Acct - SCH C.2'!E337</f>
        <v>0</v>
      </c>
      <c r="D331" s="430"/>
      <c r="E331" s="603">
        <f>+'[2]MSFR Inc Stmt by Acct - SCH C.2'!G337</f>
        <v>0</v>
      </c>
      <c r="F331" s="430"/>
      <c r="G331" s="430">
        <f>+'[2]MSFR Inc Stmt by Acct - SCH C.2'!I337</f>
        <v>0</v>
      </c>
      <c r="H331" s="430"/>
      <c r="I331" s="602" t="str">
        <f>+'[2]MSFR Inc Stmt by Acct - SCH C.2'!K337</f>
        <v>Total</v>
      </c>
      <c r="J331" s="430"/>
      <c r="L331" s="608">
        <f>+'[2]MSFR Inc Stmt by Acct - SCH C.2'!Q337</f>
        <v>685226</v>
      </c>
      <c r="M331" s="418">
        <f>+'[2]Inc Statment - SCH C.1'!$O$43</f>
        <v>105133.80878532343</v>
      </c>
    </row>
    <row r="332" spans="1:13" x14ac:dyDescent="0.2">
      <c r="A332" s="422"/>
      <c r="C332" s="430">
        <f>+'[2]MSFR Inc Stmt by Acct - SCH C.2'!E338</f>
        <v>0</v>
      </c>
      <c r="D332" s="430"/>
      <c r="E332" s="603">
        <f>+'[2]MSFR Inc Stmt by Acct - SCH C.2'!G338</f>
        <v>0</v>
      </c>
      <c r="F332" s="430"/>
      <c r="G332" s="430">
        <f>+'[2]MSFR Inc Stmt by Acct - SCH C.2'!I338</f>
        <v>0</v>
      </c>
      <c r="H332" s="430"/>
      <c r="I332" s="602">
        <f>+'[2]MSFR Inc Stmt by Acct - SCH C.2'!K338</f>
        <v>0</v>
      </c>
      <c r="J332" s="430"/>
      <c r="L332" s="601">
        <f>+'[2]MSFR Inc Stmt by Acct - SCH C.2'!Q338</f>
        <v>0</v>
      </c>
    </row>
    <row r="333" spans="1:13" x14ac:dyDescent="0.2">
      <c r="A333" s="422"/>
      <c r="C333" s="430" t="str">
        <f>+'[2]MSFR Inc Stmt by Acct - SCH C.2'!E339</f>
        <v>Customer accounting, other</v>
      </c>
      <c r="D333" s="430"/>
      <c r="E333" s="603">
        <f>+'[2]MSFR Inc Stmt by Acct - SCH C.2'!G339</f>
        <v>52501500</v>
      </c>
      <c r="F333" s="430"/>
      <c r="G333" s="430" t="str">
        <f>+'[2]MSFR Inc Stmt by Acct - SCH C.2'!I339</f>
        <v>Misc Oper CA</v>
      </c>
      <c r="H333" s="430"/>
      <c r="I333" s="602" t="str">
        <f>+'[2]MSFR Inc Stmt by Acct - SCH C.2'!K339</f>
        <v>675.7</v>
      </c>
      <c r="J333" s="430"/>
      <c r="L333" s="608">
        <f>+'[2]MSFR Inc Stmt by Acct - SCH C.2'!Q339</f>
        <v>916.68855496700553</v>
      </c>
    </row>
    <row r="334" spans="1:13" x14ac:dyDescent="0.2">
      <c r="A334" s="422"/>
      <c r="C334" s="430">
        <f>+'[2]MSFR Inc Stmt by Acct - SCH C.2'!E340</f>
        <v>0</v>
      </c>
      <c r="D334" s="430"/>
      <c r="E334" s="603">
        <f>+'[2]MSFR Inc Stmt by Acct - SCH C.2'!G340</f>
        <v>52510015</v>
      </c>
      <c r="F334" s="430"/>
      <c r="G334" s="430" t="str">
        <f>+'[2]MSFR Inc Stmt by Acct - SCH C.2'!I340</f>
        <v>Bank Svc Charges-CA</v>
      </c>
      <c r="H334" s="430"/>
      <c r="I334" s="602" t="str">
        <f>+'[2]MSFR Inc Stmt by Acct - SCH C.2'!K340</f>
        <v>675.7</v>
      </c>
      <c r="J334" s="430"/>
      <c r="L334" s="608">
        <f>+'[2]MSFR Inc Stmt by Acct - SCH C.2'!Q340</f>
        <v>154676.53280678962</v>
      </c>
    </row>
    <row r="335" spans="1:13" x14ac:dyDescent="0.2">
      <c r="A335" s="422"/>
      <c r="C335" s="430">
        <f>+'[2]MSFR Inc Stmt by Acct - SCH C.2'!E341</f>
        <v>0</v>
      </c>
      <c r="D335" s="430"/>
      <c r="E335" s="603">
        <f>+'[2]MSFR Inc Stmt by Acct - SCH C.2'!G341</f>
        <v>52514906</v>
      </c>
      <c r="F335" s="430"/>
      <c r="G335" s="430" t="str">
        <f>+'[2]MSFR Inc Stmt by Acct - SCH C.2'!I341</f>
        <v>Cust Edu-Bill Insert</v>
      </c>
      <c r="H335" s="430"/>
      <c r="I335" s="602" t="str">
        <f>+'[2]MSFR Inc Stmt by Acct - SCH C.2'!K341</f>
        <v>675.8</v>
      </c>
      <c r="J335" s="430"/>
      <c r="L335" s="608">
        <f>+'[2]MSFR Inc Stmt by Acct - SCH C.2'!Q341</f>
        <v>33931.880169884185</v>
      </c>
    </row>
    <row r="336" spans="1:13" x14ac:dyDescent="0.2">
      <c r="A336" s="422"/>
      <c r="C336" s="430">
        <f>+'[2]MSFR Inc Stmt by Acct - SCH C.2'!E342</f>
        <v>0</v>
      </c>
      <c r="D336" s="430"/>
      <c r="E336" s="603">
        <f>+'[2]MSFR Inc Stmt by Acct - SCH C.2'!G342</f>
        <v>52520000</v>
      </c>
      <c r="F336" s="430"/>
      <c r="G336" s="430" t="str">
        <f>+'[2]MSFR Inc Stmt by Acct - SCH C.2'!I342</f>
        <v>Collection Agencies</v>
      </c>
      <c r="H336" s="430"/>
      <c r="I336" s="602" t="str">
        <f>+'[2]MSFR Inc Stmt by Acct - SCH C.2'!K342</f>
        <v>675.7</v>
      </c>
      <c r="J336" s="430"/>
      <c r="L336" s="608">
        <f>+'[2]MSFR Inc Stmt by Acct - SCH C.2'!Q342</f>
        <v>475212.3743358553</v>
      </c>
    </row>
    <row r="337" spans="1:12" x14ac:dyDescent="0.2">
      <c r="A337" s="422"/>
      <c r="C337" s="430">
        <f>+'[2]MSFR Inc Stmt by Acct - SCH C.2'!E343</f>
        <v>0</v>
      </c>
      <c r="D337" s="430"/>
      <c r="E337" s="603">
        <f>+'[2]MSFR Inc Stmt by Acct - SCH C.2'!G343</f>
        <v>52542015</v>
      </c>
      <c r="F337" s="430"/>
      <c r="G337" s="430" t="str">
        <f>+'[2]MSFR Inc Stmt by Acct - SCH C.2'!I343</f>
        <v>Forms CA</v>
      </c>
      <c r="H337" s="430"/>
      <c r="I337" s="602" t="str">
        <f>+'[2]MSFR Inc Stmt by Acct - SCH C.2'!K343</f>
        <v>675.7</v>
      </c>
      <c r="J337" s="430"/>
      <c r="L337" s="608">
        <f>+'[2]MSFR Inc Stmt by Acct - SCH C.2'!Q343</f>
        <v>146621.81373065416</v>
      </c>
    </row>
    <row r="338" spans="1:12" x14ac:dyDescent="0.2">
      <c r="A338" s="422"/>
      <c r="C338" s="430">
        <f>+'[2]MSFR Inc Stmt by Acct - SCH C.2'!E344</f>
        <v>0</v>
      </c>
      <c r="D338" s="430"/>
      <c r="E338" s="603">
        <f>+'[2]MSFR Inc Stmt by Acct - SCH C.2'!G344</f>
        <v>52566015</v>
      </c>
      <c r="F338" s="430"/>
      <c r="G338" s="430" t="str">
        <f>+'[2]MSFR Inc Stmt by Acct - SCH C.2'!I344</f>
        <v>Postage CA</v>
      </c>
      <c r="H338" s="430"/>
      <c r="I338" s="602" t="str">
        <f>+'[2]MSFR Inc Stmt by Acct - SCH C.2'!K344</f>
        <v>675.7</v>
      </c>
      <c r="J338" s="430"/>
      <c r="L338" s="608">
        <f>+'[2]MSFR Inc Stmt by Acct - SCH C.2'!Q344</f>
        <v>650200.7104018497</v>
      </c>
    </row>
    <row r="339" spans="1:12" x14ac:dyDescent="0.2">
      <c r="A339" s="422"/>
      <c r="C339" s="430">
        <f>+'[2]MSFR Inc Stmt by Acct - SCH C.2'!E345</f>
        <v>0</v>
      </c>
      <c r="D339" s="430"/>
      <c r="E339" s="603">
        <f>+'[2]MSFR Inc Stmt by Acct - SCH C.2'!G345</f>
        <v>0</v>
      </c>
      <c r="F339" s="430"/>
      <c r="G339" s="430">
        <f>+'[2]MSFR Inc Stmt by Acct - SCH C.2'!I345</f>
        <v>0</v>
      </c>
      <c r="H339" s="430"/>
      <c r="I339" s="602" t="str">
        <f>+'[2]MSFR Inc Stmt by Acct - SCH C.2'!K345</f>
        <v>Total</v>
      </c>
      <c r="J339" s="430"/>
      <c r="L339" s="601">
        <f>+'[2]MSFR Inc Stmt by Acct - SCH C.2'!Q345</f>
        <v>1461560</v>
      </c>
    </row>
    <row r="340" spans="1:12" x14ac:dyDescent="0.2">
      <c r="A340" s="422"/>
      <c r="C340" s="430">
        <f>+'[2]MSFR Inc Stmt by Acct - SCH C.2'!E346</f>
        <v>0</v>
      </c>
      <c r="D340" s="430"/>
      <c r="E340" s="603">
        <f>+'[2]MSFR Inc Stmt by Acct - SCH C.2'!G346</f>
        <v>0</v>
      </c>
      <c r="F340" s="430"/>
      <c r="G340" s="430">
        <f>+'[2]MSFR Inc Stmt by Acct - SCH C.2'!I346</f>
        <v>0</v>
      </c>
      <c r="H340" s="430"/>
      <c r="I340" s="602">
        <f>+'[2]MSFR Inc Stmt by Acct - SCH C.2'!K346</f>
        <v>0</v>
      </c>
      <c r="J340" s="430"/>
      <c r="L340" s="601">
        <f>+'[2]MSFR Inc Stmt by Acct - SCH C.2'!Q346</f>
        <v>0</v>
      </c>
    </row>
    <row r="341" spans="1:12" x14ac:dyDescent="0.2">
      <c r="A341" s="422"/>
      <c r="C341" s="430" t="str">
        <f>+'[2]MSFR Inc Stmt by Acct - SCH C.2'!E347</f>
        <v>Regulatory expense</v>
      </c>
      <c r="D341" s="430"/>
      <c r="E341" s="603">
        <f>+'[2]MSFR Inc Stmt by Acct - SCH C.2'!G347</f>
        <v>56610000</v>
      </c>
      <c r="F341" s="430"/>
      <c r="G341" s="430" t="str">
        <f>+'[2]MSFR Inc Stmt by Acct - SCH C.2'!I347</f>
        <v>Reg Exp-Amort</v>
      </c>
      <c r="H341" s="430"/>
      <c r="I341" s="602" t="str">
        <f>+'[2]MSFR Inc Stmt by Acct - SCH C.2'!K347</f>
        <v>666.8</v>
      </c>
      <c r="J341" s="430"/>
      <c r="L341" s="607">
        <f>+'[2]MSFR Inc Stmt by Acct - SCH C.2'!Q347</f>
        <v>286731.82476741704</v>
      </c>
    </row>
    <row r="342" spans="1:12" x14ac:dyDescent="0.2">
      <c r="A342" s="422"/>
      <c r="C342" s="430">
        <f>+'[2]MSFR Inc Stmt by Acct - SCH C.2'!E348</f>
        <v>0</v>
      </c>
      <c r="D342" s="430"/>
      <c r="E342" s="603">
        <f>+'[2]MSFR Inc Stmt by Acct - SCH C.2'!G348</f>
        <v>56620000</v>
      </c>
      <c r="F342" s="430"/>
      <c r="G342" s="430" t="str">
        <f>+'[2]MSFR Inc Stmt by Acct - SCH C.2'!I348</f>
        <v>Reg Exp-Depr Stdy</v>
      </c>
      <c r="H342" s="430"/>
      <c r="I342" s="602" t="str">
        <f>+'[2]MSFR Inc Stmt by Acct - SCH C.2'!K348</f>
        <v>667.8</v>
      </c>
      <c r="J342" s="430"/>
      <c r="L342" s="607">
        <f>+'[2]MSFR Inc Stmt by Acct - SCH C.2'!Q348</f>
        <v>3791.5085659162792</v>
      </c>
    </row>
    <row r="343" spans="1:12" x14ac:dyDescent="0.2">
      <c r="A343" s="422"/>
      <c r="C343" s="430">
        <f>+'[2]MSFR Inc Stmt by Acct - SCH C.2'!E349</f>
        <v>0</v>
      </c>
      <c r="D343" s="430"/>
      <c r="E343" s="603">
        <f>+'[2]MSFR Inc Stmt by Acct - SCH C.2'!G349</f>
        <v>0</v>
      </c>
      <c r="F343" s="430"/>
      <c r="G343" s="430">
        <f>+'[2]MSFR Inc Stmt by Acct - SCH C.2'!I349</f>
        <v>0</v>
      </c>
      <c r="H343" s="430"/>
      <c r="I343" s="602" t="str">
        <f>+'[2]MSFR Inc Stmt by Acct - SCH C.2'!K349</f>
        <v>Total</v>
      </c>
      <c r="J343" s="430"/>
      <c r="L343" s="607">
        <f>+'[2]MSFR Inc Stmt by Acct - SCH C.2'!Q349</f>
        <v>290523.33333333331</v>
      </c>
    </row>
    <row r="344" spans="1:12" x14ac:dyDescent="0.2">
      <c r="A344" s="422"/>
      <c r="C344" s="430">
        <f>+'[2]MSFR Inc Stmt by Acct - SCH C.2'!E350</f>
        <v>0</v>
      </c>
      <c r="D344" s="430"/>
      <c r="E344" s="603">
        <f>+'[2]MSFR Inc Stmt by Acct - SCH C.2'!G350</f>
        <v>0</v>
      </c>
      <c r="F344" s="430"/>
      <c r="G344" s="430">
        <f>+'[2]MSFR Inc Stmt by Acct - SCH C.2'!I350</f>
        <v>0</v>
      </c>
      <c r="H344" s="430"/>
      <c r="I344" s="602">
        <f>+'[2]MSFR Inc Stmt by Acct - SCH C.2'!K350</f>
        <v>0</v>
      </c>
      <c r="J344" s="430"/>
      <c r="L344" s="601">
        <f>+'[2]MSFR Inc Stmt by Acct - SCH C.2'!Q350</f>
        <v>0</v>
      </c>
    </row>
    <row r="345" spans="1:12" x14ac:dyDescent="0.2">
      <c r="A345" s="422"/>
      <c r="C345" s="430" t="str">
        <f>+'[2]MSFR Inc Stmt by Acct - SCH C.2'!E351</f>
        <v>Insurance other than group</v>
      </c>
      <c r="D345" s="430"/>
      <c r="E345" s="603">
        <f>+'[2]MSFR Inc Stmt by Acct - SCH C.2'!G351</f>
        <v>55110000</v>
      </c>
      <c r="F345" s="430"/>
      <c r="G345" s="430" t="str">
        <f>+'[2]MSFR Inc Stmt by Acct - SCH C.2'!I351</f>
        <v>Ins Vehicle</v>
      </c>
      <c r="H345" s="430"/>
      <c r="I345" s="602" t="str">
        <f>+'[2]MSFR Inc Stmt by Acct - SCH C.2'!K351</f>
        <v>656.8</v>
      </c>
      <c r="J345" s="430"/>
      <c r="L345" s="607">
        <f>+'[2]MSFR Inc Stmt by Acct - SCH C.2'!Q351</f>
        <v>33899.76727298223</v>
      </c>
    </row>
    <row r="346" spans="1:12" x14ac:dyDescent="0.2">
      <c r="A346" s="422"/>
      <c r="C346" s="430">
        <f>+'[2]MSFR Inc Stmt by Acct - SCH C.2'!E352</f>
        <v>0</v>
      </c>
      <c r="D346" s="430"/>
      <c r="E346" s="603">
        <f>+'[2]MSFR Inc Stmt by Acct - SCH C.2'!G352</f>
        <v>55115000</v>
      </c>
      <c r="F346" s="430"/>
      <c r="G346" s="430" t="str">
        <f>+'[2]MSFR Inc Stmt by Acct - SCH C.2'!I352</f>
        <v>Ins Vehicle - I/C</v>
      </c>
      <c r="H346" s="430"/>
      <c r="I346" s="602" t="str">
        <f>+'[2]MSFR Inc Stmt by Acct - SCH C.2'!K352</f>
        <v>656.8</v>
      </c>
      <c r="J346" s="430"/>
      <c r="L346" s="607">
        <f>+'[2]MSFR Inc Stmt by Acct - SCH C.2'!Q352</f>
        <v>0</v>
      </c>
    </row>
    <row r="347" spans="1:12" x14ac:dyDescent="0.2">
      <c r="A347" s="422"/>
      <c r="C347" s="430">
        <f>+'[2]MSFR Inc Stmt by Acct - SCH C.2'!E353</f>
        <v>0</v>
      </c>
      <c r="D347" s="430"/>
      <c r="E347" s="603">
        <f>+'[2]MSFR Inc Stmt by Acct - SCH C.2'!G353</f>
        <v>55710000</v>
      </c>
      <c r="F347" s="430"/>
      <c r="G347" s="430" t="str">
        <f>+'[2]MSFR Inc Stmt by Acct - SCH C.2'!I353</f>
        <v>Ins General Liabilty</v>
      </c>
      <c r="H347" s="430"/>
      <c r="I347" s="602" t="str">
        <f>+'[2]MSFR Inc Stmt by Acct - SCH C.2'!K353</f>
        <v>657.8</v>
      </c>
      <c r="J347" s="430"/>
      <c r="L347" s="607">
        <f>+'[2]MSFR Inc Stmt by Acct - SCH C.2'!Q353</f>
        <v>464459.576929626</v>
      </c>
    </row>
    <row r="348" spans="1:12" x14ac:dyDescent="0.2">
      <c r="A348" s="422"/>
      <c r="C348" s="430">
        <f>+'[2]MSFR Inc Stmt by Acct - SCH C.2'!E354</f>
        <v>0</v>
      </c>
      <c r="D348" s="430"/>
      <c r="E348" s="603">
        <f>+'[2]MSFR Inc Stmt by Acct - SCH C.2'!G354</f>
        <v>55715000</v>
      </c>
      <c r="F348" s="430"/>
      <c r="G348" s="430" t="str">
        <f>+'[2]MSFR Inc Stmt by Acct - SCH C.2'!I354</f>
        <v>Ins General Liab-I/C</v>
      </c>
      <c r="H348" s="430"/>
      <c r="I348" s="602" t="str">
        <f>+'[2]MSFR Inc Stmt by Acct - SCH C.2'!K354</f>
        <v>657.8</v>
      </c>
      <c r="J348" s="430"/>
      <c r="L348" s="607">
        <f>+'[2]MSFR Inc Stmt by Acct - SCH C.2'!Q354</f>
        <v>0</v>
      </c>
    </row>
    <row r="349" spans="1:12" x14ac:dyDescent="0.2">
      <c r="A349" s="422"/>
      <c r="C349" s="430">
        <f>+'[2]MSFR Inc Stmt by Acct - SCH C.2'!E355</f>
        <v>0</v>
      </c>
      <c r="D349" s="430"/>
      <c r="E349" s="603">
        <f>+'[2]MSFR Inc Stmt by Acct - SCH C.2'!G355</f>
        <v>55720000</v>
      </c>
      <c r="F349" s="430"/>
      <c r="G349" s="430" t="str">
        <f>+'[2]MSFR Inc Stmt by Acct - SCH C.2'!I355</f>
        <v>Ins Work Comp</v>
      </c>
      <c r="H349" s="430"/>
      <c r="I349" s="602" t="str">
        <f>+'[2]MSFR Inc Stmt by Acct - SCH C.2'!K355</f>
        <v>658.8</v>
      </c>
      <c r="J349" s="430"/>
      <c r="L349" s="607">
        <f>+'[2]MSFR Inc Stmt by Acct - SCH C.2'!Q355</f>
        <v>147981.63750776259</v>
      </c>
    </row>
    <row r="350" spans="1:12" x14ac:dyDescent="0.2">
      <c r="A350" s="422"/>
      <c r="C350" s="430">
        <f>+'[2]MSFR Inc Stmt by Acct - SCH C.2'!E356</f>
        <v>0</v>
      </c>
      <c r="D350" s="430"/>
      <c r="E350" s="603">
        <f>+'[2]MSFR Inc Stmt by Acct - SCH C.2'!G356</f>
        <v>55720100</v>
      </c>
      <c r="F350" s="430"/>
      <c r="G350" s="430" t="str">
        <f>+'[2]MSFR Inc Stmt by Acct - SCH C.2'!I356</f>
        <v>Ins W/C Cap Credits</v>
      </c>
      <c r="H350" s="430"/>
      <c r="I350" s="602" t="str">
        <f>+'[2]MSFR Inc Stmt by Acct - SCH C.2'!K356</f>
        <v>658.8</v>
      </c>
      <c r="J350" s="430"/>
      <c r="L350" s="607">
        <f>+'[2]MSFR Inc Stmt by Acct - SCH C.2'!Q356</f>
        <v>-35398.709033634492</v>
      </c>
    </row>
    <row r="351" spans="1:12" x14ac:dyDescent="0.2">
      <c r="A351" s="422"/>
      <c r="C351" s="430">
        <f>+'[2]MSFR Inc Stmt by Acct - SCH C.2'!E357</f>
        <v>0</v>
      </c>
      <c r="D351" s="430"/>
      <c r="E351" s="603">
        <f>+'[2]MSFR Inc Stmt by Acct - SCH C.2'!G357</f>
        <v>55725000</v>
      </c>
      <c r="F351" s="430"/>
      <c r="G351" s="430" t="str">
        <f>+'[2]MSFR Inc Stmt by Acct - SCH C.2'!I357</f>
        <v>Ins Work Comp-I/C</v>
      </c>
      <c r="H351" s="430"/>
      <c r="I351" s="602" t="str">
        <f>+'[2]MSFR Inc Stmt by Acct - SCH C.2'!K357</f>
        <v>658.8</v>
      </c>
      <c r="J351" s="430"/>
      <c r="L351" s="607">
        <f>+'[2]MSFR Inc Stmt by Acct - SCH C.2'!Q357</f>
        <v>0</v>
      </c>
    </row>
    <row r="352" spans="1:12" x14ac:dyDescent="0.2">
      <c r="A352" s="422"/>
      <c r="C352" s="430">
        <f>+'[2]MSFR Inc Stmt by Acct - SCH C.2'!E358</f>
        <v>0</v>
      </c>
      <c r="D352" s="430"/>
      <c r="E352" s="603">
        <f>+'[2]MSFR Inc Stmt by Acct - SCH C.2'!G358</f>
        <v>55730000</v>
      </c>
      <c r="F352" s="430"/>
      <c r="G352" s="430" t="str">
        <f>+'[2]MSFR Inc Stmt by Acct - SCH C.2'!I358</f>
        <v>Ins Other</v>
      </c>
      <c r="H352" s="430"/>
      <c r="I352" s="602" t="str">
        <f>+'[2]MSFR Inc Stmt by Acct - SCH C.2'!K358</f>
        <v>659.8</v>
      </c>
      <c r="J352" s="430"/>
      <c r="L352" s="607">
        <f>+'[2]MSFR Inc Stmt by Acct - SCH C.2'!Q358</f>
        <v>194636.72732326368</v>
      </c>
    </row>
    <row r="353" spans="1:14" x14ac:dyDescent="0.2">
      <c r="A353" s="422"/>
      <c r="C353" s="430">
        <f>+'[2]MSFR Inc Stmt by Acct - SCH C.2'!E359</f>
        <v>0</v>
      </c>
      <c r="D353" s="430"/>
      <c r="E353" s="603">
        <f>+'[2]MSFR Inc Stmt by Acct - SCH C.2'!G359</f>
        <v>55735000</v>
      </c>
      <c r="F353" s="430"/>
      <c r="G353" s="430" t="str">
        <f>+'[2]MSFR Inc Stmt by Acct - SCH C.2'!I359</f>
        <v>Ins Other - I/C</v>
      </c>
      <c r="H353" s="430"/>
      <c r="I353" s="602" t="str">
        <f>+'[2]MSFR Inc Stmt by Acct - SCH C.2'!K359</f>
        <v>659.8</v>
      </c>
      <c r="J353" s="430"/>
      <c r="L353" s="607">
        <f>+'[2]MSFR Inc Stmt by Acct - SCH C.2'!Q359</f>
        <v>0</v>
      </c>
    </row>
    <row r="354" spans="1:14" x14ac:dyDescent="0.2">
      <c r="A354" s="422"/>
      <c r="C354" s="430">
        <f>+'[2]MSFR Inc Stmt by Acct - SCH C.2'!E360</f>
        <v>0</v>
      </c>
      <c r="D354" s="430"/>
      <c r="E354" s="603">
        <f>+'[2]MSFR Inc Stmt by Acct - SCH C.2'!G360</f>
        <v>0</v>
      </c>
      <c r="F354" s="430"/>
      <c r="G354" s="430">
        <f>+'[2]MSFR Inc Stmt by Acct - SCH C.2'!I360</f>
        <v>0</v>
      </c>
      <c r="H354" s="430"/>
      <c r="I354" s="602" t="str">
        <f>+'[2]MSFR Inc Stmt by Acct - SCH C.2'!K360</f>
        <v>Total</v>
      </c>
      <c r="J354" s="430"/>
      <c r="L354" s="607">
        <f>+'[2]MSFR Inc Stmt by Acct - SCH C.2'!Q360</f>
        <v>805579</v>
      </c>
    </row>
    <row r="355" spans="1:14" x14ac:dyDescent="0.2">
      <c r="A355" s="422"/>
      <c r="C355" s="430">
        <f>+'[2]MSFR Inc Stmt by Acct - SCH C.2'!E361</f>
        <v>0</v>
      </c>
      <c r="D355" s="430"/>
      <c r="E355" s="603">
        <f>+'[2]MSFR Inc Stmt by Acct - SCH C.2'!G361</f>
        <v>0</v>
      </c>
      <c r="F355" s="430"/>
      <c r="G355" s="430">
        <f>+'[2]MSFR Inc Stmt by Acct - SCH C.2'!I361</f>
        <v>0</v>
      </c>
      <c r="H355" s="430"/>
      <c r="I355" s="602">
        <f>+'[2]MSFR Inc Stmt by Acct - SCH C.2'!K361</f>
        <v>0</v>
      </c>
      <c r="J355" s="430"/>
      <c r="L355" s="601">
        <f>+'[2]MSFR Inc Stmt by Acct - SCH C.2'!Q361</f>
        <v>0</v>
      </c>
    </row>
    <row r="356" spans="1:14" x14ac:dyDescent="0.2">
      <c r="A356" s="422"/>
      <c r="C356" s="605" t="str">
        <f>+'[2]MSFR Inc Stmt by Acct - SCH C.2'!E362</f>
        <v>Maintenance supplies and services</v>
      </c>
      <c r="D356" s="430"/>
      <c r="E356" s="603">
        <f>+'[2]MSFR Inc Stmt by Acct - SCH C.2'!G362</f>
        <v>62002100</v>
      </c>
      <c r="F356" s="430"/>
      <c r="G356" s="430" t="str">
        <f>+'[2]MSFR Inc Stmt by Acct - SCH C.2'!I362</f>
        <v>M&amp;S Maint SS</v>
      </c>
      <c r="H356" s="430"/>
      <c r="I356" s="602" t="str">
        <f>+'[2]MSFR Inc Stmt by Acct - SCH C.2'!K362</f>
        <v>620.2</v>
      </c>
      <c r="J356" s="430"/>
      <c r="L356" s="604">
        <f>+'[2]MSFR Inc Stmt by Acct - SCH C.2'!Q362</f>
        <v>34747.605392436883</v>
      </c>
    </row>
    <row r="357" spans="1:14" ht="16.149999999999999" customHeight="1" x14ac:dyDescent="0.2">
      <c r="A357" s="422"/>
      <c r="C357" s="430">
        <f>+'[2]MSFR Inc Stmt by Acct - SCH C.2'!E363</f>
        <v>0</v>
      </c>
      <c r="D357" s="430"/>
      <c r="E357" s="603">
        <f>+'[2]MSFR Inc Stmt by Acct - SCH C.2'!G363</f>
        <v>62002300</v>
      </c>
      <c r="F357" s="430"/>
      <c r="G357" s="430" t="str">
        <f>+'[2]MSFR Inc Stmt by Acct - SCH C.2'!I363</f>
        <v>M&amp;S Maint WT</v>
      </c>
      <c r="H357" s="430"/>
      <c r="I357" s="602" t="str">
        <f>+'[2]MSFR Inc Stmt by Acct - SCH C.2'!K363</f>
        <v>620.4</v>
      </c>
      <c r="J357" s="430"/>
      <c r="L357" s="609">
        <f>+'[2]MSFR Inc Stmt by Acct - SCH C.2'!Q363</f>
        <v>253863.39997715069</v>
      </c>
    </row>
    <row r="358" spans="1:14" ht="16.149999999999999" customHeight="1" x14ac:dyDescent="0.2">
      <c r="A358" s="422"/>
      <c r="C358" s="430">
        <f>+'[2]MSFR Inc Stmt by Acct - SCH C.2'!E364</f>
        <v>0</v>
      </c>
      <c r="D358" s="430"/>
      <c r="E358" s="603">
        <f>+'[2]MSFR Inc Stmt by Acct - SCH C.2'!G364</f>
        <v>62002400</v>
      </c>
      <c r="F358" s="430"/>
      <c r="G358" s="430" t="str">
        <f>+'[2]MSFR Inc Stmt by Acct - SCH C.2'!I364</f>
        <v>M&amp;S Maint TD</v>
      </c>
      <c r="H358" s="430"/>
      <c r="I358" s="602" t="str">
        <f>+'[2]MSFR Inc Stmt by Acct - SCH C.2'!K364</f>
        <v>620.6</v>
      </c>
      <c r="J358" s="430"/>
      <c r="L358" s="610">
        <f>+'[2]MSFR Inc Stmt by Acct - SCH C.2'!Q364</f>
        <v>231229.85490688906</v>
      </c>
    </row>
    <row r="359" spans="1:14" ht="16.149999999999999" customHeight="1" x14ac:dyDescent="0.2">
      <c r="A359" s="422"/>
      <c r="C359" s="430">
        <f>+'[2]MSFR Inc Stmt by Acct - SCH C.2'!E365</f>
        <v>0</v>
      </c>
      <c r="D359" s="430"/>
      <c r="E359" s="603">
        <f>+'[2]MSFR Inc Stmt by Acct - SCH C.2'!G365</f>
        <v>62002600</v>
      </c>
      <c r="F359" s="430"/>
      <c r="G359" s="430" t="str">
        <f>+'[2]MSFR Inc Stmt by Acct - SCH C.2'!I365</f>
        <v>M&amp;S Maint AG</v>
      </c>
      <c r="H359" s="430"/>
      <c r="I359" s="602" t="str">
        <f>+'[2]MSFR Inc Stmt by Acct - SCH C.2'!K365</f>
        <v>620.8</v>
      </c>
      <c r="J359" s="430"/>
      <c r="L359" s="607">
        <f>+'[2]MSFR Inc Stmt by Acct - SCH C.2'!Q365</f>
        <v>18036.330401005369</v>
      </c>
    </row>
    <row r="360" spans="1:14" ht="16.149999999999999" customHeight="1" x14ac:dyDescent="0.2">
      <c r="A360" s="422"/>
      <c r="C360" s="430">
        <f>+'[2]MSFR Inc Stmt by Acct - SCH C.2'!E366</f>
        <v>0</v>
      </c>
      <c r="D360" s="430"/>
      <c r="E360" s="603">
        <f>+'[2]MSFR Inc Stmt by Acct - SCH C.2'!G366</f>
        <v>62502100</v>
      </c>
      <c r="F360" s="430"/>
      <c r="G360" s="430" t="str">
        <f>+'[2]MSFR Inc Stmt by Acct - SCH C.2'!I366</f>
        <v>Misc Maint SS</v>
      </c>
      <c r="H360" s="430"/>
      <c r="I360" s="602" t="str">
        <f>+'[2]MSFR Inc Stmt by Acct - SCH C.2'!K366</f>
        <v>675.2</v>
      </c>
      <c r="J360" s="430"/>
      <c r="L360" s="604">
        <f>+'[2]MSFR Inc Stmt by Acct - SCH C.2'!Q366</f>
        <v>18.446247001028219</v>
      </c>
    </row>
    <row r="361" spans="1:14" ht="16.149999999999999" customHeight="1" x14ac:dyDescent="0.2">
      <c r="A361" s="422"/>
      <c r="C361" s="430">
        <f>+'[2]MSFR Inc Stmt by Acct - SCH C.2'!E367</f>
        <v>0</v>
      </c>
      <c r="D361" s="430"/>
      <c r="E361" s="603">
        <f>+'[2]MSFR Inc Stmt by Acct - SCH C.2'!G367</f>
        <v>62502300</v>
      </c>
      <c r="F361" s="430"/>
      <c r="G361" s="430" t="str">
        <f>+'[2]MSFR Inc Stmt by Acct - SCH C.2'!I367</f>
        <v>Misc Maint WT</v>
      </c>
      <c r="H361" s="430"/>
      <c r="I361" s="602" t="str">
        <f>+'[2]MSFR Inc Stmt by Acct - SCH C.2'!K367</f>
        <v>675.4</v>
      </c>
      <c r="J361" s="430"/>
      <c r="L361" s="609">
        <f>+'[2]MSFR Inc Stmt by Acct - SCH C.2'!Q367</f>
        <v>26998.132069004914</v>
      </c>
      <c r="N361" s="503"/>
    </row>
    <row r="362" spans="1:14" ht="16.149999999999999" customHeight="1" x14ac:dyDescent="0.2">
      <c r="A362" s="422"/>
      <c r="C362" s="430">
        <f>+'[2]MSFR Inc Stmt by Acct - SCH C.2'!E368</f>
        <v>0</v>
      </c>
      <c r="D362" s="430"/>
      <c r="E362" s="603">
        <f>+'[2]MSFR Inc Stmt by Acct - SCH C.2'!G368</f>
        <v>62502400</v>
      </c>
      <c r="F362" s="430"/>
      <c r="G362" s="430" t="str">
        <f>+'[2]MSFR Inc Stmt by Acct - SCH C.2'!I368</f>
        <v>Misc Maint TD</v>
      </c>
      <c r="H362" s="430"/>
      <c r="I362" s="602" t="str">
        <f>+'[2]MSFR Inc Stmt by Acct - SCH C.2'!K368</f>
        <v>675.6</v>
      </c>
      <c r="J362" s="430"/>
      <c r="L362" s="610">
        <f>+'[2]MSFR Inc Stmt by Acct - SCH C.2'!Q368</f>
        <v>162393.58505655202</v>
      </c>
    </row>
    <row r="363" spans="1:14" ht="16.149999999999999" customHeight="1" x14ac:dyDescent="0.2">
      <c r="A363" s="422"/>
      <c r="C363" s="430">
        <f>+'[2]MSFR Inc Stmt by Acct - SCH C.2'!E369</f>
        <v>0</v>
      </c>
      <c r="D363" s="430"/>
      <c r="E363" s="603">
        <f>+'[2]MSFR Inc Stmt by Acct - SCH C.2'!G369</f>
        <v>62502420</v>
      </c>
      <c r="F363" s="430"/>
      <c r="G363" s="430" t="str">
        <f>+'[2]MSFR Inc Stmt by Acct - SCH C.2'!I369</f>
        <v>Misc Maint TD Mains</v>
      </c>
      <c r="H363" s="430"/>
      <c r="I363" s="602" t="str">
        <f>+'[2]MSFR Inc Stmt by Acct - SCH C.2'!K369</f>
        <v>675.6</v>
      </c>
      <c r="J363" s="430"/>
      <c r="L363" s="601">
        <f>+'[2]MSFR Inc Stmt by Acct - SCH C.2'!Q369</f>
        <v>0</v>
      </c>
    </row>
    <row r="364" spans="1:14" ht="16.149999999999999" customHeight="1" x14ac:dyDescent="0.2">
      <c r="A364" s="422"/>
      <c r="C364" s="430">
        <f>+'[2]MSFR Inc Stmt by Acct - SCH C.2'!E370</f>
        <v>0</v>
      </c>
      <c r="D364" s="430"/>
      <c r="E364" s="603">
        <f>+'[2]MSFR Inc Stmt by Acct - SCH C.2'!G370</f>
        <v>62502435</v>
      </c>
      <c r="F364" s="430"/>
      <c r="G364" s="430" t="str">
        <f>+'[2]MSFR Inc Stmt by Acct - SCH C.2'!I370</f>
        <v>Misc Maint TD Meters</v>
      </c>
      <c r="H364" s="430"/>
      <c r="I364" s="602" t="str">
        <f>+'[2]MSFR Inc Stmt by Acct - SCH C.2'!K370</f>
        <v>675.6</v>
      </c>
      <c r="J364" s="430"/>
      <c r="L364" s="610">
        <f>+'[2]MSFR Inc Stmt by Acct - SCH C.2'!Q370</f>
        <v>205.98309151148177</v>
      </c>
    </row>
    <row r="365" spans="1:14" ht="16.149999999999999" customHeight="1" x14ac:dyDescent="0.2">
      <c r="A365" s="422"/>
      <c r="C365" s="430">
        <f>+'[2]MSFR Inc Stmt by Acct - SCH C.2'!E371</f>
        <v>0</v>
      </c>
      <c r="D365" s="430"/>
      <c r="E365" s="603">
        <f>+'[2]MSFR Inc Stmt by Acct - SCH C.2'!G371</f>
        <v>62502600</v>
      </c>
      <c r="F365" s="430"/>
      <c r="G365" s="430" t="str">
        <f>+'[2]MSFR Inc Stmt by Acct - SCH C.2'!I371</f>
        <v>Misc Maint AG</v>
      </c>
      <c r="H365" s="430"/>
      <c r="I365" s="602" t="str">
        <f>+'[2]MSFR Inc Stmt by Acct - SCH C.2'!K371</f>
        <v>675.8</v>
      </c>
      <c r="J365" s="430"/>
      <c r="L365" s="607">
        <f>+'[2]MSFR Inc Stmt by Acct - SCH C.2'!Q371</f>
        <v>492751.52176396665</v>
      </c>
    </row>
    <row r="366" spans="1:14" ht="16.149999999999999" customHeight="1" x14ac:dyDescent="0.2">
      <c r="A366" s="422"/>
      <c r="C366" s="430">
        <f>+'[2]MSFR Inc Stmt by Acct - SCH C.2'!E372</f>
        <v>0</v>
      </c>
      <c r="D366" s="430"/>
      <c r="E366" s="603">
        <f>+'[2]MSFR Inc Stmt by Acct - SCH C.2'!G372</f>
        <v>62510000</v>
      </c>
      <c r="F366" s="430"/>
      <c r="G366" s="430" t="str">
        <f>+'[2]MSFR Inc Stmt by Acct - SCH C.2'!I372</f>
        <v>Amort Def Maint</v>
      </c>
      <c r="H366" s="430"/>
      <c r="I366" s="602" t="str">
        <f>+'[2]MSFR Inc Stmt by Acct - SCH C.2'!K372</f>
        <v>675.6</v>
      </c>
      <c r="J366" s="430"/>
      <c r="L366" s="607">
        <f>+'[2]MSFR Inc Stmt by Acct - SCH C.2'!Q372</f>
        <v>145968.22689363646</v>
      </c>
      <c r="M366" s="611" t="s">
        <v>959</v>
      </c>
    </row>
    <row r="367" spans="1:14" ht="16.149999999999999" customHeight="1" x14ac:dyDescent="0.2">
      <c r="A367" s="422"/>
      <c r="C367" s="430">
        <f>+'[2]MSFR Inc Stmt by Acct - SCH C.2'!E373</f>
        <v>0</v>
      </c>
      <c r="D367" s="430"/>
      <c r="E367" s="603">
        <f>+'[2]MSFR Inc Stmt by Acct - SCH C.2'!G373</f>
        <v>62512000</v>
      </c>
      <c r="F367" s="430"/>
      <c r="G367" s="430" t="str">
        <f>+'[2]MSFR Inc Stmt by Acct - SCH C.2'!I373</f>
        <v>Amort Def Maint</v>
      </c>
      <c r="H367" s="430"/>
      <c r="I367" s="602" t="str">
        <f>+'[2]MSFR Inc Stmt by Acct - SCH C.2'!K373</f>
        <v>675.6</v>
      </c>
      <c r="J367" s="430"/>
      <c r="L367" s="607">
        <f>+'[2]MSFR Inc Stmt by Acct - SCH C.2'!Q373</f>
        <v>81174.759511024793</v>
      </c>
      <c r="M367" s="611" t="s">
        <v>959</v>
      </c>
    </row>
    <row r="368" spans="1:14" ht="16.149999999999999" customHeight="1" x14ac:dyDescent="0.2">
      <c r="A368" s="422"/>
      <c r="C368" s="430">
        <f>+'[2]MSFR Inc Stmt by Acct - SCH C.2'!E374</f>
        <v>0</v>
      </c>
      <c r="D368" s="430"/>
      <c r="E368" s="603">
        <f>+'[2]MSFR Inc Stmt by Acct - SCH C.2'!G374</f>
        <v>62512300</v>
      </c>
      <c r="F368" s="430"/>
      <c r="G368" s="430" t="str">
        <f>+'[2]MSFR Inc Stmt by Acct - SCH C.2'!I374</f>
        <v>Amort Def Maint WT</v>
      </c>
      <c r="H368" s="430"/>
      <c r="I368" s="602" t="str">
        <f>+'[2]MSFR Inc Stmt by Acct - SCH C.2'!K374</f>
        <v>675.4</v>
      </c>
      <c r="J368" s="430"/>
      <c r="L368" s="609">
        <f>+'[2]MSFR Inc Stmt by Acct - SCH C.2'!Q374</f>
        <v>59513.741574317377</v>
      </c>
    </row>
    <row r="369" spans="1:13" ht="16.149999999999999" customHeight="1" x14ac:dyDescent="0.2">
      <c r="A369" s="422"/>
      <c r="C369" s="430">
        <f>+'[2]MSFR Inc Stmt by Acct - SCH C.2'!E375</f>
        <v>0</v>
      </c>
      <c r="D369" s="430"/>
      <c r="E369" s="603">
        <f>+'[2]MSFR Inc Stmt by Acct - SCH C.2'!G375</f>
        <v>62512400</v>
      </c>
      <c r="F369" s="430"/>
      <c r="G369" s="430" t="str">
        <f>+'[2]MSFR Inc Stmt by Acct - SCH C.2'!I375</f>
        <v>Amort Def Maint TD</v>
      </c>
      <c r="H369" s="430"/>
      <c r="I369" s="602" t="str">
        <f>+'[2]MSFR Inc Stmt by Acct - SCH C.2'!K375</f>
        <v>675.6</v>
      </c>
      <c r="J369" s="430"/>
      <c r="L369" s="610">
        <f>+'[2]MSFR Inc Stmt by Acct - SCH C.2'!Q375</f>
        <v>163965.61521763966</v>
      </c>
    </row>
    <row r="370" spans="1:13" ht="16.149999999999999" customHeight="1" x14ac:dyDescent="0.2">
      <c r="A370" s="422"/>
      <c r="C370" s="430">
        <f>+'[2]MSFR Inc Stmt by Acct - SCH C.2'!E376</f>
        <v>0</v>
      </c>
      <c r="D370" s="430"/>
      <c r="E370" s="603">
        <f>+'[2]MSFR Inc Stmt by Acct - SCH C.2'!G376</f>
        <v>62520700</v>
      </c>
      <c r="F370" s="430"/>
      <c r="G370" s="430" t="str">
        <f>+'[2]MSFR Inc Stmt by Acct - SCH C.2'!I376</f>
        <v>Misc Main Pvg/Bckfll</v>
      </c>
      <c r="H370" s="430"/>
      <c r="I370" s="602" t="str">
        <f>+'[2]MSFR Inc Stmt by Acct - SCH C.2'!K376</f>
        <v>675.6</v>
      </c>
      <c r="J370" s="430"/>
      <c r="L370" s="610">
        <f>+'[2]MSFR Inc Stmt by Acct - SCH C.2'!Q376</f>
        <v>147412.15811721695</v>
      </c>
    </row>
    <row r="371" spans="1:13" ht="16.149999999999999" customHeight="1" x14ac:dyDescent="0.2">
      <c r="A371" s="422"/>
      <c r="C371" s="430">
        <f>+'[2]MSFR Inc Stmt by Acct - SCH C.2'!E377</f>
        <v>0</v>
      </c>
      <c r="D371" s="430"/>
      <c r="E371" s="603">
        <f>+'[2]MSFR Inc Stmt by Acct - SCH C.2'!G377</f>
        <v>62520800</v>
      </c>
      <c r="F371" s="430"/>
      <c r="G371" s="430" t="str">
        <f>+'[2]MSFR Inc Stmt by Acct - SCH C.2'!I377</f>
        <v>Misc Maint Permits</v>
      </c>
      <c r="H371" s="430"/>
      <c r="I371" s="602" t="str">
        <f>+'[2]MSFR Inc Stmt by Acct - SCH C.2'!K377</f>
        <v>675.6</v>
      </c>
      <c r="J371" s="430"/>
      <c r="L371" s="601">
        <f>+'[2]MSFR Inc Stmt by Acct - SCH C.2'!Q377</f>
        <v>0</v>
      </c>
    </row>
    <row r="372" spans="1:13" ht="16.149999999999999" customHeight="1" x14ac:dyDescent="0.2">
      <c r="A372" s="422"/>
      <c r="C372" s="430">
        <f>+'[2]MSFR Inc Stmt by Acct - SCH C.2'!E378</f>
        <v>0</v>
      </c>
      <c r="D372" s="430"/>
      <c r="E372" s="603">
        <f>+'[2]MSFR Inc Stmt by Acct - SCH C.2'!G378</f>
        <v>63110000</v>
      </c>
      <c r="F372" s="430"/>
      <c r="G372" s="430" t="str">
        <f>+'[2]MSFR Inc Stmt by Acct - SCH C.2'!I378</f>
        <v>Contract Svc - Other Maint</v>
      </c>
      <c r="H372" s="430"/>
      <c r="I372" s="602" t="str">
        <f>+'[2]MSFR Inc Stmt by Acct - SCH C.2'!K378</f>
        <v>631.6</v>
      </c>
      <c r="J372" s="430"/>
      <c r="L372" s="607">
        <f>+'[2]MSFR Inc Stmt by Acct - SCH C.2'!Q378</f>
        <v>150962.03587341483</v>
      </c>
    </row>
    <row r="373" spans="1:13" ht="16.149999999999999" customHeight="1" x14ac:dyDescent="0.2">
      <c r="A373" s="422"/>
      <c r="C373" s="430">
        <f>+'[2]MSFR Inc Stmt by Acct - SCH C.2'!E379</f>
        <v>0</v>
      </c>
      <c r="D373" s="430"/>
      <c r="E373" s="603">
        <f>+'[2]MSFR Inc Stmt by Acct - SCH C.2'!G379</f>
        <v>63110024</v>
      </c>
      <c r="F373" s="430"/>
      <c r="G373" s="430" t="str">
        <f>+'[2]MSFR Inc Stmt by Acct - SCH C.2'!I379</f>
        <v>Contr Svc-Maint TD</v>
      </c>
      <c r="H373" s="430"/>
      <c r="I373" s="602" t="str">
        <f>+'[2]MSFR Inc Stmt by Acct - SCH C.2'!K379</f>
        <v>631.6</v>
      </c>
      <c r="J373" s="430"/>
      <c r="L373" s="601">
        <f>+'[2]MSFR Inc Stmt by Acct - SCH C.2'!Q379</f>
        <v>0</v>
      </c>
    </row>
    <row r="374" spans="1:13" ht="16.149999999999999" customHeight="1" x14ac:dyDescent="0.2">
      <c r="A374" s="422"/>
      <c r="C374" s="430">
        <f>+'[2]MSFR Inc Stmt by Acct - SCH C.2'!E380</f>
        <v>0</v>
      </c>
      <c r="D374" s="430"/>
      <c r="E374" s="603">
        <f>+'[2]MSFR Inc Stmt by Acct - SCH C.2'!G380</f>
        <v>63150021</v>
      </c>
      <c r="F374" s="430"/>
      <c r="G374" s="430" t="str">
        <f>+'[2]MSFR Inc Stmt by Acct - SCH C.2'!I380</f>
        <v>Contr Svc-Maint SS</v>
      </c>
      <c r="H374" s="430"/>
      <c r="I374" s="602" t="str">
        <f>+'[2]MSFR Inc Stmt by Acct - SCH C.2'!K380</f>
        <v>636.2</v>
      </c>
      <c r="J374" s="430"/>
      <c r="L374" s="604">
        <f>+'[2]MSFR Inc Stmt by Acct - SCH C.2'!Q380</f>
        <v>9531.5857420313041</v>
      </c>
    </row>
    <row r="375" spans="1:13" ht="16.149999999999999" customHeight="1" x14ac:dyDescent="0.2">
      <c r="A375" s="422"/>
      <c r="C375" s="430">
        <f>+'[2]MSFR Inc Stmt by Acct - SCH C.2'!E381</f>
        <v>0</v>
      </c>
      <c r="D375" s="430"/>
      <c r="E375" s="603">
        <f>+'[2]MSFR Inc Stmt by Acct - SCH C.2'!G381</f>
        <v>63150022</v>
      </c>
      <c r="F375" s="430"/>
      <c r="G375" s="430" t="str">
        <f>+'[2]MSFR Inc Stmt by Acct - SCH C.2'!I381</f>
        <v>Contr Svc-Maint P</v>
      </c>
      <c r="H375" s="430"/>
      <c r="I375" s="602" t="str">
        <f>+'[2]MSFR Inc Stmt by Acct - SCH C.2'!K381</f>
        <v>636.3</v>
      </c>
      <c r="J375" s="430"/>
      <c r="L375" s="601">
        <f>+'[2]MSFR Inc Stmt by Acct - SCH C.2'!Q381</f>
        <v>0</v>
      </c>
    </row>
    <row r="376" spans="1:13" ht="16.149999999999999" customHeight="1" x14ac:dyDescent="0.2">
      <c r="A376" s="422"/>
      <c r="C376" s="430">
        <f>+'[2]MSFR Inc Stmt by Acct - SCH C.2'!E382</f>
        <v>0</v>
      </c>
      <c r="D376" s="430"/>
      <c r="E376" s="603">
        <f>+'[2]MSFR Inc Stmt by Acct - SCH C.2'!G382</f>
        <v>63150023</v>
      </c>
      <c r="F376" s="430"/>
      <c r="G376" s="430" t="str">
        <f>+'[2]MSFR Inc Stmt by Acct - SCH C.2'!I382</f>
        <v>Contr Svc-Maint WT</v>
      </c>
      <c r="H376" s="430"/>
      <c r="I376" s="602" t="str">
        <f>+'[2]MSFR Inc Stmt by Acct - SCH C.2'!K382</f>
        <v>636.4</v>
      </c>
      <c r="J376" s="430"/>
      <c r="L376" s="609">
        <f>+'[2]MSFR Inc Stmt by Acct - SCH C.2'!Q382</f>
        <v>127310.87284359649</v>
      </c>
    </row>
    <row r="377" spans="1:13" ht="16.149999999999999" customHeight="1" x14ac:dyDescent="0.2">
      <c r="A377" s="422"/>
      <c r="C377" s="430">
        <f>+'[2]MSFR Inc Stmt by Acct - SCH C.2'!E383</f>
        <v>0</v>
      </c>
      <c r="D377" s="430"/>
      <c r="E377" s="603">
        <f>+'[2]MSFR Inc Stmt by Acct - SCH C.2'!G383</f>
        <v>63150024</v>
      </c>
      <c r="F377" s="430"/>
      <c r="G377" s="430" t="str">
        <f>+'[2]MSFR Inc Stmt by Acct - SCH C.2'!I383</f>
        <v>Contr Svc-Maint TD</v>
      </c>
      <c r="H377" s="430"/>
      <c r="I377" s="602" t="str">
        <f>+'[2]MSFR Inc Stmt by Acct - SCH C.2'!K383</f>
        <v>636.6</v>
      </c>
      <c r="J377" s="430"/>
      <c r="L377" s="610">
        <f>+'[2]MSFR Inc Stmt by Acct - SCH C.2'!Q383</f>
        <v>108948.65874557295</v>
      </c>
    </row>
    <row r="378" spans="1:13" ht="16.149999999999999" customHeight="1" x14ac:dyDescent="0.2">
      <c r="A378" s="422"/>
      <c r="C378" s="430">
        <f>+'[2]MSFR Inc Stmt by Acct - SCH C.2'!E384</f>
        <v>0</v>
      </c>
      <c r="D378" s="430"/>
      <c r="E378" s="603">
        <f>+'[2]MSFR Inc Stmt by Acct - SCH C.2'!G384</f>
        <v>63150026</v>
      </c>
      <c r="F378" s="430"/>
      <c r="G378" s="430" t="str">
        <f>+'[2]MSFR Inc Stmt by Acct - SCH C.2'!I384</f>
        <v>Contr Svc-Maint AG</v>
      </c>
      <c r="H378" s="430"/>
      <c r="I378" s="602" t="str">
        <f>+'[2]MSFR Inc Stmt by Acct - SCH C.2'!K384</f>
        <v>636.8</v>
      </c>
      <c r="J378" s="430"/>
      <c r="L378" s="607">
        <f>+'[2]MSFR Inc Stmt by Acct - SCH C.2'!Q384</f>
        <v>557.48657603107506</v>
      </c>
    </row>
    <row r="379" spans="1:13" ht="16.149999999999999" customHeight="1" x14ac:dyDescent="0.2">
      <c r="A379" s="422"/>
      <c r="C379" s="430">
        <f>+'[2]MSFR Inc Stmt by Acct - SCH C.2'!E385</f>
        <v>0</v>
      </c>
      <c r="D379" s="430"/>
      <c r="E379" s="603">
        <f>+'[2]MSFR Inc Stmt by Acct - SCH C.2'!G385</f>
        <v>0</v>
      </c>
      <c r="F379" s="430"/>
      <c r="G379" s="430">
        <f>+'[2]MSFR Inc Stmt by Acct - SCH C.2'!I385</f>
        <v>0</v>
      </c>
      <c r="H379" s="430"/>
      <c r="I379" s="602" t="str">
        <f>+'[2]MSFR Inc Stmt by Acct - SCH C.2'!K385</f>
        <v>Total</v>
      </c>
      <c r="J379" s="430"/>
      <c r="L379" s="601">
        <f>+'[2]MSFR Inc Stmt by Acct - SCH C.2'!Q385</f>
        <v>2215590</v>
      </c>
      <c r="M379" s="418">
        <f>+L379+L354+L343+L339+L331+L326+L309+L301+L260+L252+L249+L233+L223+L209+L176+L158+L140+L120+L114+L110+L59+L55+L52+L44</f>
        <v>34264662.338431463</v>
      </c>
    </row>
    <row r="380" spans="1:13" ht="16.149999999999999" customHeight="1" x14ac:dyDescent="0.2">
      <c r="A380" s="422"/>
      <c r="C380" s="430">
        <f>+'[2]MSFR Inc Stmt by Acct - SCH C.2'!E386</f>
        <v>0</v>
      </c>
      <c r="D380" s="430"/>
      <c r="E380" s="603">
        <f>+'[2]MSFR Inc Stmt by Acct - SCH C.2'!G386</f>
        <v>0</v>
      </c>
      <c r="F380" s="430"/>
      <c r="G380" s="430">
        <f>+'[2]MSFR Inc Stmt by Acct - SCH C.2'!I386</f>
        <v>0</v>
      </c>
      <c r="H380" s="430"/>
      <c r="I380" s="602">
        <f>+'[2]MSFR Inc Stmt by Acct - SCH C.2'!K386</f>
        <v>0</v>
      </c>
      <c r="J380" s="430"/>
      <c r="L380" s="601">
        <f>+'[2]MSFR Inc Stmt by Acct - SCH C.2'!Q386</f>
        <v>0</v>
      </c>
    </row>
    <row r="381" spans="1:13" ht="16.149999999999999" customHeight="1" x14ac:dyDescent="0.2">
      <c r="A381" s="422"/>
      <c r="C381" s="430" t="str">
        <f>+'[2]MSFR Inc Stmt by Acct - SCH C.2'!E387</f>
        <v>Depreciation</v>
      </c>
      <c r="D381" s="430"/>
      <c r="E381" s="603">
        <f>+'[2]MSFR Inc Stmt by Acct - SCH C.2'!G387</f>
        <v>68011000</v>
      </c>
      <c r="F381" s="430"/>
      <c r="G381" s="430" t="str">
        <f>+'[2]MSFR Inc Stmt by Acct - SCH C.2'!I387</f>
        <v>Depr -UPIS General</v>
      </c>
      <c r="H381" s="430"/>
      <c r="I381" s="602" t="str">
        <f>+'[2]MSFR Inc Stmt by Acct - SCH C.2'!K387</f>
        <v>403.</v>
      </c>
      <c r="J381" s="430"/>
      <c r="L381" s="601">
        <f>+'[2]MSFR Inc Stmt by Acct - SCH C.2'!Q387</f>
        <v>13912201</v>
      </c>
    </row>
    <row r="382" spans="1:13" ht="16.149999999999999" customHeight="1" x14ac:dyDescent="0.2">
      <c r="A382" s="422"/>
      <c r="C382" s="430">
        <f>+'[2]MSFR Inc Stmt by Acct - SCH C.2'!E388</f>
        <v>0</v>
      </c>
      <c r="D382" s="430"/>
      <c r="E382" s="603">
        <f>+'[2]MSFR Inc Stmt by Acct - SCH C.2'!G388</f>
        <v>68011500</v>
      </c>
      <c r="F382" s="430"/>
      <c r="G382" s="430" t="str">
        <f>+'[2]MSFR Inc Stmt by Acct - SCH C.2'!I388</f>
        <v>Depr -Amort Def Depreciation</v>
      </c>
      <c r="H382" s="430"/>
      <c r="I382" s="602" t="str">
        <f>+'[2]MSFR Inc Stmt by Acct - SCH C.2'!K388</f>
        <v>403.</v>
      </c>
      <c r="J382" s="430"/>
      <c r="L382" s="601">
        <f>+'[2]MSFR Inc Stmt by Acct - SCH C.2'!Q388</f>
        <v>0</v>
      </c>
    </row>
    <row r="383" spans="1:13" ht="16.149999999999999" customHeight="1" x14ac:dyDescent="0.2">
      <c r="A383" s="422"/>
      <c r="C383" s="430">
        <f>+'[2]MSFR Inc Stmt by Acct - SCH C.2'!E389</f>
        <v>0</v>
      </c>
      <c r="D383" s="430"/>
      <c r="E383" s="603">
        <f>+'[2]MSFR Inc Stmt by Acct - SCH C.2'!G389</f>
        <v>68012000</v>
      </c>
      <c r="F383" s="430"/>
      <c r="G383" s="430" t="str">
        <f>+'[2]MSFR Inc Stmt by Acct - SCH C.2'!I389</f>
        <v>Depr -Amort CIAC Tx</v>
      </c>
      <c r="H383" s="430"/>
      <c r="I383" s="602" t="str">
        <f>+'[2]MSFR Inc Stmt by Acct - SCH C.2'!K389</f>
        <v>403.</v>
      </c>
      <c r="J383" s="430"/>
      <c r="L383" s="601">
        <f>+'[2]MSFR Inc Stmt by Acct - SCH C.2'!Q389</f>
        <v>-171241</v>
      </c>
    </row>
    <row r="384" spans="1:13" ht="16.149999999999999" customHeight="1" x14ac:dyDescent="0.2">
      <c r="A384" s="422"/>
      <c r="C384" s="430">
        <f>+'[2]MSFR Inc Stmt by Acct - SCH C.2'!E390</f>
        <v>0</v>
      </c>
      <c r="D384" s="430"/>
      <c r="E384" s="603">
        <f>+'[2]MSFR Inc Stmt by Acct - SCH C.2'!G390</f>
        <v>68012500</v>
      </c>
      <c r="F384" s="430"/>
      <c r="G384" s="430" t="str">
        <f>+'[2]MSFR Inc Stmt by Acct - SCH C.2'!I390</f>
        <v>Depr-Amort CIAC Nntx</v>
      </c>
      <c r="H384" s="430"/>
      <c r="I384" s="602" t="str">
        <f>+'[2]MSFR Inc Stmt by Acct - SCH C.2'!K390</f>
        <v>403.</v>
      </c>
      <c r="J384" s="430"/>
      <c r="L384" s="601">
        <f>+'[2]MSFR Inc Stmt by Acct - SCH C.2'!Q390</f>
        <v>-1209078</v>
      </c>
    </row>
    <row r="385" spans="1:12" ht="16.149999999999999" customHeight="1" x14ac:dyDescent="0.2">
      <c r="A385" s="422"/>
      <c r="C385" s="430">
        <f>+'[2]MSFR Inc Stmt by Acct - SCH C.2'!E391</f>
        <v>0</v>
      </c>
      <c r="D385" s="430"/>
      <c r="E385" s="603">
        <f>+'[2]MSFR Inc Stmt by Acct - SCH C.2'!G391</f>
        <v>68311000</v>
      </c>
      <c r="F385" s="430"/>
      <c r="G385" s="430" t="str">
        <f>+'[2]MSFR Inc Stmt by Acct - SCH C.2'!I391</f>
        <v>Rem Costs-ARO/NNS</v>
      </c>
      <c r="H385" s="430"/>
      <c r="I385" s="602" t="str">
        <f>+'[2]MSFR Inc Stmt by Acct - SCH C.2'!K391</f>
        <v>403.</v>
      </c>
      <c r="J385" s="430"/>
      <c r="L385" s="601">
        <f>+'[2]MSFR Inc Stmt by Acct - SCH C.2'!Q391</f>
        <v>2835987.9641897418</v>
      </c>
    </row>
    <row r="386" spans="1:12" ht="16.149999999999999" customHeight="1" x14ac:dyDescent="0.2">
      <c r="A386" s="422"/>
      <c r="C386" s="430">
        <f>+'[2]MSFR Inc Stmt by Acct - SCH C.2'!E392</f>
        <v>0</v>
      </c>
      <c r="D386" s="430"/>
      <c r="E386" s="603">
        <f>+'[2]MSFR Inc Stmt by Acct - SCH C.2'!G392</f>
        <v>68312000</v>
      </c>
      <c r="F386" s="430"/>
      <c r="G386" s="430" t="str">
        <f>+'[2]MSFR Inc Stmt by Acct - SCH C.2'!I392</f>
        <v>Rmv Csts-NNS CIAC Tx</v>
      </c>
      <c r="H386" s="430"/>
      <c r="I386" s="602" t="str">
        <f>+'[2]MSFR Inc Stmt by Acct - SCH C.2'!K392</f>
        <v>403.</v>
      </c>
      <c r="J386" s="430"/>
      <c r="L386" s="601">
        <f>+'[2]MSFR Inc Stmt by Acct - SCH C.2'!Q392</f>
        <v>-293146.12640866195</v>
      </c>
    </row>
    <row r="387" spans="1:12" ht="16.149999999999999" customHeight="1" x14ac:dyDescent="0.2">
      <c r="A387" s="422"/>
      <c r="C387" s="430">
        <f>+'[2]MSFR Inc Stmt by Acct - SCH C.2'!E393</f>
        <v>0</v>
      </c>
      <c r="D387" s="430"/>
      <c r="E387" s="603">
        <f>+'[2]MSFR Inc Stmt by Acct - SCH C.2'!G393</f>
        <v>68312500</v>
      </c>
      <c r="F387" s="430"/>
      <c r="G387" s="430" t="str">
        <f>+'[2]MSFR Inc Stmt by Acct - SCH C.2'!I393</f>
        <v>Rmv Csts-NNS CIAC NT</v>
      </c>
      <c r="H387" s="430"/>
      <c r="I387" s="602" t="str">
        <f>+'[2]MSFR Inc Stmt by Acct - SCH C.2'!K393</f>
        <v>403.</v>
      </c>
      <c r="J387" s="430"/>
      <c r="L387" s="601">
        <f>+'[2]MSFR Inc Stmt by Acct - SCH C.2'!Q393</f>
        <v>-126629.23564919998</v>
      </c>
    </row>
    <row r="388" spans="1:12" ht="16.149999999999999" customHeight="1" x14ac:dyDescent="0.2">
      <c r="A388" s="422"/>
      <c r="C388" s="430">
        <f>+'[2]MSFR Inc Stmt by Acct - SCH C.2'!E394</f>
        <v>0</v>
      </c>
      <c r="D388" s="430"/>
      <c r="E388" s="603">
        <f>+'[2]MSFR Inc Stmt by Acct - SCH C.2'!G394</f>
        <v>0</v>
      </c>
      <c r="F388" s="430"/>
      <c r="G388" s="430">
        <f>+'[2]MSFR Inc Stmt by Acct - SCH C.2'!I394</f>
        <v>0</v>
      </c>
      <c r="H388" s="430"/>
      <c r="I388" s="602" t="str">
        <f>+'[2]MSFR Inc Stmt by Acct - SCH C.2'!K394</f>
        <v>Total</v>
      </c>
      <c r="J388" s="430"/>
      <c r="L388" s="601">
        <f>+'[2]MSFR Inc Stmt by Acct - SCH C.2'!Q394</f>
        <v>14948094.602131879</v>
      </c>
    </row>
    <row r="389" spans="1:12" ht="16.149999999999999" customHeight="1" x14ac:dyDescent="0.2">
      <c r="A389" s="422"/>
      <c r="C389" s="430">
        <f>+'[2]MSFR Inc Stmt by Acct - SCH C.2'!E395</f>
        <v>0</v>
      </c>
      <c r="D389" s="430"/>
      <c r="E389" s="603">
        <f>+'[2]MSFR Inc Stmt by Acct - SCH C.2'!G395</f>
        <v>0</v>
      </c>
      <c r="F389" s="430"/>
      <c r="G389" s="430">
        <f>+'[2]MSFR Inc Stmt by Acct - SCH C.2'!I395</f>
        <v>0</v>
      </c>
      <c r="H389" s="430"/>
      <c r="I389" s="602">
        <f>+'[2]MSFR Inc Stmt by Acct - SCH C.2'!K395</f>
        <v>0</v>
      </c>
      <c r="J389" s="430"/>
      <c r="L389" s="601">
        <f>+'[2]MSFR Inc Stmt by Acct - SCH C.2'!Q395</f>
        <v>0</v>
      </c>
    </row>
    <row r="390" spans="1:12" ht="16.149999999999999" customHeight="1" x14ac:dyDescent="0.2">
      <c r="A390" s="422"/>
      <c r="C390" s="430" t="str">
        <f>+'[2]MSFR Inc Stmt by Acct - SCH C.2'!E396</f>
        <v>Amortization</v>
      </c>
      <c r="D390" s="430"/>
      <c r="E390" s="603">
        <f>+'[2]MSFR Inc Stmt by Acct - SCH C.2'!G396</f>
        <v>68254000</v>
      </c>
      <c r="F390" s="430"/>
      <c r="G390" s="430" t="str">
        <f>+'[2]MSFR Inc Stmt by Acct - SCH C.2'!I396</f>
        <v>Amort-RegAsset AFUDC</v>
      </c>
      <c r="H390" s="430"/>
      <c r="I390" s="602" t="str">
        <f>+'[2]MSFR Inc Stmt by Acct - SCH C.2'!K396</f>
        <v>407.1</v>
      </c>
      <c r="J390" s="430"/>
      <c r="L390" s="601">
        <f>+'[2]MSFR Inc Stmt by Acct - SCH C.2'!Q396</f>
        <v>170039</v>
      </c>
    </row>
    <row r="391" spans="1:12" ht="16.149999999999999" customHeight="1" x14ac:dyDescent="0.2">
      <c r="A391" s="422"/>
      <c r="C391" s="430">
        <f>+'[2]MSFR Inc Stmt by Acct - SCH C.2'!E397</f>
        <v>0</v>
      </c>
      <c r="D391" s="430"/>
      <c r="E391" s="603">
        <f>+'[2]MSFR Inc Stmt by Acct - SCH C.2'!G397</f>
        <v>68255000</v>
      </c>
      <c r="F391" s="430"/>
      <c r="G391" s="430" t="str">
        <f>+'[2]MSFR Inc Stmt by Acct - SCH C.2'!I397</f>
        <v>Amort-UPAA</v>
      </c>
      <c r="H391" s="430"/>
      <c r="I391" s="602" t="str">
        <f>+'[2]MSFR Inc Stmt by Acct - SCH C.2'!K397</f>
        <v>406.</v>
      </c>
      <c r="J391" s="430"/>
      <c r="L391" s="601">
        <f>+'[2]MSFR Inc Stmt by Acct - SCH C.2'!Q397</f>
        <v>0</v>
      </c>
    </row>
    <row r="392" spans="1:12" ht="16.149999999999999" customHeight="1" x14ac:dyDescent="0.2">
      <c r="A392" s="422"/>
      <c r="C392" s="430">
        <f>+'[2]MSFR Inc Stmt by Acct - SCH C.2'!E398</f>
        <v>0</v>
      </c>
      <c r="D392" s="430"/>
      <c r="E392" s="603">
        <f>+'[2]MSFR Inc Stmt by Acct - SCH C.2'!G398</f>
        <v>68257000</v>
      </c>
      <c r="F392" s="430"/>
      <c r="G392" s="430" t="str">
        <f>+'[2]MSFR Inc Stmt by Acct - SCH C.2'!I398</f>
        <v>Amort-Prop Losses</v>
      </c>
      <c r="H392" s="430"/>
      <c r="I392" s="602" t="str">
        <f>+'[2]MSFR Inc Stmt by Acct - SCH C.2'!K398</f>
        <v>407.2</v>
      </c>
      <c r="J392" s="430"/>
      <c r="L392" s="601">
        <f>+'[2]MSFR Inc Stmt by Acct - SCH C.2'!Q398</f>
        <v>57088</v>
      </c>
    </row>
    <row r="393" spans="1:12" ht="16.149999999999999" customHeight="1" x14ac:dyDescent="0.2">
      <c r="A393" s="422"/>
      <c r="C393" s="430">
        <f>+'[2]MSFR Inc Stmt by Acct - SCH C.2'!E399</f>
        <v>0</v>
      </c>
      <c r="D393" s="430"/>
      <c r="E393" s="603">
        <f>+'[2]MSFR Inc Stmt by Acct - SCH C.2'!G399</f>
        <v>68258000</v>
      </c>
      <c r="F393" s="430"/>
      <c r="G393" s="430" t="str">
        <f>+'[2]MSFR Inc Stmt by Acct - SCH C.2'!I399</f>
        <v>Amort-Reg Asset</v>
      </c>
      <c r="H393" s="430"/>
      <c r="I393" s="602" t="str">
        <f>+'[2]MSFR Inc Stmt by Acct - SCH C.2'!K399</f>
        <v>407.4</v>
      </c>
      <c r="J393" s="430"/>
      <c r="L393" s="601">
        <f>+'[2]MSFR Inc Stmt by Acct - SCH C.2'!Q399</f>
        <v>0</v>
      </c>
    </row>
    <row r="394" spans="1:12" ht="16.149999999999999" customHeight="1" x14ac:dyDescent="0.2">
      <c r="A394" s="422"/>
      <c r="C394" s="430">
        <f>+'[2]MSFR Inc Stmt by Acct - SCH C.2'!E400</f>
        <v>0</v>
      </c>
      <c r="D394" s="430"/>
      <c r="E394" s="603">
        <f>+'[2]MSFR Inc Stmt by Acct - SCH C.2'!G400</f>
        <v>0</v>
      </c>
      <c r="F394" s="430"/>
      <c r="G394" s="430">
        <f>+'[2]MSFR Inc Stmt by Acct - SCH C.2'!I400</f>
        <v>0</v>
      </c>
      <c r="H394" s="430"/>
      <c r="I394" s="602">
        <f>+'[2]MSFR Inc Stmt by Acct - SCH C.2'!K400</f>
        <v>0</v>
      </c>
      <c r="J394" s="430"/>
      <c r="L394" s="601">
        <f>+'[2]MSFR Inc Stmt by Acct - SCH C.2'!Q400</f>
        <v>227127</v>
      </c>
    </row>
    <row r="395" spans="1:12" ht="16.149999999999999" customHeight="1" x14ac:dyDescent="0.2">
      <c r="A395" s="422"/>
      <c r="C395" s="430">
        <f>+'[2]MSFR Inc Stmt by Acct - SCH C.2'!E401</f>
        <v>0</v>
      </c>
      <c r="D395" s="430"/>
      <c r="E395" s="603">
        <f>+'[2]MSFR Inc Stmt by Acct - SCH C.2'!G401</f>
        <v>0</v>
      </c>
      <c r="F395" s="430"/>
      <c r="G395" s="430">
        <f>+'[2]MSFR Inc Stmt by Acct - SCH C.2'!I401</f>
        <v>0</v>
      </c>
      <c r="H395" s="430"/>
      <c r="I395" s="602">
        <f>+'[2]MSFR Inc Stmt by Acct - SCH C.2'!K401</f>
        <v>0</v>
      </c>
      <c r="J395" s="430"/>
      <c r="L395" s="601">
        <f>+'[2]MSFR Inc Stmt by Acct - SCH C.2'!Q401</f>
        <v>0</v>
      </c>
    </row>
    <row r="396" spans="1:12" ht="16.149999999999999" customHeight="1" x14ac:dyDescent="0.2">
      <c r="A396" s="422"/>
      <c r="C396" s="430" t="str">
        <f>+'[2]MSFR Inc Stmt by Acct - SCH C.2'!E402</f>
        <v>Current federal income taxes - operating</v>
      </c>
      <c r="D396" s="430"/>
      <c r="E396" s="603">
        <f>+'[2]MSFR Inc Stmt by Acct - SCH C.2'!G402</f>
        <v>69011000</v>
      </c>
      <c r="F396" s="430"/>
      <c r="G396" s="430" t="str">
        <f>+'[2]MSFR Inc Stmt by Acct - SCH C.2'!I402</f>
        <v>FIT-Current</v>
      </c>
      <c r="H396" s="430"/>
      <c r="I396" s="602" t="str">
        <f>+'[2]MSFR Inc Stmt by Acct - SCH C.2'!K402</f>
        <v>409.10</v>
      </c>
      <c r="J396" s="430"/>
      <c r="L396" s="601">
        <f>+'[2]MSFR Inc Stmt by Acct - SCH C.2'!Q402</f>
        <v>5055681.1258296194</v>
      </c>
    </row>
    <row r="397" spans="1:12" ht="16.149999999999999" customHeight="1" x14ac:dyDescent="0.2">
      <c r="A397" s="422"/>
      <c r="C397" s="430">
        <f>+'[2]MSFR Inc Stmt by Acct - SCH C.2'!E403</f>
        <v>0</v>
      </c>
      <c r="D397" s="430"/>
      <c r="E397" s="603">
        <f>+'[2]MSFR Inc Stmt by Acct - SCH C.2'!G403</f>
        <v>69012000</v>
      </c>
      <c r="F397" s="430"/>
      <c r="G397" s="430" t="str">
        <f>+'[2]MSFR Inc Stmt by Acct - SCH C.2'!I403</f>
        <v>FIT-Prior Year Adj</v>
      </c>
      <c r="H397" s="430"/>
      <c r="I397" s="602" t="str">
        <f>+'[2]MSFR Inc Stmt by Acct - SCH C.2'!K403</f>
        <v>409.10</v>
      </c>
      <c r="J397" s="430"/>
      <c r="L397" s="601">
        <f>+'[2]MSFR Inc Stmt by Acct - SCH C.2'!Q403</f>
        <v>0</v>
      </c>
    </row>
    <row r="398" spans="1:12" ht="16.149999999999999" customHeight="1" x14ac:dyDescent="0.2">
      <c r="A398" s="422"/>
      <c r="C398" s="430">
        <f>+'[2]MSFR Inc Stmt by Acct - SCH C.2'!E404</f>
        <v>0</v>
      </c>
      <c r="D398" s="430"/>
      <c r="E398" s="603">
        <f>+'[2]MSFR Inc Stmt by Acct - SCH C.2'!G404</f>
        <v>69021000</v>
      </c>
      <c r="F398" s="430"/>
      <c r="G398" s="430" t="str">
        <f>+'[2]MSFR Inc Stmt by Acct - SCH C.2'!I404</f>
        <v>SIT-Current</v>
      </c>
      <c r="H398" s="430"/>
      <c r="I398" s="602" t="str">
        <f>+'[2]MSFR Inc Stmt by Acct - SCH C.2'!K404</f>
        <v>409.11</v>
      </c>
      <c r="J398" s="430"/>
      <c r="L398" s="601">
        <f>+'[2]MSFR Inc Stmt by Acct - SCH C.2'!Q404</f>
        <v>1140794.7924041064</v>
      </c>
    </row>
    <row r="399" spans="1:12" ht="16.149999999999999" customHeight="1" x14ac:dyDescent="0.2">
      <c r="A399" s="422"/>
      <c r="C399" s="430">
        <f>+'[2]MSFR Inc Stmt by Acct - SCH C.2'!E405</f>
        <v>0</v>
      </c>
      <c r="D399" s="430"/>
      <c r="E399" s="603">
        <f>+'[2]MSFR Inc Stmt by Acct - SCH C.2'!G405</f>
        <v>69022000</v>
      </c>
      <c r="F399" s="430"/>
      <c r="G399" s="430" t="str">
        <f>+'[2]MSFR Inc Stmt by Acct - SCH C.2'!I405</f>
        <v>SIT-Prior Year Adj</v>
      </c>
      <c r="H399" s="430"/>
      <c r="I399" s="602" t="str">
        <f>+'[2]MSFR Inc Stmt by Acct - SCH C.2'!K405</f>
        <v>409.11</v>
      </c>
      <c r="J399" s="430"/>
      <c r="L399" s="601">
        <f>+'[2]MSFR Inc Stmt by Acct - SCH C.2'!Q405</f>
        <v>0</v>
      </c>
    </row>
    <row r="400" spans="1:12" ht="16.149999999999999" customHeight="1" x14ac:dyDescent="0.2">
      <c r="A400" s="422"/>
      <c r="C400" s="430">
        <f>+'[2]MSFR Inc Stmt by Acct - SCH C.2'!E406</f>
        <v>0</v>
      </c>
      <c r="D400" s="430"/>
      <c r="E400" s="603">
        <f>+'[2]MSFR Inc Stmt by Acct - SCH C.2'!G406</f>
        <v>0</v>
      </c>
      <c r="F400" s="430"/>
      <c r="G400" s="430">
        <f>+'[2]MSFR Inc Stmt by Acct - SCH C.2'!I406</f>
        <v>0</v>
      </c>
      <c r="H400" s="430"/>
      <c r="I400" s="602">
        <f>+'[2]MSFR Inc Stmt by Acct - SCH C.2'!K406</f>
        <v>0</v>
      </c>
      <c r="J400" s="430"/>
      <c r="L400" s="601">
        <f>+'[2]MSFR Inc Stmt by Acct - SCH C.2'!Q406</f>
        <v>6196475.9182337262</v>
      </c>
    </row>
    <row r="401" spans="1:12" ht="16.149999999999999" customHeight="1" x14ac:dyDescent="0.2">
      <c r="A401" s="422"/>
      <c r="C401" s="430">
        <f>+'[2]MSFR Inc Stmt by Acct - SCH C.2'!E407</f>
        <v>0</v>
      </c>
      <c r="D401" s="430"/>
      <c r="E401" s="603">
        <f>+'[2]MSFR Inc Stmt by Acct - SCH C.2'!G407</f>
        <v>0</v>
      </c>
      <c r="F401" s="430"/>
      <c r="G401" s="430">
        <f>+'[2]MSFR Inc Stmt by Acct - SCH C.2'!I407</f>
        <v>0</v>
      </c>
      <c r="H401" s="430"/>
      <c r="I401" s="602">
        <f>+'[2]MSFR Inc Stmt by Acct - SCH C.2'!K407</f>
        <v>0</v>
      </c>
      <c r="J401" s="430"/>
      <c r="L401" s="601">
        <f>+'[2]MSFR Inc Stmt by Acct - SCH C.2'!Q407</f>
        <v>0</v>
      </c>
    </row>
    <row r="402" spans="1:12" ht="16.149999999999999" customHeight="1" x14ac:dyDescent="0.2">
      <c r="A402" s="422"/>
      <c r="C402" s="430" t="str">
        <f>+'[2]MSFR Inc Stmt by Acct - SCH C.2'!E408</f>
        <v>Deferred federal income tax expense</v>
      </c>
      <c r="D402" s="430"/>
      <c r="E402" s="603">
        <f>+'[2]MSFR Inc Stmt by Acct - SCH C.2'!G408</f>
        <v>69061000</v>
      </c>
      <c r="F402" s="430"/>
      <c r="G402" s="430" t="str">
        <f>+'[2]MSFR Inc Stmt by Acct - SCH C.2'!I408</f>
        <v>Def FIT-Current Year</v>
      </c>
      <c r="H402" s="430"/>
      <c r="I402" s="602" t="str">
        <f>+'[2]MSFR Inc Stmt by Acct - SCH C.2'!K408</f>
        <v>410.10</v>
      </c>
      <c r="J402" s="430"/>
      <c r="L402" s="601">
        <f>+'[2]MSFR Inc Stmt by Acct - SCH C.2'!Q408</f>
        <v>0</v>
      </c>
    </row>
    <row r="403" spans="1:12" ht="16.149999999999999" customHeight="1" x14ac:dyDescent="0.2">
      <c r="A403" s="422"/>
      <c r="C403" s="430">
        <f>+'[2]MSFR Inc Stmt by Acct - SCH C.2'!E409</f>
        <v>0</v>
      </c>
      <c r="D403" s="430"/>
      <c r="E403" s="603">
        <f>+'[2]MSFR Inc Stmt by Acct - SCH C.2'!G409</f>
        <v>69062000</v>
      </c>
      <c r="F403" s="430"/>
      <c r="G403" s="430" t="str">
        <f>+'[2]MSFR Inc Stmt by Acct - SCH C.2'!I409</f>
        <v>Def FIT-Pr Yr Adj</v>
      </c>
      <c r="H403" s="430"/>
      <c r="I403" s="602" t="str">
        <f>+'[2]MSFR Inc Stmt by Acct - SCH C.2'!K409</f>
        <v>410.10</v>
      </c>
      <c r="J403" s="430"/>
      <c r="L403" s="601">
        <f>+'[2]MSFR Inc Stmt by Acct - SCH C.2'!Q409</f>
        <v>0</v>
      </c>
    </row>
    <row r="404" spans="1:12" ht="16.149999999999999" customHeight="1" x14ac:dyDescent="0.2">
      <c r="A404" s="422"/>
      <c r="C404" s="430">
        <f>+'[2]MSFR Inc Stmt by Acct - SCH C.2'!E410</f>
        <v>0</v>
      </c>
      <c r="D404" s="430"/>
      <c r="E404" s="603">
        <f>+'[2]MSFR Inc Stmt by Acct - SCH C.2'!G410</f>
        <v>69063000</v>
      </c>
      <c r="F404" s="430"/>
      <c r="G404" s="430" t="str">
        <f>+'[2]MSFR Inc Stmt by Acct - SCH C.2'!I410</f>
        <v>Def FIT-RegAsst/Liab</v>
      </c>
      <c r="H404" s="430"/>
      <c r="I404" s="602" t="str">
        <f>+'[2]MSFR Inc Stmt by Acct - SCH C.2'!K410</f>
        <v>410.10</v>
      </c>
      <c r="J404" s="430"/>
      <c r="L404" s="601">
        <f>+'[2]MSFR Inc Stmt by Acct - SCH C.2'!Q410</f>
        <v>-167105.66502688162</v>
      </c>
    </row>
    <row r="405" spans="1:12" x14ac:dyDescent="0.2">
      <c r="A405" s="422"/>
      <c r="C405" s="430">
        <f>+'[2]MSFR Inc Stmt by Acct - SCH C.2'!E411</f>
        <v>0</v>
      </c>
      <c r="D405" s="430"/>
      <c r="E405" s="603">
        <f>+'[2]MSFR Inc Stmt by Acct - SCH C.2'!G411</f>
        <v>69063200</v>
      </c>
      <c r="F405" s="430"/>
      <c r="G405" s="430" t="str">
        <f>+'[2]MSFR Inc Stmt by Acct - SCH C.2'!I411</f>
        <v>Def FIT-Reg Liability</v>
      </c>
      <c r="H405" s="430"/>
      <c r="I405" s="602" t="str">
        <f>+'[2]MSFR Inc Stmt by Acct - SCH C.2'!K411</f>
        <v>410.10</v>
      </c>
      <c r="J405" s="430"/>
      <c r="L405" s="601">
        <f>+'[2]MSFR Inc Stmt by Acct - SCH C.2'!Q411</f>
        <v>0</v>
      </c>
    </row>
    <row r="406" spans="1:12" x14ac:dyDescent="0.2">
      <c r="A406" s="422"/>
      <c r="C406" s="430">
        <f>+'[2]MSFR Inc Stmt by Acct - SCH C.2'!E412</f>
        <v>0</v>
      </c>
      <c r="D406" s="430"/>
      <c r="E406" s="603">
        <f>+'[2]MSFR Inc Stmt by Acct - SCH C.2'!G412</f>
        <v>69065000</v>
      </c>
      <c r="F406" s="430"/>
      <c r="G406" s="430" t="str">
        <f>+'[2]MSFR Inc Stmt by Acct - SCH C.2'!I412</f>
        <v>Def FIT-Other</v>
      </c>
      <c r="H406" s="430"/>
      <c r="I406" s="602" t="str">
        <f>+'[2]MSFR Inc Stmt by Acct - SCH C.2'!K412</f>
        <v>410.10</v>
      </c>
      <c r="J406" s="430"/>
      <c r="L406" s="601">
        <f>+'[2]MSFR Inc Stmt by Acct - SCH C.2'!Q412</f>
        <v>1671351.6525110779</v>
      </c>
    </row>
    <row r="407" spans="1:12" x14ac:dyDescent="0.2">
      <c r="A407" s="422"/>
      <c r="C407" s="430">
        <f>+'[2]MSFR Inc Stmt by Acct - SCH C.2'!E413</f>
        <v>0</v>
      </c>
      <c r="D407" s="430"/>
      <c r="E407" s="603">
        <f>+'[2]MSFR Inc Stmt by Acct - SCH C.2'!G413</f>
        <v>69071000</v>
      </c>
      <c r="F407" s="430"/>
      <c r="G407" s="430" t="str">
        <f>+'[2]MSFR Inc Stmt by Acct - SCH C.2'!I413</f>
        <v>Def SIT-Current Year</v>
      </c>
      <c r="H407" s="430"/>
      <c r="I407" s="602" t="str">
        <f>+'[2]MSFR Inc Stmt by Acct - SCH C.2'!K413</f>
        <v>410.11</v>
      </c>
      <c r="J407" s="430"/>
      <c r="L407" s="601">
        <f>+'[2]MSFR Inc Stmt by Acct - SCH C.2'!Q413</f>
        <v>0</v>
      </c>
    </row>
    <row r="408" spans="1:12" x14ac:dyDescent="0.2">
      <c r="A408" s="422"/>
      <c r="C408" s="430">
        <f>+'[2]MSFR Inc Stmt by Acct - SCH C.2'!E414</f>
        <v>0</v>
      </c>
      <c r="D408" s="430"/>
      <c r="E408" s="603">
        <f>+'[2]MSFR Inc Stmt by Acct - SCH C.2'!G414</f>
        <v>69072000</v>
      </c>
      <c r="F408" s="430"/>
      <c r="G408" s="430" t="str">
        <f>+'[2]MSFR Inc Stmt by Acct - SCH C.2'!I414</f>
        <v>Def SIT-Pr Yr Adj</v>
      </c>
      <c r="H408" s="430"/>
      <c r="I408" s="602" t="str">
        <f>+'[2]MSFR Inc Stmt by Acct - SCH C.2'!K414</f>
        <v>410.11</v>
      </c>
      <c r="J408" s="430"/>
      <c r="L408" s="601">
        <f>+'[2]MSFR Inc Stmt by Acct - SCH C.2'!Q414</f>
        <v>0</v>
      </c>
    </row>
    <row r="409" spans="1:12" x14ac:dyDescent="0.2">
      <c r="A409" s="422"/>
      <c r="C409" s="430">
        <f>+'[2]MSFR Inc Stmt by Acct - SCH C.2'!E415</f>
        <v>0</v>
      </c>
      <c r="D409" s="430"/>
      <c r="E409" s="603">
        <f>+'[2]MSFR Inc Stmt by Acct - SCH C.2'!G415</f>
        <v>69073000</v>
      </c>
      <c r="F409" s="430"/>
      <c r="G409" s="430" t="str">
        <f>+'[2]MSFR Inc Stmt by Acct - SCH C.2'!I415</f>
        <v>Def SIT-RegAsst/Liab</v>
      </c>
      <c r="H409" s="430"/>
      <c r="I409" s="602" t="str">
        <f>+'[2]MSFR Inc Stmt by Acct - SCH C.2'!K415</f>
        <v>410.11</v>
      </c>
      <c r="J409" s="430"/>
      <c r="L409" s="601">
        <f>+'[2]MSFR Inc Stmt by Acct - SCH C.2'!Q415</f>
        <v>-66551</v>
      </c>
    </row>
    <row r="410" spans="1:12" x14ac:dyDescent="0.2">
      <c r="A410" s="422"/>
      <c r="C410" s="430">
        <f>+'[2]MSFR Inc Stmt by Acct - SCH C.2'!E416</f>
        <v>0</v>
      </c>
      <c r="D410" s="430"/>
      <c r="E410" s="603">
        <f>+'[2]MSFR Inc Stmt by Acct - SCH C.2'!G416</f>
        <v>69073200</v>
      </c>
      <c r="F410" s="430"/>
      <c r="G410" s="430" t="str">
        <f>+'[2]MSFR Inc Stmt by Acct - SCH C.2'!I416</f>
        <v>Def SIT-Reg Liability</v>
      </c>
      <c r="H410" s="430"/>
      <c r="I410" s="602" t="str">
        <f>+'[2]MSFR Inc Stmt by Acct - SCH C.2'!K416</f>
        <v>410.11</v>
      </c>
      <c r="J410" s="430"/>
      <c r="L410" s="601">
        <f>+'[2]MSFR Inc Stmt by Acct - SCH C.2'!Q416</f>
        <v>0</v>
      </c>
    </row>
    <row r="411" spans="1:12" x14ac:dyDescent="0.2">
      <c r="A411" s="422"/>
      <c r="C411" s="430">
        <f>+'[2]MSFR Inc Stmt by Acct - SCH C.2'!E417</f>
        <v>0</v>
      </c>
      <c r="D411" s="430"/>
      <c r="E411" s="603">
        <f>+'[2]MSFR Inc Stmt by Acct - SCH C.2'!G417</f>
        <v>69073500</v>
      </c>
      <c r="F411" s="430"/>
      <c r="G411" s="430" t="str">
        <f>+'[2]MSFR Inc Stmt by Acct - SCH C.2'!I417</f>
        <v>Def SIT-Other</v>
      </c>
      <c r="H411" s="430"/>
      <c r="I411" s="602" t="str">
        <f>+'[2]MSFR Inc Stmt by Acct - SCH C.2'!K417</f>
        <v>410.11</v>
      </c>
      <c r="J411" s="430"/>
      <c r="L411" s="601">
        <f>+'[2]MSFR Inc Stmt by Acct - SCH C.2'!Q417</f>
        <v>90267.632217297913</v>
      </c>
    </row>
    <row r="412" spans="1:12" x14ac:dyDescent="0.2">
      <c r="A412" s="422"/>
      <c r="C412" s="430">
        <f>+'[2]MSFR Inc Stmt by Acct - SCH C.2'!E418</f>
        <v>0</v>
      </c>
      <c r="D412" s="430"/>
      <c r="E412" s="603">
        <f>+'[2]MSFR Inc Stmt by Acct - SCH C.2'!G418</f>
        <v>0</v>
      </c>
      <c r="F412" s="430"/>
      <c r="G412" s="430">
        <f>+'[2]MSFR Inc Stmt by Acct - SCH C.2'!I418</f>
        <v>0</v>
      </c>
      <c r="H412" s="430"/>
      <c r="I412" s="602">
        <f>+'[2]MSFR Inc Stmt by Acct - SCH C.2'!K418</f>
        <v>0</v>
      </c>
      <c r="J412" s="430"/>
      <c r="L412" s="601">
        <f>+'[2]MSFR Inc Stmt by Acct - SCH C.2'!Q418</f>
        <v>1527962.619701494</v>
      </c>
    </row>
    <row r="413" spans="1:12" x14ac:dyDescent="0.2">
      <c r="A413" s="422"/>
      <c r="C413" s="430">
        <f>+'[2]MSFR Inc Stmt by Acct - SCH C.2'!E419</f>
        <v>0</v>
      </c>
      <c r="D413" s="430"/>
      <c r="E413" s="603">
        <f>+'[2]MSFR Inc Stmt by Acct - SCH C.2'!G419</f>
        <v>0</v>
      </c>
      <c r="F413" s="430"/>
      <c r="G413" s="430">
        <f>+'[2]MSFR Inc Stmt by Acct - SCH C.2'!I419</f>
        <v>0</v>
      </c>
      <c r="H413" s="430"/>
      <c r="I413" s="602">
        <f>+'[2]MSFR Inc Stmt by Acct - SCH C.2'!K419</f>
        <v>0</v>
      </c>
      <c r="J413" s="430"/>
      <c r="L413" s="601">
        <f>+'[2]MSFR Inc Stmt by Acct - SCH C.2'!Q419</f>
        <v>0</v>
      </c>
    </row>
    <row r="414" spans="1:12" ht="25.5" x14ac:dyDescent="0.2">
      <c r="A414" s="422"/>
      <c r="C414" s="430" t="str">
        <f>+'[2]MSFR Inc Stmt by Acct - SCH C.2'!E420</f>
        <v>Amortization of investment tax credits</v>
      </c>
      <c r="D414" s="430"/>
      <c r="E414" s="603">
        <f>+'[2]MSFR Inc Stmt by Acct - SCH C.2'!G420</f>
        <v>69520000</v>
      </c>
      <c r="F414" s="430"/>
      <c r="G414" s="430" t="str">
        <f>+'[2]MSFR Inc Stmt by Acct - SCH C.2'!I420</f>
        <v>ITC Restored FIT</v>
      </c>
      <c r="H414" s="430"/>
      <c r="I414" s="602" t="str">
        <f>+'[2]MSFR Inc Stmt by Acct - SCH C.2'!K420</f>
        <v>412.11</v>
      </c>
      <c r="J414" s="430"/>
      <c r="L414" s="601">
        <f>+'[2]MSFR Inc Stmt by Acct - SCH C.2'!Q420</f>
        <v>0</v>
      </c>
    </row>
    <row r="415" spans="1:12" x14ac:dyDescent="0.2">
      <c r="A415" s="422"/>
      <c r="C415" s="430">
        <f>+'[2]MSFR Inc Stmt by Acct - SCH C.2'!E421</f>
        <v>0</v>
      </c>
      <c r="D415" s="430"/>
      <c r="E415" s="603">
        <f>+'[2]MSFR Inc Stmt by Acct - SCH C.2'!G421</f>
        <v>69522000</v>
      </c>
      <c r="F415" s="430"/>
      <c r="G415" s="430" t="str">
        <f>+'[2]MSFR Inc Stmt by Acct - SCH C.2'!I421</f>
        <v>ITC Restored-3%</v>
      </c>
      <c r="H415" s="430"/>
      <c r="I415" s="602" t="str">
        <f>+'[2]MSFR Inc Stmt by Acct - SCH C.2'!K421</f>
        <v>412.11</v>
      </c>
      <c r="J415" s="430"/>
      <c r="L415" s="601">
        <f>+'[2]MSFR Inc Stmt by Acct - SCH C.2'!Q421</f>
        <v>-6904.413246532692</v>
      </c>
    </row>
    <row r="416" spans="1:12" x14ac:dyDescent="0.2">
      <c r="A416" s="422"/>
      <c r="C416" s="430">
        <f>+'[2]MSFR Inc Stmt by Acct - SCH C.2'!E422</f>
        <v>0</v>
      </c>
      <c r="D416" s="430"/>
      <c r="E416" s="603">
        <f>+'[2]MSFR Inc Stmt by Acct - SCH C.2'!G422</f>
        <v>69523000</v>
      </c>
      <c r="F416" s="430"/>
      <c r="G416" s="430" t="str">
        <f>+'[2]MSFR Inc Stmt by Acct - SCH C.2'!I422</f>
        <v>ITC Restored-4%</v>
      </c>
      <c r="H416" s="430"/>
      <c r="I416" s="602" t="str">
        <f>+'[2]MSFR Inc Stmt by Acct - SCH C.2'!K422</f>
        <v>412.11</v>
      </c>
      <c r="J416" s="430"/>
      <c r="L416" s="601">
        <f>+'[2]MSFR Inc Stmt by Acct - SCH C.2'!Q422</f>
        <v>-5681.5312765355229</v>
      </c>
    </row>
    <row r="417" spans="1:12" x14ac:dyDescent="0.2">
      <c r="A417" s="422"/>
      <c r="C417" s="430">
        <f>+'[2]MSFR Inc Stmt by Acct - SCH C.2'!E423</f>
        <v>0</v>
      </c>
      <c r="D417" s="430"/>
      <c r="E417" s="603">
        <f>+'[2]MSFR Inc Stmt by Acct - SCH C.2'!G423</f>
        <v>69524000</v>
      </c>
      <c r="F417" s="430"/>
      <c r="G417" s="430" t="str">
        <f>+'[2]MSFR Inc Stmt by Acct - SCH C.2'!I423</f>
        <v>ITC Restored-10%</v>
      </c>
      <c r="H417" s="430"/>
      <c r="I417" s="602" t="str">
        <f>+'[2]MSFR Inc Stmt by Acct - SCH C.2'!K423</f>
        <v>412.11</v>
      </c>
      <c r="J417" s="430"/>
      <c r="L417" s="601">
        <f>+'[2]MSFR Inc Stmt by Acct - SCH C.2'!Q423</f>
        <v>-63882.05547693179</v>
      </c>
    </row>
    <row r="418" spans="1:12" x14ac:dyDescent="0.2">
      <c r="A418" s="422"/>
      <c r="C418" s="430">
        <f>+'[2]MSFR Inc Stmt by Acct - SCH C.2'!E424</f>
        <v>0</v>
      </c>
      <c r="D418" s="430"/>
      <c r="E418" s="603">
        <f>+'[2]MSFR Inc Stmt by Acct - SCH C.2'!G424</f>
        <v>0</v>
      </c>
      <c r="F418" s="430"/>
      <c r="G418" s="430">
        <f>+'[2]MSFR Inc Stmt by Acct - SCH C.2'!I424</f>
        <v>0</v>
      </c>
      <c r="H418" s="430"/>
      <c r="I418" s="602">
        <f>+'[2]MSFR Inc Stmt by Acct - SCH C.2'!K424</f>
        <v>0</v>
      </c>
      <c r="J418" s="430"/>
      <c r="L418" s="601">
        <f>+'[2]MSFR Inc Stmt by Acct - SCH C.2'!Q424</f>
        <v>-76468</v>
      </c>
    </row>
    <row r="419" spans="1:12" x14ac:dyDescent="0.2">
      <c r="A419" s="422"/>
      <c r="C419" s="430">
        <f>+'[2]MSFR Inc Stmt by Acct - SCH C.2'!E425</f>
        <v>0</v>
      </c>
      <c r="D419" s="430"/>
      <c r="E419" s="603">
        <f>+'[2]MSFR Inc Stmt by Acct - SCH C.2'!G425</f>
        <v>0</v>
      </c>
      <c r="F419" s="430"/>
      <c r="G419" s="430">
        <f>+'[2]MSFR Inc Stmt by Acct - SCH C.2'!I425</f>
        <v>0</v>
      </c>
      <c r="H419" s="430"/>
      <c r="I419" s="602">
        <f>+'[2]MSFR Inc Stmt by Acct - SCH C.2'!K425</f>
        <v>0</v>
      </c>
      <c r="J419" s="430"/>
      <c r="L419" s="601">
        <f>+'[2]MSFR Inc Stmt by Acct - SCH C.2'!Q425</f>
        <v>0</v>
      </c>
    </row>
    <row r="420" spans="1:12" x14ac:dyDescent="0.2">
      <c r="A420" s="422"/>
      <c r="C420" s="430" t="str">
        <f>+'[2]MSFR Inc Stmt by Acct - SCH C.2'!E426</f>
        <v>General taxes</v>
      </c>
      <c r="D420" s="430"/>
      <c r="E420" s="603">
        <f>+'[2]MSFR Inc Stmt by Acct - SCH C.2'!G426</f>
        <v>68520000</v>
      </c>
      <c r="F420" s="430"/>
      <c r="G420" s="430" t="str">
        <f>+'[2]MSFR Inc Stmt by Acct - SCH C.2'!I426</f>
        <v>Property Taxes</v>
      </c>
      <c r="H420" s="430"/>
      <c r="I420" s="602" t="str">
        <f>+'[2]MSFR Inc Stmt by Acct - SCH C.2'!K426</f>
        <v>408.11</v>
      </c>
      <c r="J420" s="430"/>
      <c r="L420" s="601">
        <f>+'[2]MSFR Inc Stmt by Acct - SCH C.2'!Q426</f>
        <v>5440026.5431322297</v>
      </c>
    </row>
    <row r="421" spans="1:12" x14ac:dyDescent="0.2">
      <c r="A421" s="422"/>
      <c r="C421" s="430">
        <f>+'[2]MSFR Inc Stmt by Acct - SCH C.2'!E427</f>
        <v>0</v>
      </c>
      <c r="D421" s="430"/>
      <c r="E421" s="603">
        <f>+'[2]MSFR Inc Stmt by Acct - SCH C.2'!G427</f>
        <v>68520100</v>
      </c>
      <c r="F421" s="430"/>
      <c r="G421" s="430" t="str">
        <f>+'[2]MSFR Inc Stmt by Acct - SCH C.2'!I427</f>
        <v>Tax Discounts</v>
      </c>
      <c r="H421" s="430"/>
      <c r="I421" s="602" t="str">
        <f>+'[2]MSFR Inc Stmt by Acct - SCH C.2'!K427</f>
        <v>408.11</v>
      </c>
      <c r="J421" s="430"/>
      <c r="L421" s="601">
        <f>+'[2]MSFR Inc Stmt by Acct - SCH C.2'!Q427</f>
        <v>0</v>
      </c>
    </row>
    <row r="422" spans="1:12" x14ac:dyDescent="0.2">
      <c r="A422" s="422"/>
      <c r="C422" s="430">
        <f>+'[2]MSFR Inc Stmt by Acct - SCH C.2'!E428</f>
        <v>0</v>
      </c>
      <c r="D422" s="430"/>
      <c r="E422" s="603">
        <f>+'[2]MSFR Inc Stmt by Acct - SCH C.2'!G428</f>
        <v>68532000</v>
      </c>
      <c r="F422" s="430"/>
      <c r="G422" s="430" t="str">
        <f>+'[2]MSFR Inc Stmt by Acct - SCH C.2'!I428</f>
        <v>FUTA</v>
      </c>
      <c r="H422" s="430"/>
      <c r="I422" s="602" t="str">
        <f>+'[2]MSFR Inc Stmt by Acct - SCH C.2'!K428</f>
        <v>408.12</v>
      </c>
      <c r="J422" s="430"/>
      <c r="L422" s="601">
        <f>+'[2]MSFR Inc Stmt by Acct - SCH C.2'!Q428</f>
        <v>5723.7563538723552</v>
      </c>
    </row>
    <row r="423" spans="1:12" x14ac:dyDescent="0.2">
      <c r="A423" s="422"/>
      <c r="C423" s="430">
        <f>+'[2]MSFR Inc Stmt by Acct - SCH C.2'!E429</f>
        <v>0</v>
      </c>
      <c r="D423" s="430"/>
      <c r="E423" s="603">
        <f>+'[2]MSFR Inc Stmt by Acct - SCH C.2'!G429</f>
        <v>68532100</v>
      </c>
      <c r="F423" s="430"/>
      <c r="G423" s="430" t="str">
        <f>+'[2]MSFR Inc Stmt by Acct - SCH C.2'!I429</f>
        <v>FUTA Cap Credits</v>
      </c>
      <c r="H423" s="430"/>
      <c r="I423" s="602" t="str">
        <f>+'[2]MSFR Inc Stmt by Acct - SCH C.2'!K429</f>
        <v>408.12</v>
      </c>
      <c r="J423" s="430"/>
      <c r="L423" s="601">
        <f>+'[2]MSFR Inc Stmt by Acct - SCH C.2'!Q429</f>
        <v>-1087.1243142811381</v>
      </c>
    </row>
    <row r="424" spans="1:12" x14ac:dyDescent="0.2">
      <c r="A424" s="422"/>
      <c r="C424" s="430">
        <f>+'[2]MSFR Inc Stmt by Acct - SCH C.2'!E430</f>
        <v>0</v>
      </c>
      <c r="D424" s="430"/>
      <c r="E424" s="603">
        <f>+'[2]MSFR Inc Stmt by Acct - SCH C.2'!G430</f>
        <v>68533000</v>
      </c>
      <c r="F424" s="430"/>
      <c r="G424" s="430" t="str">
        <f>+'[2]MSFR Inc Stmt by Acct - SCH C.2'!I430</f>
        <v>FICA</v>
      </c>
      <c r="H424" s="430"/>
      <c r="I424" s="602" t="str">
        <f>+'[2]MSFR Inc Stmt by Acct - SCH C.2'!K430</f>
        <v>408.12</v>
      </c>
      <c r="J424" s="430"/>
      <c r="L424" s="601">
        <f>+'[2]MSFR Inc Stmt by Acct - SCH C.2'!Q430</f>
        <v>686417.38727299101</v>
      </c>
    </row>
    <row r="425" spans="1:12" x14ac:dyDescent="0.2">
      <c r="A425" s="422"/>
      <c r="C425" s="430">
        <f>+'[2]MSFR Inc Stmt by Acct - SCH C.2'!E431</f>
        <v>0</v>
      </c>
      <c r="D425" s="430"/>
      <c r="E425" s="603">
        <f>+'[2]MSFR Inc Stmt by Acct - SCH C.2'!G431</f>
        <v>68533100</v>
      </c>
      <c r="F425" s="430"/>
      <c r="G425" s="430" t="str">
        <f>+'[2]MSFR Inc Stmt by Acct - SCH C.2'!I431</f>
        <v>FICA Cap Credits</v>
      </c>
      <c r="H425" s="430"/>
      <c r="I425" s="602" t="str">
        <f>+'[2]MSFR Inc Stmt by Acct - SCH C.2'!K431</f>
        <v>408.12</v>
      </c>
      <c r="J425" s="430"/>
      <c r="L425" s="601">
        <f>+'[2]MSFR Inc Stmt by Acct - SCH C.2'!Q431</f>
        <v>-132425.39176737273</v>
      </c>
    </row>
    <row r="426" spans="1:12" x14ac:dyDescent="0.2">
      <c r="A426" s="422"/>
      <c r="C426" s="430">
        <f>+'[2]MSFR Inc Stmt by Acct - SCH C.2'!E432</f>
        <v>0</v>
      </c>
      <c r="D426" s="430"/>
      <c r="E426" s="603">
        <f>+'[2]MSFR Inc Stmt by Acct - SCH C.2'!G432</f>
        <v>68535000</v>
      </c>
      <c r="F426" s="430"/>
      <c r="G426" s="430" t="str">
        <f>+'[2]MSFR Inc Stmt by Acct - SCH C.2'!I432</f>
        <v>SUTA</v>
      </c>
      <c r="H426" s="430"/>
      <c r="I426" s="602" t="str">
        <f>+'[2]MSFR Inc Stmt by Acct - SCH C.2'!K432</f>
        <v>408.12</v>
      </c>
      <c r="J426" s="430"/>
      <c r="L426" s="601">
        <f>+'[2]MSFR Inc Stmt by Acct - SCH C.2'!Q432</f>
        <v>21721.655362945588</v>
      </c>
    </row>
    <row r="427" spans="1:12" x14ac:dyDescent="0.2">
      <c r="A427" s="422"/>
      <c r="C427" s="430">
        <f>+'[2]MSFR Inc Stmt by Acct - SCH C.2'!E433</f>
        <v>0</v>
      </c>
      <c r="D427" s="430"/>
      <c r="E427" s="603">
        <f>+'[2]MSFR Inc Stmt by Acct - SCH C.2'!G433</f>
        <v>68535100</v>
      </c>
      <c r="F427" s="430"/>
      <c r="G427" s="430" t="str">
        <f>+'[2]MSFR Inc Stmt by Acct - SCH C.2'!I433</f>
        <v>SUTA Cap Credits</v>
      </c>
      <c r="H427" s="430"/>
      <c r="I427" s="602" t="str">
        <f>+'[2]MSFR Inc Stmt by Acct - SCH C.2'!K433</f>
        <v>408.12</v>
      </c>
      <c r="J427" s="430"/>
      <c r="L427" s="601">
        <f>+'[2]MSFR Inc Stmt by Acct - SCH C.2'!Q433</f>
        <v>-4125.6367726969256</v>
      </c>
    </row>
    <row r="428" spans="1:12" x14ac:dyDescent="0.2">
      <c r="A428" s="422"/>
      <c r="C428" s="430">
        <f>+'[2]MSFR Inc Stmt by Acct - SCH C.2'!E434</f>
        <v>0</v>
      </c>
      <c r="D428" s="430"/>
      <c r="E428" s="603">
        <f>+'[2]MSFR Inc Stmt by Acct - SCH C.2'!G434</f>
        <v>68543000</v>
      </c>
      <c r="F428" s="430"/>
      <c r="G428" s="430" t="str">
        <f>+'[2]MSFR Inc Stmt by Acct - SCH C.2'!I434</f>
        <v>Othr Taxes &amp;Licenses</v>
      </c>
      <c r="H428" s="430"/>
      <c r="I428" s="602" t="str">
        <f>+'[2]MSFR Inc Stmt by Acct - SCH C.2'!K434</f>
        <v>408.13</v>
      </c>
      <c r="J428" s="430"/>
      <c r="L428" s="601">
        <f>+'[2]MSFR Inc Stmt by Acct - SCH C.2'!Q434</f>
        <v>9690.84</v>
      </c>
    </row>
    <row r="429" spans="1:12" x14ac:dyDescent="0.2">
      <c r="A429" s="422"/>
      <c r="C429" s="430">
        <f>+'[2]MSFR Inc Stmt by Acct - SCH C.2'!E435</f>
        <v>0</v>
      </c>
      <c r="D429" s="430"/>
      <c r="E429" s="603">
        <f>+'[2]MSFR Inc Stmt by Acct - SCH C.2'!G435</f>
        <v>68544000</v>
      </c>
      <c r="F429" s="430"/>
      <c r="G429" s="430" t="str">
        <f>+'[2]MSFR Inc Stmt by Acct - SCH C.2'!I435</f>
        <v>Gross Receipts Tax</v>
      </c>
      <c r="H429" s="430"/>
      <c r="I429" s="602" t="str">
        <f>+'[2]MSFR Inc Stmt by Acct - SCH C.2'!K435</f>
        <v>408.13</v>
      </c>
      <c r="J429" s="430"/>
      <c r="L429" s="601">
        <f>+'[2]MSFR Inc Stmt by Acct - SCH C.2'!Q435</f>
        <v>0</v>
      </c>
    </row>
    <row r="430" spans="1:12" x14ac:dyDescent="0.2">
      <c r="A430" s="422"/>
      <c r="C430" s="430">
        <f>+'[2]MSFR Inc Stmt by Acct - SCH C.2'!E436</f>
        <v>0</v>
      </c>
      <c r="D430" s="430"/>
      <c r="E430" s="603">
        <f>+'[2]MSFR Inc Stmt by Acct - SCH C.2'!G436</f>
        <v>68545000</v>
      </c>
      <c r="F430" s="430"/>
      <c r="G430" s="430" t="str">
        <f>+'[2]MSFR Inc Stmt by Acct - SCH C.2'!I436</f>
        <v>Utility Reg Assessme</v>
      </c>
      <c r="H430" s="430"/>
      <c r="I430" s="602" t="str">
        <f>+'[2]MSFR Inc Stmt by Acct - SCH C.2'!K436</f>
        <v>408.10</v>
      </c>
      <c r="J430" s="430"/>
      <c r="L430" s="601">
        <f>+'[2]MSFR Inc Stmt by Acct - SCH C.2'!Q436</f>
        <v>167669.01510866775</v>
      </c>
    </row>
    <row r="431" spans="1:12" x14ac:dyDescent="0.2">
      <c r="A431" s="422"/>
      <c r="C431" s="430">
        <f>+'[2]MSFR Inc Stmt by Acct - SCH C.2'!E437</f>
        <v>0</v>
      </c>
      <c r="D431" s="430"/>
      <c r="E431" s="603">
        <f>+'[2]MSFR Inc Stmt by Acct - SCH C.2'!G437</f>
        <v>0</v>
      </c>
      <c r="F431" s="430"/>
      <c r="G431" s="430">
        <f>+'[2]MSFR Inc Stmt by Acct - SCH C.2'!I437</f>
        <v>0</v>
      </c>
      <c r="H431" s="430"/>
      <c r="I431" s="602">
        <f>+'[2]MSFR Inc Stmt by Acct - SCH C.2'!K437</f>
        <v>0</v>
      </c>
      <c r="J431" s="430"/>
      <c r="L431" s="601">
        <f>+'[2]MSFR Inc Stmt by Acct - SCH C.2'!Q437</f>
        <v>6193611.0443763556</v>
      </c>
    </row>
    <row r="432" spans="1:12" ht="51" x14ac:dyDescent="0.2">
      <c r="A432" s="422"/>
      <c r="C432" s="430" t="str">
        <f>+'[2]MSFR Inc Stmt by Acct - SCH C.2'!E438</f>
        <v>Operating Income</v>
      </c>
      <c r="D432" s="430"/>
      <c r="E432" s="603" t="str">
        <f>+'[2]MSFR Inc Stmt by Acct - SCH C.2'!G438</f>
        <v>Operating Income = Account Groups 400+420-401-403-406-407-408-409-410-412</v>
      </c>
      <c r="F432" s="430"/>
      <c r="G432" s="430">
        <f>+'[2]MSFR Inc Stmt by Acct - SCH C.2'!I438</f>
        <v>0</v>
      </c>
      <c r="H432" s="430"/>
      <c r="I432" s="602">
        <f>+'[2]MSFR Inc Stmt by Acct - SCH C.2'!K438</f>
        <v>0</v>
      </c>
      <c r="J432" s="430"/>
      <c r="L432" s="601">
        <f>+'[2]MSFR Inc Stmt by Acct - SCH C.2'!Q438</f>
        <v>25069685.477125071</v>
      </c>
    </row>
    <row r="433" spans="1:12" x14ac:dyDescent="0.2">
      <c r="A433" s="422"/>
      <c r="C433" s="430"/>
      <c r="D433" s="430"/>
      <c r="E433" s="603"/>
      <c r="F433" s="430"/>
      <c r="G433" s="430"/>
      <c r="H433" s="430"/>
      <c r="I433" s="602"/>
      <c r="J433" s="430"/>
      <c r="L433" s="601"/>
    </row>
    <row r="434" spans="1:12" x14ac:dyDescent="0.2">
      <c r="A434" s="422"/>
    </row>
    <row r="435" spans="1:12" x14ac:dyDescent="0.2">
      <c r="A435" s="422"/>
    </row>
    <row r="436" spans="1:12" x14ac:dyDescent="0.2">
      <c r="A436" s="422"/>
    </row>
    <row r="437" spans="1:12" x14ac:dyDescent="0.2">
      <c r="A437" s="422"/>
      <c r="C437" s="420"/>
      <c r="G437" s="419" t="s">
        <v>866</v>
      </c>
      <c r="H437" s="419"/>
      <c r="I437" s="735" t="s">
        <v>867</v>
      </c>
      <c r="J437" s="735" t="s">
        <v>940</v>
      </c>
      <c r="L437" s="419" t="s">
        <v>872</v>
      </c>
    </row>
    <row r="438" spans="1:12" ht="15.75" x14ac:dyDescent="0.25">
      <c r="A438" s="422"/>
      <c r="C438" s="269" t="s">
        <v>720</v>
      </c>
      <c r="D438" s="269"/>
      <c r="E438" s="463" t="s">
        <v>721</v>
      </c>
      <c r="G438" s="732">
        <f>+'[3]Actv Depr Exp'!$AY11</f>
        <v>0</v>
      </c>
      <c r="J438" s="418">
        <f>+'[3]Actv COR'!$AY11</f>
        <v>0</v>
      </c>
      <c r="L438" s="419">
        <f t="shared" ref="L438:L469" si="0">+G438-I438+J438</f>
        <v>0</v>
      </c>
    </row>
    <row r="439" spans="1:12" ht="15.75" x14ac:dyDescent="0.25">
      <c r="A439" s="422"/>
      <c r="C439" s="269" t="s">
        <v>722</v>
      </c>
      <c r="D439" s="269"/>
      <c r="E439" s="463" t="s">
        <v>723</v>
      </c>
      <c r="G439" s="733">
        <f>+'[3]Actv Depr Exp'!$AY12</f>
        <v>0</v>
      </c>
      <c r="J439" s="418">
        <f>+'[3]Actv COR'!$AY12</f>
        <v>0</v>
      </c>
      <c r="L439" s="419">
        <f t="shared" si="0"/>
        <v>0</v>
      </c>
    </row>
    <row r="440" spans="1:12" ht="15.75" x14ac:dyDescent="0.25">
      <c r="A440" s="422"/>
      <c r="C440" s="269" t="s">
        <v>724</v>
      </c>
      <c r="D440" s="269"/>
      <c r="E440" s="463" t="s">
        <v>725</v>
      </c>
      <c r="G440" s="733">
        <f>+'[3]Actv Depr Exp'!$AY13</f>
        <v>0</v>
      </c>
      <c r="J440" s="418">
        <f>+'[3]Actv COR'!$AY13</f>
        <v>0</v>
      </c>
      <c r="L440" s="419">
        <f t="shared" si="0"/>
        <v>0</v>
      </c>
    </row>
    <row r="441" spans="1:12" ht="15.75" x14ac:dyDescent="0.25">
      <c r="A441" s="422"/>
      <c r="C441" s="269" t="s">
        <v>726</v>
      </c>
      <c r="D441" s="269"/>
      <c r="E441" s="463" t="s">
        <v>727</v>
      </c>
      <c r="G441" s="733">
        <f>+'[3]Actv Depr Exp'!$AY14</f>
        <v>0</v>
      </c>
      <c r="J441" s="418">
        <f>+'[3]Actv COR'!$AY14</f>
        <v>0</v>
      </c>
      <c r="L441" s="419">
        <f t="shared" si="0"/>
        <v>0</v>
      </c>
    </row>
    <row r="442" spans="1:12" ht="15.75" x14ac:dyDescent="0.25">
      <c r="A442" s="422"/>
      <c r="C442" s="269" t="s">
        <v>728</v>
      </c>
      <c r="D442" s="269"/>
      <c r="E442" s="463" t="s">
        <v>729</v>
      </c>
      <c r="G442" s="733">
        <f>+'[3]Actv Depr Exp'!$AY15</f>
        <v>0</v>
      </c>
      <c r="J442" s="418">
        <f>+'[3]Actv COR'!$AY15</f>
        <v>0</v>
      </c>
      <c r="L442" s="419">
        <f t="shared" si="0"/>
        <v>0</v>
      </c>
    </row>
    <row r="443" spans="1:12" ht="15.75" x14ac:dyDescent="0.25">
      <c r="A443" s="422"/>
      <c r="C443" s="269" t="s">
        <v>730</v>
      </c>
      <c r="D443" s="467"/>
      <c r="E443" s="463" t="s">
        <v>731</v>
      </c>
      <c r="G443" s="733">
        <f>+'[3]Actv Depr Exp'!$AY16</f>
        <v>0</v>
      </c>
      <c r="J443" s="418">
        <f>+'[3]Actv COR'!$AY16</f>
        <v>0</v>
      </c>
      <c r="L443" s="419">
        <f t="shared" si="0"/>
        <v>0</v>
      </c>
    </row>
    <row r="444" spans="1:12" ht="15.75" x14ac:dyDescent="0.25">
      <c r="A444" s="422"/>
      <c r="C444" s="269" t="s">
        <v>732</v>
      </c>
      <c r="D444" s="467"/>
      <c r="E444" s="463" t="s">
        <v>733</v>
      </c>
      <c r="G444" s="733">
        <f>+'[3]Actv Depr Exp'!$AY17</f>
        <v>431966.02261200052</v>
      </c>
      <c r="J444" s="418">
        <f>+'[3]Actv COR'!$AY17</f>
        <v>42349.61006000005</v>
      </c>
      <c r="L444" s="419">
        <f t="shared" si="0"/>
        <v>474315.63267200056</v>
      </c>
    </row>
    <row r="445" spans="1:12" ht="15.75" x14ac:dyDescent="0.25">
      <c r="A445" s="422"/>
      <c r="C445" s="269" t="s">
        <v>734</v>
      </c>
      <c r="D445" s="467"/>
      <c r="E445" s="463" t="s">
        <v>735</v>
      </c>
      <c r="G445" s="733">
        <f>+'[3]Actv Depr Exp'!$AY18</f>
        <v>217799.34854400027</v>
      </c>
      <c r="J445" s="418">
        <f>+'[3]Actv COR'!$AY18</f>
        <v>32266.570154666701</v>
      </c>
      <c r="L445" s="419">
        <f t="shared" si="0"/>
        <v>250065.91869866697</v>
      </c>
    </row>
    <row r="446" spans="1:12" ht="15.75" x14ac:dyDescent="0.25">
      <c r="A446" s="422"/>
      <c r="C446" s="269" t="s">
        <v>736</v>
      </c>
      <c r="D446" s="467"/>
      <c r="E446" s="463" t="s">
        <v>737</v>
      </c>
      <c r="G446" s="733">
        <f>+'[3]Actv Depr Exp'!$AY19</f>
        <v>1007770.0257027321</v>
      </c>
      <c r="J446" s="418">
        <f>+'[3]Actv COR'!$AY19</f>
        <v>149457.41906608321</v>
      </c>
      <c r="L446" s="419">
        <f t="shared" si="0"/>
        <v>1157227.4447688153</v>
      </c>
    </row>
    <row r="447" spans="1:12" ht="15.75" x14ac:dyDescent="0.25">
      <c r="A447" s="422"/>
      <c r="C447" s="269" t="s">
        <v>738</v>
      </c>
      <c r="D447" s="467"/>
      <c r="E447" s="463" t="s">
        <v>739</v>
      </c>
      <c r="G447" s="733">
        <f>+'[3]Actv Depr Exp'!$AY20</f>
        <v>12367.229567000011</v>
      </c>
      <c r="J447" s="418">
        <f>+'[3]Actv COR'!$AY20</f>
        <v>655.83793158333401</v>
      </c>
      <c r="L447" s="419">
        <f t="shared" si="0"/>
        <v>13023.067498583345</v>
      </c>
    </row>
    <row r="448" spans="1:12" ht="15.75" x14ac:dyDescent="0.25">
      <c r="A448" s="422"/>
      <c r="C448" s="269" t="s">
        <v>740</v>
      </c>
      <c r="D448" s="467"/>
      <c r="E448" s="463" t="s">
        <v>741</v>
      </c>
      <c r="G448" s="733">
        <f>+'[3]Actv Depr Exp'!$AY21</f>
        <v>136816.54075587494</v>
      </c>
      <c r="J448" s="418">
        <f>+'[3]Actv COR'!$AY21</f>
        <v>20496.860038333325</v>
      </c>
      <c r="L448" s="419">
        <f t="shared" si="0"/>
        <v>157313.40079420828</v>
      </c>
    </row>
    <row r="449" spans="1:12" ht="15.75" x14ac:dyDescent="0.25">
      <c r="A449" s="422"/>
      <c r="C449" s="269" t="s">
        <v>742</v>
      </c>
      <c r="D449" s="467"/>
      <c r="E449" s="463" t="s">
        <v>743</v>
      </c>
      <c r="G449" s="733">
        <f>+'[3]Actv Depr Exp'!$AY22</f>
        <v>153752.44396112487</v>
      </c>
      <c r="J449" s="418">
        <f>+'[3]Actv COR'!$AY22</f>
        <v>23034.074001666653</v>
      </c>
      <c r="L449" s="419">
        <f t="shared" si="0"/>
        <v>176786.51796279152</v>
      </c>
    </row>
    <row r="450" spans="1:12" ht="15.75" x14ac:dyDescent="0.25">
      <c r="A450" s="422"/>
      <c r="C450" s="269" t="s">
        <v>744</v>
      </c>
      <c r="D450" s="467"/>
      <c r="E450" s="463" t="s">
        <v>745</v>
      </c>
      <c r="G450" s="733">
        <f>+'[3]Actv Depr Exp'!$AY23</f>
        <v>282.22887900000001</v>
      </c>
      <c r="J450" s="418">
        <f>+'[3]Actv COR'!$AY23</f>
        <v>42.281480000000009</v>
      </c>
      <c r="L450" s="419">
        <f t="shared" si="0"/>
        <v>324.51035899999999</v>
      </c>
    </row>
    <row r="451" spans="1:12" ht="15.75" x14ac:dyDescent="0.25">
      <c r="A451" s="422"/>
      <c r="C451" s="269" t="s">
        <v>746</v>
      </c>
      <c r="D451" s="467"/>
      <c r="E451" s="463" t="s">
        <v>747</v>
      </c>
      <c r="G451" s="733">
        <f>+'[3]Actv Depr Exp'!$AY24</f>
        <v>31089.408416000002</v>
      </c>
      <c r="J451" s="418">
        <f>+'[3]Actv COR'!$AY24</f>
        <v>0</v>
      </c>
      <c r="L451" s="419">
        <f t="shared" si="0"/>
        <v>31089.408416000002</v>
      </c>
    </row>
    <row r="452" spans="1:12" ht="15.75" x14ac:dyDescent="0.25">
      <c r="A452" s="422"/>
      <c r="C452" s="269" t="s">
        <v>748</v>
      </c>
      <c r="D452" s="467"/>
      <c r="E452" s="463" t="s">
        <v>749</v>
      </c>
      <c r="G452" s="733">
        <f>+'[3]Actv Depr Exp'!$AY25</f>
        <v>83124.612776500056</v>
      </c>
      <c r="J452" s="418">
        <f>+'[3]Actv COR'!$AY25</f>
        <v>0</v>
      </c>
      <c r="L452" s="419">
        <f t="shared" si="0"/>
        <v>83124.612776500056</v>
      </c>
    </row>
    <row r="453" spans="1:12" ht="15.75" x14ac:dyDescent="0.25">
      <c r="A453" s="422"/>
      <c r="C453" s="269" t="s">
        <v>750</v>
      </c>
      <c r="D453" s="468"/>
      <c r="E453" s="463" t="s">
        <v>751</v>
      </c>
      <c r="G453" s="733">
        <f>+'[3]Actv Depr Exp'!$AY26</f>
        <v>13457.332169833342</v>
      </c>
      <c r="J453" s="418">
        <f>+'[3]Actv COR'!$AY26</f>
        <v>0</v>
      </c>
      <c r="L453" s="419">
        <f t="shared" si="0"/>
        <v>13457.332169833342</v>
      </c>
    </row>
    <row r="454" spans="1:12" ht="15.75" x14ac:dyDescent="0.25">
      <c r="A454" s="422"/>
      <c r="C454" s="269" t="s">
        <v>752</v>
      </c>
      <c r="D454" s="467"/>
      <c r="E454" s="463" t="s">
        <v>753</v>
      </c>
      <c r="G454" s="733">
        <f>+'[3]Actv Depr Exp'!$AY27</f>
        <v>36350.060292000002</v>
      </c>
      <c r="J454" s="418">
        <f>+'[3]Actv COR'!$AY27</f>
        <v>3555.9841589999992</v>
      </c>
      <c r="L454" s="419">
        <f t="shared" si="0"/>
        <v>39906.044451000002</v>
      </c>
    </row>
    <row r="455" spans="1:12" ht="15.75" x14ac:dyDescent="0.25">
      <c r="A455" s="422"/>
      <c r="C455" s="269" t="s">
        <v>754</v>
      </c>
      <c r="D455" s="467"/>
      <c r="E455" s="463" t="s">
        <v>755</v>
      </c>
      <c r="G455" s="733">
        <f>+'[3]Actv Depr Exp'!$AY28</f>
        <v>256282.53536125025</v>
      </c>
      <c r="J455" s="418">
        <f>+'[3]Actv COR'!$AY28</f>
        <v>27856.79732187503</v>
      </c>
      <c r="L455" s="419">
        <f t="shared" si="0"/>
        <v>284139.33268312528</v>
      </c>
    </row>
    <row r="456" spans="1:12" ht="15.75" x14ac:dyDescent="0.25">
      <c r="A456" s="422"/>
      <c r="C456" s="269" t="s">
        <v>756</v>
      </c>
      <c r="D456" s="467"/>
      <c r="E456" s="463" t="s">
        <v>757</v>
      </c>
      <c r="G456" s="733">
        <f>+'[3]Actv Depr Exp'!$AY29</f>
        <v>95565.934839375055</v>
      </c>
      <c r="J456" s="418">
        <f>+'[3]Actv COR'!$AY29</f>
        <v>4826.5623656250027</v>
      </c>
      <c r="L456" s="419">
        <f t="shared" si="0"/>
        <v>100392.49720500005</v>
      </c>
    </row>
    <row r="457" spans="1:12" ht="15.75" x14ac:dyDescent="0.25">
      <c r="A457" s="422"/>
      <c r="C457" s="269" t="s">
        <v>896</v>
      </c>
      <c r="D457" s="467"/>
      <c r="E457" s="731">
        <v>311000</v>
      </c>
      <c r="G457" s="733">
        <f>+'[3]Actv Depr Exp'!$AY30</f>
        <v>332273.262009</v>
      </c>
      <c r="J457" s="418">
        <f>+'[3]Actv COR'!$AY30</f>
        <v>57954.638722499978</v>
      </c>
      <c r="L457" s="419">
        <f t="shared" si="0"/>
        <v>390227.90073150001</v>
      </c>
    </row>
    <row r="458" spans="1:12" ht="15.75" x14ac:dyDescent="0.25">
      <c r="A458" s="422"/>
      <c r="C458" s="269" t="s">
        <v>758</v>
      </c>
      <c r="D458" s="467"/>
      <c r="E458" s="463" t="s">
        <v>759</v>
      </c>
      <c r="G458" s="733">
        <f>+'[3]Actv Depr Exp'!$AY31</f>
        <v>409561.22970149992</v>
      </c>
      <c r="J458" s="418">
        <f>+'[3]Actv COR'!$AY31</f>
        <v>71435.098203749978</v>
      </c>
      <c r="L458" s="419">
        <f t="shared" si="0"/>
        <v>480996.3279052499</v>
      </c>
    </row>
    <row r="459" spans="1:12" ht="15.75" x14ac:dyDescent="0.25">
      <c r="A459" s="422"/>
      <c r="C459" s="269" t="s">
        <v>760</v>
      </c>
      <c r="D459" s="467"/>
      <c r="E459" s="463" t="s">
        <v>761</v>
      </c>
      <c r="G459" s="733">
        <f>+'[3]Actv Depr Exp'!$AY32</f>
        <v>11901.48788125001</v>
      </c>
      <c r="J459" s="418">
        <f>+'[3]Actv COR'!$AY32</f>
        <v>2077.3506120000015</v>
      </c>
      <c r="L459" s="419">
        <f t="shared" si="0"/>
        <v>13978.838493250012</v>
      </c>
    </row>
    <row r="460" spans="1:12" ht="15.75" x14ac:dyDescent="0.25">
      <c r="A460" s="422"/>
      <c r="C460" s="269" t="s">
        <v>762</v>
      </c>
      <c r="D460" s="467"/>
      <c r="E460" s="463" t="s">
        <v>763</v>
      </c>
      <c r="G460" s="733">
        <f>+'[3]Actv Depr Exp'!$AY33</f>
        <v>268.93022400000001</v>
      </c>
      <c r="J460" s="418">
        <f>+'[3]Actv COR'!$AY33</f>
        <v>46.367280000000001</v>
      </c>
      <c r="L460" s="419">
        <f t="shared" si="0"/>
        <v>315.297504</v>
      </c>
    </row>
    <row r="461" spans="1:12" ht="15.75" x14ac:dyDescent="0.25">
      <c r="A461" s="422"/>
      <c r="C461" s="269" t="s">
        <v>764</v>
      </c>
      <c r="D461" s="467"/>
      <c r="E461" s="463" t="s">
        <v>765</v>
      </c>
      <c r="G461" s="733">
        <f>+'[3]Actv Depr Exp'!$AY34</f>
        <v>-430.85526054166667</v>
      </c>
      <c r="J461" s="418">
        <f>+'[3]Actv COR'!$AY34</f>
        <v>-73.966568333333328</v>
      </c>
      <c r="L461" s="419">
        <f t="shared" si="0"/>
        <v>-504.82182887499999</v>
      </c>
    </row>
    <row r="462" spans="1:12" ht="15.75" x14ac:dyDescent="0.25">
      <c r="A462" s="422"/>
      <c r="C462" s="269" t="s">
        <v>766</v>
      </c>
      <c r="D462" s="467"/>
      <c r="E462" s="463" t="s">
        <v>767</v>
      </c>
      <c r="G462" s="733">
        <f>+'[3]Actv Depr Exp'!$AY35</f>
        <v>0</v>
      </c>
      <c r="J462" s="418">
        <f>+'[3]Actv COR'!$AY35</f>
        <v>0</v>
      </c>
      <c r="L462" s="419">
        <f t="shared" si="0"/>
        <v>0</v>
      </c>
    </row>
    <row r="463" spans="1:12" ht="15.75" x14ac:dyDescent="0.25">
      <c r="A463" s="422"/>
      <c r="C463" s="269" t="s">
        <v>768</v>
      </c>
      <c r="D463" s="467"/>
      <c r="E463" s="463" t="s">
        <v>769</v>
      </c>
      <c r="G463" s="733">
        <f>+'[3]Actv Depr Exp'!$AY36</f>
        <v>2295.0826667500023</v>
      </c>
      <c r="J463" s="418">
        <f>+'[3]Actv COR'!$AY36</f>
        <v>401.86272375000044</v>
      </c>
      <c r="L463" s="419">
        <f t="shared" si="0"/>
        <v>2696.9453905000028</v>
      </c>
    </row>
    <row r="464" spans="1:12" ht="15.75" x14ac:dyDescent="0.25">
      <c r="A464" s="422"/>
      <c r="C464" s="269" t="s">
        <v>770</v>
      </c>
      <c r="D464" s="467"/>
      <c r="E464" s="463" t="s">
        <v>771</v>
      </c>
      <c r="G464" s="733">
        <f>+'[3]Actv Depr Exp'!$AY37</f>
        <v>1097552.5370902177</v>
      </c>
      <c r="J464" s="418">
        <f>+'[3]Actv COR'!$AY37</f>
        <v>179851.04599377513</v>
      </c>
      <c r="L464" s="419">
        <f t="shared" si="0"/>
        <v>1277403.5830839928</v>
      </c>
    </row>
    <row r="465" spans="1:18" ht="15.75" x14ac:dyDescent="0.25">
      <c r="A465" s="422"/>
      <c r="C465" s="269" t="s">
        <v>772</v>
      </c>
      <c r="D465" s="467"/>
      <c r="E465" s="463" t="s">
        <v>773</v>
      </c>
      <c r="G465" s="733">
        <f>+'[3]Actv Depr Exp'!$AY38</f>
        <v>19672.002845000006</v>
      </c>
      <c r="J465" s="418">
        <f>+'[3]Actv COR'!$AY38</f>
        <v>0</v>
      </c>
      <c r="L465" s="419">
        <f t="shared" si="0"/>
        <v>19672.002845000006</v>
      </c>
    </row>
    <row r="466" spans="1:18" ht="15.75" x14ac:dyDescent="0.25">
      <c r="A466" s="422"/>
      <c r="C466" s="269" t="s">
        <v>774</v>
      </c>
      <c r="D466" s="467"/>
      <c r="E466" s="463" t="s">
        <v>775</v>
      </c>
      <c r="G466" s="733">
        <f>+'[3]Actv Depr Exp'!$AY39</f>
        <v>32592.991615999996</v>
      </c>
      <c r="J466" s="418">
        <f>+'[3]Actv COR'!$AY39</f>
        <v>3188.4448319999997</v>
      </c>
      <c r="L466" s="419">
        <f t="shared" si="0"/>
        <v>35781.436447999993</v>
      </c>
    </row>
    <row r="467" spans="1:18" ht="15.75" x14ac:dyDescent="0.25">
      <c r="A467" s="422"/>
      <c r="C467" s="269" t="s">
        <v>776</v>
      </c>
      <c r="D467" s="467"/>
      <c r="E467" s="463" t="s">
        <v>777</v>
      </c>
      <c r="G467" s="733">
        <f>+'[3]Actv Depr Exp'!$AY40</f>
        <v>243645.20525916654</v>
      </c>
      <c r="J467" s="418">
        <f>+'[3]Actv COR'!$AY40</f>
        <v>24081.212147708309</v>
      </c>
      <c r="L467" s="419">
        <f t="shared" si="0"/>
        <v>267726.41740687483</v>
      </c>
      <c r="M467" s="418">
        <f>+L467+L466+L468+L469</f>
        <v>380062.8853098749</v>
      </c>
    </row>
    <row r="468" spans="1:18" ht="15.75" x14ac:dyDescent="0.25">
      <c r="A468" s="422"/>
      <c r="C468" s="269" t="s">
        <v>778</v>
      </c>
      <c r="D468" s="467"/>
      <c r="E468" s="463" t="s">
        <v>779</v>
      </c>
      <c r="G468" s="733">
        <f>+'[3]Actv Depr Exp'!$AY41</f>
        <v>57479.139841000026</v>
      </c>
      <c r="J468" s="418">
        <f>+'[3]Actv COR'!$AY41</f>
        <v>0</v>
      </c>
      <c r="L468" s="419">
        <f t="shared" si="0"/>
        <v>57479.139841000026</v>
      </c>
    </row>
    <row r="469" spans="1:18" ht="15.75" x14ac:dyDescent="0.25">
      <c r="A469" s="422"/>
      <c r="C469" s="269" t="s">
        <v>780</v>
      </c>
      <c r="D469" s="467"/>
      <c r="E469" s="463" t="s">
        <v>781</v>
      </c>
      <c r="G469" s="733">
        <f>+'[3]Actv Depr Exp'!$AY42</f>
        <v>19075.891613999996</v>
      </c>
      <c r="J469" s="418">
        <f>+'[3]Actv COR'!$AY42</f>
        <v>0</v>
      </c>
      <c r="L469" s="419">
        <f t="shared" si="0"/>
        <v>19075.891613999996</v>
      </c>
    </row>
    <row r="470" spans="1:18" ht="15.75" x14ac:dyDescent="0.25">
      <c r="A470" s="422"/>
      <c r="C470" s="269" t="s">
        <v>782</v>
      </c>
      <c r="D470" s="467"/>
      <c r="E470" s="463" t="s">
        <v>783</v>
      </c>
      <c r="G470" s="733">
        <f>+'[3]Actv Depr Exp'!$AY43</f>
        <v>3618827.3682217998</v>
      </c>
      <c r="J470" s="418">
        <f>+'[3]Actv COR'!$AY43</f>
        <v>1033950.6766347997</v>
      </c>
      <c r="L470" s="419">
        <f t="shared" ref="L470:L501" si="1">+G470-I470+J470</f>
        <v>4652778.0448565995</v>
      </c>
      <c r="P470" s="474">
        <f>SUM('[4]Actv Depr Exp'!$AC$43:$AN$43)</f>
        <v>2351366.1009874027</v>
      </c>
      <c r="Q470" s="418">
        <f>+'Rate base'!D37</f>
        <v>304540650.92475069</v>
      </c>
      <c r="R470" s="520">
        <f>+Q470/$Q$476</f>
        <v>1.000013099419004</v>
      </c>
    </row>
    <row r="471" spans="1:18" ht="15.75" x14ac:dyDescent="0.25">
      <c r="A471" s="422"/>
      <c r="C471" s="269" t="s">
        <v>784</v>
      </c>
      <c r="D471" s="467"/>
      <c r="E471" s="463" t="s">
        <v>785</v>
      </c>
      <c r="G471" s="733">
        <f>+'[3]Actv Depr Exp'!$AY44</f>
        <v>-34.21393791666668</v>
      </c>
      <c r="J471" s="418">
        <f>+'[3]Actv COR'!$AY44</f>
        <v>-9.7754108333333338</v>
      </c>
      <c r="L471" s="419">
        <f t="shared" si="1"/>
        <v>-43.989348750000012</v>
      </c>
      <c r="P471" s="474">
        <f>SUM('[4]Actv Depr Exp'!$AC$44:$AN$44)</f>
        <v>80282.835840000029</v>
      </c>
      <c r="Q471" s="418">
        <f>+'Rate base'!D38</f>
        <v>-2967.8666666666677</v>
      </c>
      <c r="R471" s="520">
        <f t="shared" ref="R471:R474" si="2">+Q471/$Q$476</f>
        <v>-9.7455152045663218E-6</v>
      </c>
    </row>
    <row r="472" spans="1:18" ht="15.75" x14ac:dyDescent="0.25">
      <c r="A472" s="422"/>
      <c r="C472" s="269" t="s">
        <v>786</v>
      </c>
      <c r="D472" s="467"/>
      <c r="E472" s="463" t="s">
        <v>787</v>
      </c>
      <c r="G472" s="733">
        <f>+'[3]Actv Depr Exp'!$AY45</f>
        <v>-5.9392899999999997</v>
      </c>
      <c r="I472" s="418">
        <f>+I514*F518</f>
        <v>976957.41146724741</v>
      </c>
      <c r="J472" s="418">
        <f>+'[3]Actv COR'!$AY45</f>
        <v>-1.6969399999999994</v>
      </c>
      <c r="L472" s="419">
        <f t="shared" si="1"/>
        <v>-976965.04769724747</v>
      </c>
      <c r="P472" s="474">
        <f>SUM('[4]Actv Depr Exp'!$AC$45:$AN$45)</f>
        <v>300218.80224000034</v>
      </c>
      <c r="Q472" s="418">
        <f>+'Rate base'!D39</f>
        <v>-515.19999999999993</v>
      </c>
      <c r="R472" s="520">
        <f t="shared" si="2"/>
        <v>-1.6917503369623187E-6</v>
      </c>
    </row>
    <row r="473" spans="1:18" ht="15.75" x14ac:dyDescent="0.25">
      <c r="A473" s="422"/>
      <c r="C473" s="269" t="s">
        <v>788</v>
      </c>
      <c r="D473" s="467"/>
      <c r="E473" s="463" t="s">
        <v>789</v>
      </c>
      <c r="G473" s="733">
        <f>+'[3]Actv Depr Exp'!$AY46</f>
        <v>0</v>
      </c>
      <c r="J473" s="418">
        <f>+'[3]Actv COR'!$AY46</f>
        <v>0</v>
      </c>
      <c r="L473" s="419">
        <f t="shared" si="1"/>
        <v>0</v>
      </c>
      <c r="P473" s="474">
        <f>SUM('[4]Actv Depr Exp'!$AC$46:$AN$46)</f>
        <v>130997.48817599997</v>
      </c>
      <c r="Q473" s="418">
        <f>+'Rate base'!D40</f>
        <v>0</v>
      </c>
      <c r="R473" s="520">
        <f t="shared" si="2"/>
        <v>0</v>
      </c>
    </row>
    <row r="474" spans="1:18" ht="15.75" x14ac:dyDescent="0.25">
      <c r="A474" s="422"/>
      <c r="C474" s="269" t="s">
        <v>790</v>
      </c>
      <c r="D474" s="467"/>
      <c r="E474" s="463" t="s">
        <v>791</v>
      </c>
      <c r="G474" s="733">
        <f>+'[3]Actv Depr Exp'!$AY47</f>
        <v>-5.8353831666666665</v>
      </c>
      <c r="J474" s="418">
        <f>+'[3]Actv COR'!$AY47</f>
        <v>-1.6672523333333327</v>
      </c>
      <c r="L474" s="419">
        <f t="shared" si="1"/>
        <v>-7.5026354999999993</v>
      </c>
      <c r="P474" s="474">
        <f>SUM('[4]Actv Depr Exp'!$AC$47:$AN$47)</f>
        <v>1048367.1158159992</v>
      </c>
      <c r="Q474" s="418">
        <f>+'Rate base'!D41</f>
        <v>-506.18666666666655</v>
      </c>
      <c r="R474" s="520">
        <f t="shared" si="2"/>
        <v>-1.6621534625372013E-6</v>
      </c>
    </row>
    <row r="475" spans="1:18" ht="15.75" x14ac:dyDescent="0.25">
      <c r="A475" s="422"/>
      <c r="C475" s="269" t="s">
        <v>792</v>
      </c>
      <c r="D475" s="467"/>
      <c r="E475" s="463" t="s">
        <v>793</v>
      </c>
      <c r="G475" s="733">
        <f>+'[3]Actv Depr Exp'!$AY48</f>
        <v>935519.975452643</v>
      </c>
      <c r="I475" s="418">
        <f>+I514*F519</f>
        <v>397912.05818971136</v>
      </c>
      <c r="J475" s="418">
        <f>+'[3]Actv COR'!$AY48</f>
        <v>739112.46679407684</v>
      </c>
      <c r="L475" s="419">
        <f t="shared" si="1"/>
        <v>1276720.3840570084</v>
      </c>
    </row>
    <row r="476" spans="1:18" ht="15.75" x14ac:dyDescent="0.25">
      <c r="A476" s="422"/>
      <c r="C476" s="269" t="s">
        <v>794</v>
      </c>
      <c r="D476" s="467"/>
      <c r="E476" s="463" t="s">
        <v>795</v>
      </c>
      <c r="G476" s="733">
        <f>+'[3]Actv Depr Exp'!$AY49</f>
        <v>717087.47756108362</v>
      </c>
      <c r="I476" s="418">
        <f>+I514*F520</f>
        <v>357141.03165180067</v>
      </c>
      <c r="J476" s="418">
        <f>+'[3]Actv COR'!$AY49</f>
        <v>169769.82684308337</v>
      </c>
      <c r="L476" s="419">
        <f t="shared" si="1"/>
        <v>529716.27275236626</v>
      </c>
      <c r="P476" s="418">
        <f>SUM(P470:P475)</f>
        <v>3911232.343059402</v>
      </c>
      <c r="Q476" s="418">
        <f>SUM(Q470:Q475)</f>
        <v>304536661.67141736</v>
      </c>
      <c r="R476" s="476">
        <f>SUM(R470:R475)</f>
        <v>0.99999999999999989</v>
      </c>
    </row>
    <row r="477" spans="1:18" ht="15.75" x14ac:dyDescent="0.25">
      <c r="A477" s="422"/>
      <c r="C477" s="269" t="s">
        <v>796</v>
      </c>
      <c r="D477" s="467"/>
      <c r="E477" s="463" t="s">
        <v>797</v>
      </c>
      <c r="G477" s="733">
        <f>+'[3]Actv Depr Exp'!$AY50</f>
        <v>-123.54619875</v>
      </c>
      <c r="J477" s="418">
        <f>+'[3]Actv COR'!$AY50</f>
        <v>-29.566611666666667</v>
      </c>
      <c r="L477" s="419">
        <f t="shared" si="1"/>
        <v>-153.11281041666666</v>
      </c>
      <c r="P477" s="418">
        <f>+SUM(G470:G474)</f>
        <v>3618781.3796107164</v>
      </c>
    </row>
    <row r="478" spans="1:18" ht="15.75" x14ac:dyDescent="0.25">
      <c r="A478" s="422"/>
      <c r="C478" s="269" t="s">
        <v>798</v>
      </c>
      <c r="D478" s="467"/>
      <c r="E478" s="463" t="s">
        <v>799</v>
      </c>
      <c r="G478" s="733">
        <f>+'[3]Actv Depr Exp'!$AY51</f>
        <v>-1101.7852922916668</v>
      </c>
      <c r="J478" s="418">
        <f>+'[3]Actv COR'!$AY51</f>
        <v>-260.70412550000003</v>
      </c>
      <c r="L478" s="419">
        <f t="shared" si="1"/>
        <v>-1362.4894177916667</v>
      </c>
    </row>
    <row r="479" spans="1:18" ht="15.75" x14ac:dyDescent="0.25">
      <c r="A479" s="422"/>
      <c r="C479" s="269" t="s">
        <v>800</v>
      </c>
      <c r="D479" s="467"/>
      <c r="E479" s="463" t="s">
        <v>801</v>
      </c>
      <c r="G479" s="733">
        <f>+'[3]Actv Depr Exp'!$AY52</f>
        <v>-1101.0533099583336</v>
      </c>
      <c r="J479" s="418">
        <f>+'[3]Actv COR'!$AY52</f>
        <v>-261.4541304583334</v>
      </c>
      <c r="L479" s="419">
        <f t="shared" si="1"/>
        <v>-1362.5074404166669</v>
      </c>
    </row>
    <row r="480" spans="1:18" ht="15.75" x14ac:dyDescent="0.25">
      <c r="A480" s="422"/>
      <c r="C480" s="269" t="s">
        <v>802</v>
      </c>
      <c r="D480" s="467"/>
      <c r="E480" s="463" t="s">
        <v>803</v>
      </c>
      <c r="G480" s="733">
        <f>+'[3]Actv Depr Exp'!$AY53</f>
        <v>-2.0611938749999998</v>
      </c>
      <c r="J480" s="418">
        <f>+'[3]Actv COR'!$AY53</f>
        <v>-0.48944737499999996</v>
      </c>
      <c r="L480" s="419">
        <f t="shared" si="1"/>
        <v>-2.55064125</v>
      </c>
      <c r="M480" s="418">
        <f>SUM(L476:L480)</f>
        <v>526835.61244249123</v>
      </c>
    </row>
    <row r="481" spans="1:13" ht="15.75" x14ac:dyDescent="0.25">
      <c r="A481" s="422"/>
      <c r="C481" s="269" t="s">
        <v>804</v>
      </c>
      <c r="D481" s="467"/>
      <c r="E481" s="463" t="s">
        <v>805</v>
      </c>
      <c r="G481" s="733">
        <f>+'[3]Actv Depr Exp'!$AY54</f>
        <v>577295.22106504126</v>
      </c>
      <c r="J481" s="418">
        <f>+'[3]Actv COR'!$AY54</f>
        <v>114979.96104199994</v>
      </c>
      <c r="L481" s="419">
        <f t="shared" si="1"/>
        <v>692275.18210704124</v>
      </c>
    </row>
    <row r="482" spans="1:13" ht="15.75" x14ac:dyDescent="0.25">
      <c r="A482" s="422"/>
      <c r="C482" s="269" t="s">
        <v>806</v>
      </c>
      <c r="D482" s="467"/>
      <c r="E482" s="463" t="s">
        <v>807</v>
      </c>
      <c r="G482" s="733">
        <f>+'[3]Actv Depr Exp'!$AY55</f>
        <v>25468.289943500007</v>
      </c>
      <c r="J482" s="418">
        <f>+'[3]Actv COR'!$AY55</f>
        <v>5986.9487553750014</v>
      </c>
      <c r="L482" s="419">
        <f t="shared" si="1"/>
        <v>31455.238698875008</v>
      </c>
      <c r="M482" s="418">
        <f>+L482+L481</f>
        <v>723730.42080591619</v>
      </c>
    </row>
    <row r="483" spans="1:13" ht="15.75" x14ac:dyDescent="0.25">
      <c r="A483" s="422"/>
      <c r="C483" s="269" t="s">
        <v>808</v>
      </c>
      <c r="D483" s="467"/>
      <c r="E483" s="463" t="s">
        <v>809</v>
      </c>
      <c r="G483" s="733">
        <f>+'[3]Actv Depr Exp'!$AY56</f>
        <v>298267.81733674638</v>
      </c>
      <c r="I483" s="418">
        <f>+I514*F521</f>
        <v>68083.524513002398</v>
      </c>
      <c r="J483" s="418">
        <f>+'[3]Actv COR'!$AY56</f>
        <v>129249.38751259011</v>
      </c>
      <c r="L483" s="419">
        <f t="shared" si="1"/>
        <v>359433.6803363341</v>
      </c>
    </row>
    <row r="484" spans="1:13" ht="15.75" x14ac:dyDescent="0.25">
      <c r="A484" s="422"/>
      <c r="C484" s="269" t="s">
        <v>810</v>
      </c>
      <c r="D484" s="467"/>
      <c r="E484" s="463" t="s">
        <v>811</v>
      </c>
      <c r="G484" s="733">
        <f>+'[3]Actv Depr Exp'!$AY57</f>
        <v>9626.3210000000017</v>
      </c>
      <c r="J484" s="418">
        <f>+'[3]Actv COR'!$AY57</f>
        <v>0</v>
      </c>
      <c r="L484" s="419">
        <f t="shared" si="1"/>
        <v>9626.3210000000017</v>
      </c>
    </row>
    <row r="485" spans="1:13" ht="15.75" x14ac:dyDescent="0.25">
      <c r="A485" s="422"/>
      <c r="C485" s="269" t="s">
        <v>812</v>
      </c>
      <c r="D485" s="467"/>
      <c r="E485" s="463" t="s">
        <v>813</v>
      </c>
      <c r="G485" s="733">
        <f>+'[3]Actv Depr Exp'!$AY58</f>
        <v>71385.289166666669</v>
      </c>
      <c r="J485" s="418">
        <f>+'[3]Actv COR'!$AY58</f>
        <v>0</v>
      </c>
      <c r="L485" s="419">
        <f t="shared" si="1"/>
        <v>71385.289166666669</v>
      </c>
      <c r="M485" s="418">
        <f>+L485+L484</f>
        <v>81011.610166666665</v>
      </c>
    </row>
    <row r="486" spans="1:13" ht="15.75" x14ac:dyDescent="0.25">
      <c r="A486" s="422"/>
      <c r="C486" s="269" t="s">
        <v>814</v>
      </c>
      <c r="D486" s="467"/>
      <c r="E486" s="463" t="s">
        <v>815</v>
      </c>
      <c r="G486" s="733">
        <f>+'[3]Actv Depr Exp'!$AY59</f>
        <v>43139.320229166704</v>
      </c>
      <c r="J486" s="418">
        <f>+'[3]Actv COR'!$AY59</f>
        <v>0</v>
      </c>
      <c r="L486" s="419">
        <f t="shared" si="1"/>
        <v>43139.320229166704</v>
      </c>
    </row>
    <row r="487" spans="1:13" ht="15.75" x14ac:dyDescent="0.25">
      <c r="A487" s="422"/>
      <c r="C487" s="269" t="s">
        <v>816</v>
      </c>
      <c r="D487" s="467"/>
      <c r="E487" s="463" t="s">
        <v>817</v>
      </c>
      <c r="G487" s="733">
        <f>+'[3]Actv Depr Exp'!$AY60</f>
        <v>370913.59200000012</v>
      </c>
      <c r="J487" s="418">
        <f>+'[3]Actv COR'!$AY60</f>
        <v>0</v>
      </c>
      <c r="L487" s="419">
        <f t="shared" si="1"/>
        <v>370913.59200000012</v>
      </c>
    </row>
    <row r="488" spans="1:13" ht="15.75" x14ac:dyDescent="0.25">
      <c r="A488" s="422"/>
      <c r="C488" s="269" t="s">
        <v>818</v>
      </c>
      <c r="D488" s="467"/>
      <c r="E488" s="463" t="s">
        <v>819</v>
      </c>
      <c r="G488" s="733">
        <f>+'[3]Actv Depr Exp'!$AY61</f>
        <v>-35921.645250000001</v>
      </c>
      <c r="J488" s="418">
        <f>+'[3]Actv COR'!$AY61</f>
        <v>0</v>
      </c>
      <c r="L488" s="419">
        <f t="shared" si="1"/>
        <v>-35921.645250000001</v>
      </c>
    </row>
    <row r="489" spans="1:13" ht="15.75" x14ac:dyDescent="0.25">
      <c r="A489" s="422"/>
      <c r="C489" s="269" t="s">
        <v>820</v>
      </c>
      <c r="D489" s="467"/>
      <c r="E489" s="463" t="s">
        <v>821</v>
      </c>
      <c r="G489" s="733">
        <f>+'[3]Actv Depr Exp'!$AY62</f>
        <v>-4788.0894999999982</v>
      </c>
      <c r="J489" s="418">
        <f>+'[3]Actv COR'!$AY62</f>
        <v>0</v>
      </c>
      <c r="L489" s="419">
        <f t="shared" si="1"/>
        <v>-4788.0894999999982</v>
      </c>
    </row>
    <row r="490" spans="1:13" ht="15.75" x14ac:dyDescent="0.25">
      <c r="A490" s="422"/>
      <c r="C490" s="269" t="s">
        <v>822</v>
      </c>
      <c r="D490" s="467"/>
      <c r="E490" s="463" t="s">
        <v>823</v>
      </c>
      <c r="G490" s="733">
        <f>+'[3]Actv Depr Exp'!$AY63</f>
        <v>0</v>
      </c>
      <c r="J490" s="418">
        <f>+'[3]Actv COR'!$AY63</f>
        <v>0</v>
      </c>
      <c r="L490" s="419">
        <f t="shared" si="1"/>
        <v>0</v>
      </c>
    </row>
    <row r="491" spans="1:13" ht="15.75" x14ac:dyDescent="0.25">
      <c r="A491" s="422"/>
      <c r="C491" s="269" t="s">
        <v>824</v>
      </c>
      <c r="D491" s="467"/>
      <c r="E491" s="463" t="s">
        <v>825</v>
      </c>
      <c r="G491" s="733">
        <f>+'[3]Actv Depr Exp'!$AY64</f>
        <v>311699.79325000034</v>
      </c>
      <c r="J491" s="418">
        <f>+'[3]Actv COR'!$AY64</f>
        <v>0</v>
      </c>
      <c r="L491" s="419">
        <f t="shared" si="1"/>
        <v>311699.79325000034</v>
      </c>
    </row>
    <row r="492" spans="1:13" ht="15.75" x14ac:dyDescent="0.25">
      <c r="A492" s="422"/>
      <c r="C492" s="269" t="s">
        <v>968</v>
      </c>
      <c r="D492" s="467"/>
      <c r="E492" s="730" t="s">
        <v>967</v>
      </c>
      <c r="G492" s="733">
        <f>+'[3]Actv Depr Exp'!$AY65</f>
        <v>1170572.0719999999</v>
      </c>
      <c r="J492" s="418">
        <f>+'[3]Actv COR'!$AY65</f>
        <v>0</v>
      </c>
      <c r="L492" s="419">
        <f t="shared" si="1"/>
        <v>1170572.0719999999</v>
      </c>
    </row>
    <row r="493" spans="1:13" ht="15.75" x14ac:dyDescent="0.25">
      <c r="A493" s="422"/>
      <c r="C493" s="269" t="s">
        <v>826</v>
      </c>
      <c r="D493" s="467"/>
      <c r="E493" s="463" t="s">
        <v>827</v>
      </c>
      <c r="G493" s="733">
        <f>+'[3]Actv Depr Exp'!$AY66</f>
        <v>0</v>
      </c>
      <c r="J493" s="418">
        <f>+'[3]Actv COR'!$AY66</f>
        <v>0</v>
      </c>
      <c r="L493" s="419">
        <f t="shared" si="1"/>
        <v>0</v>
      </c>
    </row>
    <row r="494" spans="1:13" ht="15.75" x14ac:dyDescent="0.25">
      <c r="A494" s="422"/>
      <c r="C494" s="269" t="s">
        <v>828</v>
      </c>
      <c r="D494" s="467"/>
      <c r="E494" s="463" t="s">
        <v>829</v>
      </c>
      <c r="G494" s="733">
        <f>+'[3]Actv Depr Exp'!$AY67</f>
        <v>-430.55641666666668</v>
      </c>
      <c r="J494" s="418">
        <f>+'[3]Actv COR'!$AY67</f>
        <v>0</v>
      </c>
      <c r="L494" s="739">
        <f>+G494-I494+J494</f>
        <v>-430.55641666666668</v>
      </c>
    </row>
    <row r="495" spans="1:13" ht="15.75" x14ac:dyDescent="0.25">
      <c r="A495" s="422"/>
      <c r="C495" s="269" t="s">
        <v>830</v>
      </c>
      <c r="D495" s="467"/>
      <c r="E495" s="463" t="s">
        <v>831</v>
      </c>
      <c r="G495" s="733">
        <f>+'[3]Actv Depr Exp'!$AY68</f>
        <v>-398.55408333333332</v>
      </c>
      <c r="J495" s="418">
        <f>+'[3]Actv COR'!$AY68</f>
        <v>0</v>
      </c>
      <c r="L495" s="739">
        <f>+G495-I495+J495</f>
        <v>-398.55408333333332</v>
      </c>
      <c r="M495" s="418">
        <f>+L495+L494</f>
        <v>-829.1105</v>
      </c>
    </row>
    <row r="496" spans="1:13" ht="15.75" x14ac:dyDescent="0.25">
      <c r="A496" s="422"/>
      <c r="C496" s="269" t="s">
        <v>832</v>
      </c>
      <c r="D496" s="467"/>
      <c r="E496" s="463" t="s">
        <v>833</v>
      </c>
      <c r="G496" s="733">
        <f>+'[3]Actv Depr Exp'!$AY69</f>
        <v>380.85622183333322</v>
      </c>
      <c r="J496" s="418">
        <f>+'[3]Actv COR'!$AY69</f>
        <v>0</v>
      </c>
      <c r="L496" s="419">
        <f t="shared" si="1"/>
        <v>380.85622183333322</v>
      </c>
    </row>
    <row r="497" spans="1:12" ht="15.75" x14ac:dyDescent="0.25">
      <c r="A497" s="422"/>
      <c r="C497" s="269" t="s">
        <v>834</v>
      </c>
      <c r="D497" s="467"/>
      <c r="E497" s="463" t="s">
        <v>835</v>
      </c>
      <c r="G497" s="733">
        <f>+'[3]Actv Depr Exp'!$AY70</f>
        <v>159576.34242550004</v>
      </c>
      <c r="J497" s="418">
        <f>+'[3]Actv COR'!$AY70</f>
        <v>0</v>
      </c>
      <c r="L497" s="419">
        <f t="shared" si="1"/>
        <v>159576.34242550004</v>
      </c>
    </row>
    <row r="498" spans="1:12" ht="15.75" x14ac:dyDescent="0.25">
      <c r="A498" s="422"/>
      <c r="C498" s="269" t="s">
        <v>836</v>
      </c>
      <c r="D498" s="467"/>
      <c r="E498" s="463" t="s">
        <v>837</v>
      </c>
      <c r="G498" s="733">
        <f>+'[3]Actv Depr Exp'!$AY71</f>
        <v>203463.55865383334</v>
      </c>
      <c r="J498" s="418">
        <f>+'[3]Actv COR'!$AY71</f>
        <v>0</v>
      </c>
      <c r="L498" s="419">
        <f t="shared" si="1"/>
        <v>203463.55865383334</v>
      </c>
    </row>
    <row r="499" spans="1:12" ht="15.75" x14ac:dyDescent="0.25">
      <c r="A499" s="422"/>
      <c r="C499" s="269" t="s">
        <v>838</v>
      </c>
      <c r="D499" s="467"/>
      <c r="E499" s="463" t="s">
        <v>839</v>
      </c>
      <c r="G499" s="733">
        <f>+'[3]Actv Depr Exp'!$AY72</f>
        <v>32214.73210687501</v>
      </c>
      <c r="J499" s="418">
        <f>+'[3]Actv COR'!$AY72</f>
        <v>0</v>
      </c>
      <c r="L499" s="419">
        <f t="shared" si="1"/>
        <v>32214.73210687501</v>
      </c>
    </row>
    <row r="500" spans="1:12" ht="15.75" x14ac:dyDescent="0.25">
      <c r="A500" s="422"/>
      <c r="C500" s="269" t="s">
        <v>840</v>
      </c>
      <c r="D500" s="467"/>
      <c r="E500" s="463" t="s">
        <v>841</v>
      </c>
      <c r="G500" s="733">
        <f>+'[3]Actv Depr Exp'!$AY73</f>
        <v>90576.175298916743</v>
      </c>
      <c r="J500" s="418">
        <f>+'[3]Actv COR'!$AY73</f>
        <v>0</v>
      </c>
      <c r="L500" s="419">
        <f t="shared" si="1"/>
        <v>90576.175298916743</v>
      </c>
    </row>
    <row r="501" spans="1:12" ht="15.75" x14ac:dyDescent="0.25">
      <c r="A501" s="422"/>
      <c r="C501" s="269" t="s">
        <v>842</v>
      </c>
      <c r="D501" s="467"/>
      <c r="E501" s="463" t="s">
        <v>843</v>
      </c>
      <c r="G501" s="733">
        <f>+'[3]Actv Depr Exp'!$AY74</f>
        <v>2591.5387499999983</v>
      </c>
      <c r="J501" s="418">
        <f>+'[3]Actv COR'!$AY74</f>
        <v>0</v>
      </c>
      <c r="L501" s="419">
        <f t="shared" si="1"/>
        <v>2591.5387499999983</v>
      </c>
    </row>
    <row r="502" spans="1:12" ht="15.75" x14ac:dyDescent="0.25">
      <c r="A502" s="422"/>
      <c r="C502" s="269" t="s">
        <v>844</v>
      </c>
      <c r="D502" s="467"/>
      <c r="E502" s="463" t="s">
        <v>845</v>
      </c>
      <c r="G502" s="733">
        <f>+'[3]Actv Depr Exp'!$AY75</f>
        <v>133631.40937500016</v>
      </c>
      <c r="J502" s="418">
        <f>+'[3]Actv COR'!$AY75</f>
        <v>0</v>
      </c>
      <c r="L502" s="419">
        <f t="shared" ref="L502:L512" si="3">+G502-I502+J502</f>
        <v>133631.40937500016</v>
      </c>
    </row>
    <row r="503" spans="1:12" ht="15.75" x14ac:dyDescent="0.25">
      <c r="A503" s="422"/>
      <c r="C503" s="269" t="s">
        <v>846</v>
      </c>
      <c r="D503" s="467"/>
      <c r="E503" s="463" t="s">
        <v>847</v>
      </c>
      <c r="G503" s="733">
        <f>+'[3]Actv Depr Exp'!$AY76</f>
        <v>82695.456898250108</v>
      </c>
      <c r="J503" s="418">
        <f>+'[3]Actv COR'!$AY76</f>
        <v>0</v>
      </c>
      <c r="L503" s="419">
        <f t="shared" si="3"/>
        <v>82695.456898250108</v>
      </c>
    </row>
    <row r="504" spans="1:12" ht="15.75" x14ac:dyDescent="0.25">
      <c r="A504" s="422"/>
      <c r="C504" s="269" t="s">
        <v>848</v>
      </c>
      <c r="D504" s="467"/>
      <c r="E504" s="463" t="s">
        <v>849</v>
      </c>
      <c r="G504" s="733">
        <f>+'[3]Actv Depr Exp'!$AY77</f>
        <v>37291.034837875035</v>
      </c>
      <c r="J504" s="418">
        <f>+'[3]Actv COR'!$AY77</f>
        <v>0</v>
      </c>
      <c r="L504" s="419">
        <f t="shared" si="3"/>
        <v>37291.034837875035</v>
      </c>
    </row>
    <row r="505" spans="1:12" ht="15.75" x14ac:dyDescent="0.25">
      <c r="A505" s="422"/>
      <c r="C505" s="269" t="s">
        <v>850</v>
      </c>
      <c r="D505" s="467"/>
      <c r="E505" s="463" t="s">
        <v>851</v>
      </c>
      <c r="G505" s="733">
        <f>+'[3]Actv Depr Exp'!$AY78</f>
        <v>16650.226313791678</v>
      </c>
      <c r="J505" s="418">
        <f>+'[3]Actv COR'!$AY78</f>
        <v>0</v>
      </c>
      <c r="L505" s="419">
        <f t="shared" si="3"/>
        <v>16650.226313791678</v>
      </c>
    </row>
    <row r="506" spans="1:12" ht="15.75" x14ac:dyDescent="0.25">
      <c r="A506" s="422"/>
      <c r="C506" s="269" t="s">
        <v>852</v>
      </c>
      <c r="D506" s="467"/>
      <c r="E506" s="463" t="s">
        <v>853</v>
      </c>
      <c r="G506" s="733">
        <f>+'[3]Actv Depr Exp'!$AY79</f>
        <v>247479.83866362495</v>
      </c>
      <c r="J506" s="418">
        <f>+'[3]Actv COR'!$AY79</f>
        <v>0</v>
      </c>
      <c r="L506" s="419">
        <f t="shared" si="3"/>
        <v>247479.83866362495</v>
      </c>
    </row>
    <row r="507" spans="1:12" ht="15.75" x14ac:dyDescent="0.25">
      <c r="A507" s="422"/>
      <c r="C507" s="269" t="s">
        <v>854</v>
      </c>
      <c r="D507" s="467"/>
      <c r="E507" s="463" t="s">
        <v>855</v>
      </c>
      <c r="G507" s="733">
        <f>+'[3]Actv Depr Exp'!$AY80</f>
        <v>5871.0075645416664</v>
      </c>
      <c r="J507" s="418">
        <f>+'[3]Actv COR'!$AY80</f>
        <v>0</v>
      </c>
      <c r="L507" s="419">
        <f t="shared" si="3"/>
        <v>5871.0075645416664</v>
      </c>
    </row>
    <row r="508" spans="1:12" ht="15.75" x14ac:dyDescent="0.25">
      <c r="A508" s="422"/>
      <c r="C508" s="269" t="s">
        <v>856</v>
      </c>
      <c r="D508" s="467"/>
      <c r="E508" s="463" t="s">
        <v>857</v>
      </c>
      <c r="G508" s="733">
        <f>+'[3]Actv Depr Exp'!$AY81</f>
        <v>84630.986625000034</v>
      </c>
      <c r="J508" s="418">
        <f>+'[3]Actv COR'!$AY81</f>
        <v>0</v>
      </c>
      <c r="L508" s="419">
        <f t="shared" si="3"/>
        <v>84630.986625000034</v>
      </c>
    </row>
    <row r="509" spans="1:12" ht="15.75" x14ac:dyDescent="0.25">
      <c r="A509" s="422"/>
      <c r="C509" s="269" t="s">
        <v>858</v>
      </c>
      <c r="D509" s="467"/>
      <c r="E509" s="463" t="s">
        <v>859</v>
      </c>
      <c r="G509" s="733">
        <f>+'[3]Actv Depr Exp'!$AY82</f>
        <v>6748.2442499999988</v>
      </c>
      <c r="J509" s="418">
        <f>+'[3]Actv COR'!$AY82</f>
        <v>0</v>
      </c>
      <c r="L509" s="419">
        <f t="shared" si="3"/>
        <v>6748.2442499999988</v>
      </c>
    </row>
    <row r="510" spans="1:12" ht="15.75" x14ac:dyDescent="0.25">
      <c r="A510" s="422"/>
      <c r="C510" s="269" t="s">
        <v>860</v>
      </c>
      <c r="D510" s="467"/>
      <c r="E510" s="463" t="s">
        <v>861</v>
      </c>
      <c r="G510" s="733"/>
      <c r="L510" s="419">
        <f t="shared" si="3"/>
        <v>0</v>
      </c>
    </row>
    <row r="511" spans="1:12" ht="15.75" x14ac:dyDescent="0.25">
      <c r="A511" s="422"/>
      <c r="C511" s="269" t="s">
        <v>862</v>
      </c>
      <c r="D511" s="467"/>
      <c r="E511" s="463" t="s">
        <v>863</v>
      </c>
      <c r="G511" s="733">
        <f>+'[3]Actv Depr Exp'!$AY84</f>
        <v>0</v>
      </c>
      <c r="L511" s="419">
        <f t="shared" si="3"/>
        <v>0</v>
      </c>
    </row>
    <row r="512" spans="1:12" ht="15.75" x14ac:dyDescent="0.25">
      <c r="A512" s="422"/>
      <c r="C512" s="469" t="s">
        <v>864</v>
      </c>
      <c r="D512" s="469"/>
      <c r="E512" s="462" t="s">
        <v>865</v>
      </c>
      <c r="G512" s="734">
        <f>+'[3]Actv Depr Exp'!$AY84</f>
        <v>0</v>
      </c>
      <c r="L512" s="419">
        <f t="shared" si="3"/>
        <v>0</v>
      </c>
    </row>
    <row r="513" spans="1:15" ht="15" x14ac:dyDescent="0.25">
      <c r="A513" s="422"/>
      <c r="C513" s="470"/>
      <c r="D513" s="471"/>
      <c r="E513" s="472"/>
      <c r="G513" s="473">
        <f>+SUM(G438:G512)</f>
        <v>13912201.294719769</v>
      </c>
      <c r="I513" s="736">
        <f>+SUM(I438:I512)</f>
        <v>1800094.0258217619</v>
      </c>
      <c r="J513" s="736">
        <f>+SUM(J438:J512)</f>
        <v>2835987.9641897422</v>
      </c>
      <c r="K513" s="736"/>
      <c r="L513" s="736">
        <f t="shared" ref="L513" si="4">+SUM(L438:L512)</f>
        <v>14948095.23308775</v>
      </c>
    </row>
    <row r="514" spans="1:15" ht="15" x14ac:dyDescent="0.2">
      <c r="A514" s="422"/>
      <c r="C514" s="467"/>
      <c r="D514" s="467"/>
      <c r="E514" s="272"/>
      <c r="G514" s="418"/>
      <c r="I514" s="418">
        <f>+'[3]Actv CIAC'!$AY$52</f>
        <v>1800094.0258217617</v>
      </c>
      <c r="N514" s="419"/>
    </row>
    <row r="515" spans="1:15" ht="15" x14ac:dyDescent="0.2">
      <c r="A515" s="422"/>
      <c r="C515" s="467"/>
      <c r="D515" s="467"/>
      <c r="E515" s="272"/>
      <c r="G515" s="418"/>
      <c r="N515" s="419"/>
      <c r="O515" s="477"/>
    </row>
    <row r="516" spans="1:15" ht="15" x14ac:dyDescent="0.2">
      <c r="A516" s="422"/>
      <c r="C516" s="467"/>
      <c r="D516" s="467"/>
      <c r="E516" s="272"/>
      <c r="G516" s="475"/>
    </row>
    <row r="517" spans="1:15" x14ac:dyDescent="0.2">
      <c r="A517" s="422"/>
      <c r="C517" s="828" t="s">
        <v>992</v>
      </c>
      <c r="G517" s="475"/>
    </row>
    <row r="518" spans="1:15" x14ac:dyDescent="0.2">
      <c r="A518" s="422"/>
      <c r="C518" s="420" t="s">
        <v>527</v>
      </c>
      <c r="E518" s="418">
        <f>+'[3]Actv CIAC'!$R51</f>
        <v>-42049842.570000008</v>
      </c>
      <c r="F518" s="476">
        <f>+E518/$E$523</f>
        <v>0.54272576735054501</v>
      </c>
      <c r="G518" s="418"/>
    </row>
    <row r="519" spans="1:15" x14ac:dyDescent="0.2">
      <c r="A519" s="422"/>
      <c r="C519" s="420" t="s">
        <v>342</v>
      </c>
      <c r="E519" s="418">
        <f>+'[3]Actv CIAC'!$R52</f>
        <v>-17126784.859999999</v>
      </c>
      <c r="F519" s="476">
        <f>+E519/$E$523</f>
        <v>0.221050707619598</v>
      </c>
      <c r="G519" s="418"/>
    </row>
    <row r="520" spans="1:15" x14ac:dyDescent="0.2">
      <c r="A520" s="422"/>
      <c r="C520" s="420" t="s">
        <v>395</v>
      </c>
      <c r="E520" s="418">
        <f>+'[3]Actv CIAC'!$R53</f>
        <v>-15371933.289999999</v>
      </c>
      <c r="F520" s="476">
        <f>+E520/$E$523</f>
        <v>0.1984013204470039</v>
      </c>
      <c r="G520" s="418"/>
    </row>
    <row r="521" spans="1:15" x14ac:dyDescent="0.2">
      <c r="A521" s="422"/>
      <c r="C521" s="420" t="s">
        <v>623</v>
      </c>
      <c r="E521" s="418">
        <f>+'[3]Actv CIAC'!$R54</f>
        <v>-2930426.09</v>
      </c>
      <c r="F521" s="476">
        <f>+E521/$E$523</f>
        <v>3.7822204582853139E-2</v>
      </c>
      <c r="G521" s="418"/>
    </row>
    <row r="522" spans="1:15" x14ac:dyDescent="0.2">
      <c r="A522" s="422"/>
      <c r="C522" s="420"/>
      <c r="G522" s="418"/>
    </row>
    <row r="523" spans="1:15" x14ac:dyDescent="0.2">
      <c r="A523" s="422"/>
      <c r="C523" s="420"/>
      <c r="E523" s="418">
        <f>SUM(E518:E522)</f>
        <v>-77478986.810000002</v>
      </c>
      <c r="F523" s="476">
        <f>SUM(F518:F522)</f>
        <v>1</v>
      </c>
      <c r="G523" s="418"/>
    </row>
    <row r="524" spans="1:15" x14ac:dyDescent="0.2">
      <c r="A524" s="422"/>
    </row>
    <row r="525" spans="1:15" x14ac:dyDescent="0.2">
      <c r="A525" s="422"/>
    </row>
    <row r="526" spans="1:15" x14ac:dyDescent="0.2">
      <c r="A526" s="422"/>
    </row>
    <row r="527" spans="1:15" x14ac:dyDescent="0.2">
      <c r="A527" s="422"/>
      <c r="G527" s="828" t="s">
        <v>993</v>
      </c>
    </row>
    <row r="528" spans="1:15" x14ac:dyDescent="0.2">
      <c r="A528" s="422"/>
      <c r="G528" s="420" t="s">
        <v>868</v>
      </c>
      <c r="I528" s="418">
        <f>+[5]Total!$N$54</f>
        <v>5540346</v>
      </c>
      <c r="J528" s="418">
        <f>+$J$533*I528/$I$533</f>
        <v>5929798.3077031337</v>
      </c>
    </row>
    <row r="529" spans="1:10" x14ac:dyDescent="0.2">
      <c r="A529" s="422"/>
      <c r="G529" s="420" t="s">
        <v>870</v>
      </c>
      <c r="I529" s="418">
        <f>+[5]Total!$N$51</f>
        <v>1724255</v>
      </c>
      <c r="J529" s="418">
        <f t="shared" ref="J529:J531" si="5">+$J$533*I529/$I$533</f>
        <v>1845459.5400808302</v>
      </c>
    </row>
    <row r="530" spans="1:10" x14ac:dyDescent="0.2">
      <c r="A530" s="422"/>
      <c r="G530" s="420" t="s">
        <v>871</v>
      </c>
      <c r="I530" s="418">
        <f>+[5]Total!$N$52</f>
        <v>713280</v>
      </c>
      <c r="J530" s="418">
        <f t="shared" si="5"/>
        <v>763419.20467033854</v>
      </c>
    </row>
    <row r="531" spans="1:10" x14ac:dyDescent="0.2">
      <c r="A531" s="422"/>
      <c r="G531" s="420" t="s">
        <v>869</v>
      </c>
      <c r="I531" s="418">
        <f>+[5]Total!$N$53</f>
        <v>60735</v>
      </c>
      <c r="J531" s="418">
        <f t="shared" si="5"/>
        <v>65004.297604941974</v>
      </c>
    </row>
    <row r="532" spans="1:10" x14ac:dyDescent="0.2">
      <c r="A532" s="422"/>
    </row>
    <row r="533" spans="1:10" x14ac:dyDescent="0.2">
      <c r="A533" s="422"/>
      <c r="I533" s="418">
        <f>SUM(I528:I532)</f>
        <v>8038616</v>
      </c>
      <c r="J533" s="418">
        <f>+'COS 1'!C139</f>
        <v>8603681.3500592448</v>
      </c>
    </row>
    <row r="534" spans="1:10" x14ac:dyDescent="0.2">
      <c r="A534" s="422"/>
    </row>
    <row r="535" spans="1:10" x14ac:dyDescent="0.2">
      <c r="A535" s="422"/>
    </row>
    <row r="536" spans="1:10" x14ac:dyDescent="0.2">
      <c r="A536" s="422"/>
    </row>
    <row r="537" spans="1:10" x14ac:dyDescent="0.2">
      <c r="A537" s="422"/>
    </row>
    <row r="538" spans="1:10" x14ac:dyDescent="0.2">
      <c r="A538" s="422"/>
    </row>
    <row r="539" spans="1:10" x14ac:dyDescent="0.2">
      <c r="A539" s="422"/>
    </row>
    <row r="540" spans="1:10" x14ac:dyDescent="0.2">
      <c r="A540" s="422"/>
    </row>
    <row r="541" spans="1:10" x14ac:dyDescent="0.2">
      <c r="A541" s="422"/>
    </row>
    <row r="542" spans="1:10" x14ac:dyDescent="0.2">
      <c r="A542" s="422"/>
    </row>
    <row r="543" spans="1:10" x14ac:dyDescent="0.2">
      <c r="A543" s="422"/>
    </row>
    <row r="544" spans="1:10" x14ac:dyDescent="0.2">
      <c r="A544" s="422"/>
    </row>
    <row r="545" spans="1:1" x14ac:dyDescent="0.2">
      <c r="A545" s="422"/>
    </row>
    <row r="546" spans="1:1" x14ac:dyDescent="0.2">
      <c r="A546" s="422"/>
    </row>
    <row r="547" spans="1:1" x14ac:dyDescent="0.2">
      <c r="A547" s="422"/>
    </row>
    <row r="548" spans="1:1" x14ac:dyDescent="0.2">
      <c r="A548" s="422"/>
    </row>
    <row r="549" spans="1:1" x14ac:dyDescent="0.2">
      <c r="A549" s="422"/>
    </row>
    <row r="550" spans="1:1" x14ac:dyDescent="0.2">
      <c r="A550" s="422"/>
    </row>
    <row r="551" spans="1:1" x14ac:dyDescent="0.2">
      <c r="A551" s="422"/>
    </row>
    <row r="552" spans="1:1" x14ac:dyDescent="0.2">
      <c r="A552" s="422"/>
    </row>
    <row r="553" spans="1:1" x14ac:dyDescent="0.2">
      <c r="A553" s="422"/>
    </row>
    <row r="554" spans="1:1" x14ac:dyDescent="0.2">
      <c r="A554" s="422"/>
    </row>
    <row r="555" spans="1:1" x14ac:dyDescent="0.2">
      <c r="A555" s="422"/>
    </row>
    <row r="556" spans="1:1" x14ac:dyDescent="0.2">
      <c r="A556" s="422"/>
    </row>
    <row r="557" spans="1:1" x14ac:dyDescent="0.2">
      <c r="A557" s="422"/>
    </row>
    <row r="558" spans="1:1" x14ac:dyDescent="0.2">
      <c r="A558" s="422"/>
    </row>
    <row r="559" spans="1:1" x14ac:dyDescent="0.2">
      <c r="A559" s="422"/>
    </row>
    <row r="560" spans="1:1" x14ac:dyDescent="0.2">
      <c r="A560" s="422"/>
    </row>
    <row r="561" spans="1:1" x14ac:dyDescent="0.2">
      <c r="A561" s="422"/>
    </row>
    <row r="562" spans="1:1" x14ac:dyDescent="0.2">
      <c r="A562" s="422"/>
    </row>
    <row r="563" spans="1:1" x14ac:dyDescent="0.2">
      <c r="A563" s="422"/>
    </row>
    <row r="564" spans="1:1" x14ac:dyDescent="0.2">
      <c r="A564" s="422"/>
    </row>
    <row r="565" spans="1:1" x14ac:dyDescent="0.2">
      <c r="A565" s="422"/>
    </row>
    <row r="566" spans="1:1" x14ac:dyDescent="0.2">
      <c r="A566" s="422"/>
    </row>
    <row r="567" spans="1:1" x14ac:dyDescent="0.2">
      <c r="A567" s="422"/>
    </row>
    <row r="568" spans="1:1" x14ac:dyDescent="0.2">
      <c r="A568" s="422"/>
    </row>
    <row r="569" spans="1:1" x14ac:dyDescent="0.2">
      <c r="A569" s="422"/>
    </row>
    <row r="570" spans="1:1" x14ac:dyDescent="0.2">
      <c r="A570" s="422"/>
    </row>
    <row r="571" spans="1:1" x14ac:dyDescent="0.2">
      <c r="A571" s="422"/>
    </row>
    <row r="572" spans="1:1" x14ac:dyDescent="0.2">
      <c r="A572" s="422"/>
    </row>
    <row r="573" spans="1:1" x14ac:dyDescent="0.2">
      <c r="A573" s="422"/>
    </row>
    <row r="574" spans="1:1" x14ac:dyDescent="0.2">
      <c r="A574" s="422"/>
    </row>
    <row r="575" spans="1:1" x14ac:dyDescent="0.2">
      <c r="A575" s="422"/>
    </row>
    <row r="576" spans="1:1" x14ac:dyDescent="0.2">
      <c r="A576" s="422"/>
    </row>
    <row r="577" spans="1:1" x14ac:dyDescent="0.2">
      <c r="A577" s="422"/>
    </row>
    <row r="578" spans="1:1" x14ac:dyDescent="0.2">
      <c r="A578" s="422"/>
    </row>
    <row r="579" spans="1:1" x14ac:dyDescent="0.2">
      <c r="A579" s="422"/>
    </row>
    <row r="580" spans="1:1" x14ac:dyDescent="0.2">
      <c r="A580" s="422"/>
    </row>
    <row r="581" spans="1:1" x14ac:dyDescent="0.2">
      <c r="A581" s="422"/>
    </row>
    <row r="582" spans="1:1" x14ac:dyDescent="0.2">
      <c r="A582" s="422"/>
    </row>
    <row r="583" spans="1:1" x14ac:dyDescent="0.2">
      <c r="A583" s="422"/>
    </row>
    <row r="584" spans="1:1" x14ac:dyDescent="0.2">
      <c r="A584" s="422"/>
    </row>
    <row r="585" spans="1:1" x14ac:dyDescent="0.2">
      <c r="A585" s="422"/>
    </row>
    <row r="586" spans="1:1" x14ac:dyDescent="0.2">
      <c r="A586" s="422"/>
    </row>
    <row r="587" spans="1:1" x14ac:dyDescent="0.2">
      <c r="A587" s="422"/>
    </row>
    <row r="588" spans="1:1" x14ac:dyDescent="0.2">
      <c r="A588" s="422"/>
    </row>
    <row r="589" spans="1:1" x14ac:dyDescent="0.2">
      <c r="A589" s="422"/>
    </row>
    <row r="590" spans="1:1" x14ac:dyDescent="0.2">
      <c r="A590" s="422"/>
    </row>
    <row r="591" spans="1:1" x14ac:dyDescent="0.2">
      <c r="A591" s="422"/>
    </row>
    <row r="592" spans="1:1" x14ac:dyDescent="0.2">
      <c r="A592" s="422"/>
    </row>
    <row r="593" spans="1:1" x14ac:dyDescent="0.2">
      <c r="A593" s="422"/>
    </row>
    <row r="594" spans="1:1" x14ac:dyDescent="0.2">
      <c r="A594" s="422"/>
    </row>
    <row r="595" spans="1:1" x14ac:dyDescent="0.2">
      <c r="A595" s="422"/>
    </row>
    <row r="596" spans="1:1" x14ac:dyDescent="0.2">
      <c r="A596" s="422"/>
    </row>
    <row r="597" spans="1:1" x14ac:dyDescent="0.2">
      <c r="A597" s="422"/>
    </row>
    <row r="598" spans="1:1" x14ac:dyDescent="0.2">
      <c r="A598" s="422"/>
    </row>
    <row r="599" spans="1:1" x14ac:dyDescent="0.2">
      <c r="A599" s="422"/>
    </row>
    <row r="600" spans="1:1" x14ac:dyDescent="0.2">
      <c r="A600" s="422"/>
    </row>
    <row r="601" spans="1:1" x14ac:dyDescent="0.2">
      <c r="A601" s="422"/>
    </row>
    <row r="602" spans="1:1" x14ac:dyDescent="0.2">
      <c r="A602" s="422"/>
    </row>
    <row r="603" spans="1:1" x14ac:dyDescent="0.2">
      <c r="A603" s="422"/>
    </row>
    <row r="604" spans="1:1" x14ac:dyDescent="0.2">
      <c r="A604" s="422"/>
    </row>
    <row r="605" spans="1:1" x14ac:dyDescent="0.2">
      <c r="A605" s="422"/>
    </row>
    <row r="606" spans="1:1" x14ac:dyDescent="0.2">
      <c r="A606" s="422"/>
    </row>
    <row r="607" spans="1:1" x14ac:dyDescent="0.2">
      <c r="A607" s="422"/>
    </row>
    <row r="608" spans="1:1" x14ac:dyDescent="0.2">
      <c r="A608" s="422"/>
    </row>
    <row r="609" spans="1:1" x14ac:dyDescent="0.2">
      <c r="A609" s="422"/>
    </row>
    <row r="610" spans="1:1" x14ac:dyDescent="0.2">
      <c r="A610" s="422"/>
    </row>
    <row r="611" spans="1:1" x14ac:dyDescent="0.2">
      <c r="A611" s="422"/>
    </row>
    <row r="612" spans="1:1" x14ac:dyDescent="0.2">
      <c r="A612" s="422"/>
    </row>
    <row r="613" spans="1:1" x14ac:dyDescent="0.2">
      <c r="A613" s="422"/>
    </row>
    <row r="614" spans="1:1" x14ac:dyDescent="0.2">
      <c r="A614" s="422"/>
    </row>
    <row r="615" spans="1:1" x14ac:dyDescent="0.2">
      <c r="A615" s="422"/>
    </row>
    <row r="616" spans="1:1" x14ac:dyDescent="0.2">
      <c r="A616" s="422"/>
    </row>
    <row r="617" spans="1:1" x14ac:dyDescent="0.2">
      <c r="A617" s="422"/>
    </row>
    <row r="618" spans="1:1" x14ac:dyDescent="0.2">
      <c r="A618" s="422"/>
    </row>
    <row r="619" spans="1:1" x14ac:dyDescent="0.2">
      <c r="A619" s="422"/>
    </row>
    <row r="620" spans="1:1" x14ac:dyDescent="0.2">
      <c r="A620" s="422"/>
    </row>
    <row r="621" spans="1:1" x14ac:dyDescent="0.2">
      <c r="A621" s="422"/>
    </row>
    <row r="622" spans="1:1" x14ac:dyDescent="0.2">
      <c r="A622" s="422"/>
    </row>
    <row r="623" spans="1:1" x14ac:dyDescent="0.2">
      <c r="A623" s="422"/>
    </row>
    <row r="624" spans="1:1" x14ac:dyDescent="0.2">
      <c r="A624" s="422"/>
    </row>
    <row r="625" spans="1:1" x14ac:dyDescent="0.2">
      <c r="A625" s="422"/>
    </row>
    <row r="626" spans="1:1" x14ac:dyDescent="0.2">
      <c r="A626" s="422"/>
    </row>
    <row r="627" spans="1:1" x14ac:dyDescent="0.2">
      <c r="A627" s="422"/>
    </row>
    <row r="628" spans="1:1" x14ac:dyDescent="0.2">
      <c r="A628" s="422"/>
    </row>
    <row r="629" spans="1:1" x14ac:dyDescent="0.2">
      <c r="A629" s="422"/>
    </row>
    <row r="630" spans="1:1" x14ac:dyDescent="0.2">
      <c r="A630" s="422"/>
    </row>
    <row r="631" spans="1:1" x14ac:dyDescent="0.2">
      <c r="A631" s="422"/>
    </row>
    <row r="632" spans="1:1" x14ac:dyDescent="0.2">
      <c r="A632" s="422"/>
    </row>
    <row r="633" spans="1:1" x14ac:dyDescent="0.2">
      <c r="A633" s="422"/>
    </row>
    <row r="634" spans="1:1" x14ac:dyDescent="0.2">
      <c r="A634" s="422"/>
    </row>
    <row r="635" spans="1:1" x14ac:dyDescent="0.2">
      <c r="A635" s="422"/>
    </row>
    <row r="636" spans="1:1" x14ac:dyDescent="0.2">
      <c r="A636" s="422"/>
    </row>
    <row r="637" spans="1:1" x14ac:dyDescent="0.2">
      <c r="A637" s="422"/>
    </row>
    <row r="638" spans="1:1" x14ac:dyDescent="0.2">
      <c r="A638" s="422"/>
    </row>
    <row r="639" spans="1:1" x14ac:dyDescent="0.2">
      <c r="A639" s="422"/>
    </row>
    <row r="640" spans="1:1" x14ac:dyDescent="0.2">
      <c r="A640" s="422"/>
    </row>
    <row r="641" spans="1:1" x14ac:dyDescent="0.2">
      <c r="A641" s="422"/>
    </row>
    <row r="642" spans="1:1" x14ac:dyDescent="0.2">
      <c r="A642" s="422"/>
    </row>
    <row r="643" spans="1:1" x14ac:dyDescent="0.2">
      <c r="A643" s="422"/>
    </row>
    <row r="644" spans="1:1" x14ac:dyDescent="0.2">
      <c r="A644" s="422"/>
    </row>
    <row r="645" spans="1:1" x14ac:dyDescent="0.2">
      <c r="A645" s="422"/>
    </row>
    <row r="646" spans="1:1" x14ac:dyDescent="0.2">
      <c r="A646" s="422"/>
    </row>
    <row r="647" spans="1:1" x14ac:dyDescent="0.2">
      <c r="A647" s="422"/>
    </row>
    <row r="648" spans="1:1" x14ac:dyDescent="0.2">
      <c r="A648" s="422"/>
    </row>
    <row r="649" spans="1:1" x14ac:dyDescent="0.2">
      <c r="A649" s="422"/>
    </row>
    <row r="650" spans="1:1" x14ac:dyDescent="0.2">
      <c r="A650" s="422"/>
    </row>
    <row r="651" spans="1:1" x14ac:dyDescent="0.2">
      <c r="A651" s="422"/>
    </row>
    <row r="652" spans="1:1" x14ac:dyDescent="0.2">
      <c r="A652" s="422"/>
    </row>
    <row r="653" spans="1:1" x14ac:dyDescent="0.2">
      <c r="A653" s="422"/>
    </row>
    <row r="654" spans="1:1" x14ac:dyDescent="0.2">
      <c r="A654" s="422"/>
    </row>
    <row r="655" spans="1:1" x14ac:dyDescent="0.2">
      <c r="A655" s="422"/>
    </row>
    <row r="656" spans="1:1" x14ac:dyDescent="0.2">
      <c r="A656" s="422"/>
    </row>
    <row r="657" spans="1:1" x14ac:dyDescent="0.2">
      <c r="A657" s="422"/>
    </row>
    <row r="658" spans="1:1" x14ac:dyDescent="0.2">
      <c r="A658" s="422"/>
    </row>
    <row r="659" spans="1:1" x14ac:dyDescent="0.2">
      <c r="A659" s="422"/>
    </row>
    <row r="660" spans="1:1" x14ac:dyDescent="0.2">
      <c r="A660" s="422"/>
    </row>
    <row r="661" spans="1:1" x14ac:dyDescent="0.2">
      <c r="A661" s="422"/>
    </row>
    <row r="662" spans="1:1" x14ac:dyDescent="0.2">
      <c r="A662" s="422"/>
    </row>
    <row r="663" spans="1:1" x14ac:dyDescent="0.2">
      <c r="A663" s="422"/>
    </row>
    <row r="664" spans="1:1" x14ac:dyDescent="0.2">
      <c r="A664" s="422"/>
    </row>
    <row r="665" spans="1:1" x14ac:dyDescent="0.2">
      <c r="A665" s="422"/>
    </row>
    <row r="666" spans="1:1" x14ac:dyDescent="0.2">
      <c r="A666" s="422"/>
    </row>
    <row r="667" spans="1:1" x14ac:dyDescent="0.2">
      <c r="A667" s="422"/>
    </row>
    <row r="668" spans="1:1" x14ac:dyDescent="0.2">
      <c r="A668" s="422"/>
    </row>
    <row r="669" spans="1:1" x14ac:dyDescent="0.2">
      <c r="A669" s="422"/>
    </row>
    <row r="670" spans="1:1" x14ac:dyDescent="0.2">
      <c r="A670" s="422"/>
    </row>
    <row r="671" spans="1:1" x14ac:dyDescent="0.2">
      <c r="A671" s="422"/>
    </row>
    <row r="672" spans="1:1" x14ac:dyDescent="0.2">
      <c r="A672" s="422"/>
    </row>
    <row r="673" spans="1:1" x14ac:dyDescent="0.2">
      <c r="A673" s="422"/>
    </row>
    <row r="674" spans="1:1" x14ac:dyDescent="0.2">
      <c r="A674" s="422"/>
    </row>
  </sheetData>
  <mergeCells count="5">
    <mergeCell ref="A7:L7"/>
    <mergeCell ref="A39:L39"/>
    <mergeCell ref="A4:L4"/>
    <mergeCell ref="A5:L5"/>
    <mergeCell ref="A6:L6"/>
  </mergeCells>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X193"/>
  <sheetViews>
    <sheetView tabSelected="1" view="pageLayout" topLeftCell="A34" zoomScaleNormal="100" workbookViewId="0">
      <selection activeCell="M516" sqref="M516"/>
    </sheetView>
  </sheetViews>
  <sheetFormatPr defaultColWidth="9.77734375" defaultRowHeight="15" x14ac:dyDescent="0.2"/>
  <cols>
    <col min="1" max="1" width="11.21875" style="39" customWidth="1"/>
    <col min="2" max="2" width="10.33203125" style="39" customWidth="1"/>
    <col min="3" max="3" width="13.33203125" style="39" customWidth="1"/>
    <col min="4" max="4" width="10.6640625" style="39" customWidth="1"/>
    <col min="5" max="5" width="14.109375" style="39" customWidth="1"/>
    <col min="6" max="6" width="10.6640625" style="39" customWidth="1"/>
    <col min="7" max="8" width="9.77734375" style="39" customWidth="1"/>
    <col min="9" max="9" width="5.77734375" style="39" customWidth="1"/>
    <col min="10" max="10" width="8.6640625" style="39" customWidth="1"/>
    <col min="11" max="11" width="7.77734375" style="39" customWidth="1"/>
    <col min="12" max="12" width="1.77734375" style="39" customWidth="1"/>
    <col min="13" max="13" width="7.77734375" style="39" customWidth="1"/>
    <col min="14" max="14" width="1.77734375" style="39" customWidth="1"/>
    <col min="15" max="15" width="7.77734375" style="39" customWidth="1"/>
    <col min="16" max="16" width="1.77734375" style="39" customWidth="1"/>
    <col min="17" max="17" width="7.77734375" style="39" customWidth="1"/>
    <col min="18" max="18" width="1.77734375" style="39" customWidth="1"/>
    <col min="19" max="19" width="7.77734375" style="39" customWidth="1"/>
    <col min="20" max="20" width="1.77734375" style="39" customWidth="1"/>
    <col min="21" max="21" width="7.77734375" style="39" customWidth="1"/>
    <col min="22" max="22" width="1.77734375" style="39" customWidth="1"/>
    <col min="23" max="23" width="8.77734375" style="39" customWidth="1"/>
    <col min="24" max="24" width="1.77734375" style="39" customWidth="1"/>
    <col min="25" max="25" width="7.77734375" style="39" customWidth="1"/>
    <col min="26" max="26" width="1.77734375" style="39" customWidth="1"/>
    <col min="27" max="27" width="8.77734375" style="39" customWidth="1"/>
    <col min="28" max="28" width="1.77734375" style="39" customWidth="1"/>
    <col min="29" max="29" width="7.77734375" style="39" customWidth="1"/>
    <col min="30" max="30" width="1.77734375" style="39" customWidth="1"/>
    <col min="31" max="31" width="9.77734375" style="39" customWidth="1"/>
    <col min="32" max="32" width="1.77734375" style="39" customWidth="1"/>
    <col min="33" max="33" width="7.77734375" style="39" customWidth="1"/>
    <col min="34" max="34" width="1.77734375" style="39" customWidth="1"/>
    <col min="35" max="35" width="9.77734375" style="39" customWidth="1"/>
    <col min="36" max="36" width="1.77734375" style="39" customWidth="1"/>
    <col min="37" max="37" width="7.77734375" style="39" customWidth="1"/>
    <col min="38" max="38" width="1.77734375" style="39" customWidth="1"/>
    <col min="39" max="39" width="7.77734375" style="39" customWidth="1"/>
    <col min="40" max="41" width="9.77734375" style="39" customWidth="1"/>
    <col min="42" max="42" width="6.77734375" style="39" customWidth="1"/>
    <col min="43" max="43" width="4.77734375" style="39" customWidth="1"/>
    <col min="44" max="44" width="9.77734375" style="39" customWidth="1"/>
    <col min="45" max="45" width="4.77734375" style="39" customWidth="1"/>
    <col min="46" max="46" width="9.77734375" style="39" customWidth="1"/>
    <col min="47" max="47" width="4.77734375" style="39" customWidth="1"/>
    <col min="48" max="48" width="9.77734375" style="39" customWidth="1"/>
    <col min="49" max="49" width="4.77734375" style="39" customWidth="1"/>
    <col min="50" max="50" width="8.77734375" style="39" customWidth="1"/>
    <col min="51" max="16384" width="9.77734375" style="39"/>
  </cols>
  <sheetData>
    <row r="1" spans="1:6" x14ac:dyDescent="0.2">
      <c r="A1" s="864" t="s">
        <v>7</v>
      </c>
      <c r="B1" s="864"/>
      <c r="C1" s="864"/>
      <c r="D1" s="864"/>
      <c r="E1" s="864"/>
      <c r="F1" s="864"/>
    </row>
    <row r="2" spans="1:6" x14ac:dyDescent="0.2">
      <c r="A2" s="38"/>
      <c r="B2" s="38"/>
      <c r="C2" s="38"/>
      <c r="D2" s="38"/>
      <c r="E2" s="38"/>
      <c r="F2" s="38"/>
    </row>
    <row r="3" spans="1:6" x14ac:dyDescent="0.2">
      <c r="A3" s="863" t="s">
        <v>234</v>
      </c>
      <c r="B3" s="863"/>
      <c r="C3" s="863"/>
      <c r="D3" s="863"/>
      <c r="E3" s="863"/>
      <c r="F3" s="863"/>
    </row>
    <row r="4" spans="1:6" x14ac:dyDescent="0.2">
      <c r="A4" s="559"/>
      <c r="B4" s="559"/>
      <c r="C4" s="559"/>
      <c r="D4" s="559"/>
      <c r="E4" s="559"/>
      <c r="F4" s="559"/>
    </row>
    <row r="5" spans="1:6" x14ac:dyDescent="0.2">
      <c r="A5" s="559" t="s">
        <v>161</v>
      </c>
      <c r="B5" s="559"/>
      <c r="C5" s="559"/>
      <c r="D5" s="559"/>
      <c r="E5" s="559"/>
      <c r="F5" s="559"/>
    </row>
    <row r="6" spans="1:6" x14ac:dyDescent="0.2">
      <c r="A6" s="559"/>
      <c r="B6" s="559"/>
      <c r="C6" s="559"/>
      <c r="D6" s="559"/>
      <c r="E6" s="559"/>
      <c r="F6" s="559"/>
    </row>
    <row r="7" spans="1:6" x14ac:dyDescent="0.2">
      <c r="A7" s="559" t="s">
        <v>181</v>
      </c>
      <c r="B7" s="559"/>
      <c r="C7" s="559"/>
      <c r="D7" s="559"/>
      <c r="E7" s="559"/>
      <c r="F7" s="559"/>
    </row>
    <row r="8" spans="1:6" x14ac:dyDescent="0.2">
      <c r="A8" s="559"/>
      <c r="B8" s="559"/>
      <c r="C8" s="559"/>
      <c r="D8" s="559"/>
      <c r="E8" s="559"/>
      <c r="F8" s="559"/>
    </row>
    <row r="9" spans="1:6" x14ac:dyDescent="0.2">
      <c r="A9" s="561" t="s">
        <v>200</v>
      </c>
      <c r="B9" s="561"/>
      <c r="C9" s="559"/>
      <c r="D9" s="548"/>
      <c r="E9" s="562"/>
      <c r="F9" s="562" t="s">
        <v>202</v>
      </c>
    </row>
    <row r="10" spans="1:6" x14ac:dyDescent="0.2">
      <c r="A10" s="561" t="s">
        <v>203</v>
      </c>
      <c r="B10" s="561"/>
      <c r="C10" s="559"/>
      <c r="D10" s="548"/>
      <c r="E10" s="562"/>
      <c r="F10" s="562" t="s">
        <v>204</v>
      </c>
    </row>
    <row r="11" spans="1:6" x14ac:dyDescent="0.2">
      <c r="A11" s="563" t="s">
        <v>205</v>
      </c>
      <c r="B11" s="563"/>
      <c r="C11" s="559"/>
      <c r="D11" s="548"/>
      <c r="E11" s="562"/>
      <c r="F11" s="564" t="s">
        <v>207</v>
      </c>
    </row>
    <row r="12" spans="1:6" ht="12.75" customHeight="1" x14ac:dyDescent="0.2">
      <c r="A12" s="559"/>
      <c r="B12" s="565"/>
      <c r="C12" s="559"/>
      <c r="D12" s="548"/>
      <c r="E12" s="559"/>
      <c r="F12" s="559"/>
    </row>
    <row r="13" spans="1:6" x14ac:dyDescent="0.2">
      <c r="A13" s="590" t="s">
        <v>217</v>
      </c>
      <c r="B13" s="565"/>
      <c r="C13" s="559"/>
      <c r="D13" s="548"/>
      <c r="E13" s="559"/>
      <c r="F13" s="566">
        <v>1</v>
      </c>
    </row>
    <row r="14" spans="1:6" x14ac:dyDescent="0.2">
      <c r="A14" s="559"/>
      <c r="B14" s="559"/>
      <c r="C14" s="559"/>
      <c r="D14" s="548"/>
      <c r="E14" s="559"/>
      <c r="F14" s="591"/>
    </row>
    <row r="15" spans="1:6" ht="15.75" thickBot="1" x14ac:dyDescent="0.25">
      <c r="A15" s="559" t="s">
        <v>320</v>
      </c>
      <c r="B15" s="559"/>
      <c r="C15" s="559"/>
      <c r="D15" s="548"/>
      <c r="E15" s="559"/>
      <c r="F15" s="566">
        <f>SUM(F13:F13)</f>
        <v>1</v>
      </c>
    </row>
    <row r="16" spans="1:6" ht="15.75" thickTop="1" x14ac:dyDescent="0.2">
      <c r="A16" s="559"/>
      <c r="B16" s="559"/>
      <c r="C16" s="559"/>
      <c r="D16" s="548"/>
      <c r="E16" s="559"/>
      <c r="F16" s="592"/>
    </row>
    <row r="17" spans="1:10" x14ac:dyDescent="0.2">
      <c r="A17" s="559"/>
      <c r="B17" s="559"/>
      <c r="C17" s="559"/>
      <c r="D17" s="559"/>
      <c r="E17" s="559"/>
      <c r="F17" s="559"/>
    </row>
    <row r="18" spans="1:10" x14ac:dyDescent="0.2">
      <c r="A18" s="559"/>
      <c r="B18" s="559"/>
      <c r="C18" s="559"/>
      <c r="D18" s="559"/>
      <c r="E18" s="559"/>
      <c r="F18" s="559"/>
    </row>
    <row r="19" spans="1:10" x14ac:dyDescent="0.2">
      <c r="A19" s="559" t="s">
        <v>321</v>
      </c>
      <c r="B19" s="559"/>
      <c r="C19" s="559"/>
      <c r="D19" s="559"/>
      <c r="E19" s="559"/>
      <c r="F19" s="559"/>
    </row>
    <row r="20" spans="1:10" x14ac:dyDescent="0.2">
      <c r="A20" s="559"/>
      <c r="B20" s="559"/>
      <c r="C20" s="559"/>
      <c r="D20" s="559"/>
      <c r="E20" s="559"/>
      <c r="F20" s="559"/>
    </row>
    <row r="21" spans="1:10" ht="28.15" customHeight="1" x14ac:dyDescent="0.2">
      <c r="A21" s="862" t="s">
        <v>322</v>
      </c>
      <c r="B21" s="862"/>
      <c r="C21" s="862"/>
      <c r="D21" s="862"/>
      <c r="E21" s="862"/>
      <c r="F21" s="862"/>
    </row>
    <row r="22" spans="1:10" x14ac:dyDescent="0.2">
      <c r="A22" s="559"/>
      <c r="B22" s="559"/>
      <c r="C22" s="559"/>
      <c r="D22" s="559"/>
      <c r="E22" s="559"/>
      <c r="F22" s="559"/>
    </row>
    <row r="23" spans="1:10" x14ac:dyDescent="0.2">
      <c r="A23" s="561" t="s">
        <v>200</v>
      </c>
      <c r="B23" s="561"/>
      <c r="C23" s="559"/>
      <c r="D23" s="562" t="s">
        <v>323</v>
      </c>
      <c r="E23" s="562"/>
      <c r="F23" s="562" t="s">
        <v>202</v>
      </c>
    </row>
    <row r="24" spans="1:10" x14ac:dyDescent="0.2">
      <c r="A24" s="561" t="s">
        <v>203</v>
      </c>
      <c r="B24" s="561"/>
      <c r="C24" s="559"/>
      <c r="D24" s="562" t="s">
        <v>324</v>
      </c>
      <c r="E24" s="562"/>
      <c r="F24" s="562" t="s">
        <v>204</v>
      </c>
    </row>
    <row r="25" spans="1:10" x14ac:dyDescent="0.2">
      <c r="A25" s="563" t="s">
        <v>205</v>
      </c>
      <c r="B25" s="563"/>
      <c r="C25" s="559"/>
      <c r="D25" s="564" t="s">
        <v>227</v>
      </c>
      <c r="E25" s="562" t="s">
        <v>325</v>
      </c>
      <c r="F25" s="564" t="s">
        <v>207</v>
      </c>
    </row>
    <row r="26" spans="1:10" ht="12.75" customHeight="1" x14ac:dyDescent="0.2">
      <c r="A26" s="559"/>
      <c r="B26" s="565"/>
      <c r="C26" s="559"/>
      <c r="D26" s="559"/>
      <c r="E26" s="559"/>
      <c r="F26" s="566"/>
      <c r="H26" s="240"/>
      <c r="I26" s="240"/>
      <c r="J26" s="240"/>
    </row>
    <row r="27" spans="1:10" x14ac:dyDescent="0.2">
      <c r="A27" s="559" t="s">
        <v>208</v>
      </c>
      <c r="B27" s="565"/>
      <c r="C27" s="559"/>
      <c r="D27" s="569">
        <f>+'Meters &amp; Services'!H21</f>
        <v>118614</v>
      </c>
      <c r="E27" s="559"/>
      <c r="F27" s="593">
        <f>ROUND(+D27/D$34,4)</f>
        <v>0.82950000000000002</v>
      </c>
      <c r="H27" s="241"/>
      <c r="I27" s="240"/>
      <c r="J27" s="239"/>
    </row>
    <row r="28" spans="1:10" x14ac:dyDescent="0.2">
      <c r="A28" s="559" t="s">
        <v>209</v>
      </c>
      <c r="B28" s="565"/>
      <c r="C28" s="559"/>
      <c r="D28" s="569">
        <f>+'Meters &amp; Services'!L21</f>
        <v>18473</v>
      </c>
      <c r="E28" s="559"/>
      <c r="F28" s="566">
        <f t="shared" ref="F28:F32" si="0">ROUND(+D28/D$34,4)</f>
        <v>0.12920000000000001</v>
      </c>
      <c r="H28" s="241"/>
      <c r="I28" s="240"/>
      <c r="J28" s="242"/>
    </row>
    <row r="29" spans="1:10" x14ac:dyDescent="0.2">
      <c r="A29" s="559" t="s">
        <v>210</v>
      </c>
      <c r="B29" s="565"/>
      <c r="C29" s="559"/>
      <c r="D29" s="569">
        <f>+'Meters &amp; Services'!P21</f>
        <v>552</v>
      </c>
      <c r="E29" s="559"/>
      <c r="F29" s="566">
        <f t="shared" si="0"/>
        <v>3.8999999999999998E-3</v>
      </c>
      <c r="H29" s="241"/>
      <c r="I29" s="240"/>
      <c r="J29" s="242"/>
    </row>
    <row r="30" spans="1:10" x14ac:dyDescent="0.2">
      <c r="A30" s="559" t="s">
        <v>214</v>
      </c>
      <c r="B30" s="565"/>
      <c r="C30" s="559"/>
      <c r="D30" s="569">
        <f>+'Meters &amp; Services'!T21</f>
        <v>3324</v>
      </c>
      <c r="E30" s="559"/>
      <c r="F30" s="566">
        <f t="shared" si="0"/>
        <v>2.3199999999999998E-2</v>
      </c>
      <c r="H30" s="241"/>
      <c r="I30" s="240"/>
      <c r="J30" s="242"/>
    </row>
    <row r="31" spans="1:10" x14ac:dyDescent="0.2">
      <c r="A31" s="559" t="s">
        <v>333</v>
      </c>
      <c r="B31" s="565"/>
      <c r="C31" s="559"/>
      <c r="D31" s="569">
        <f>+'Meters &amp; Services'!X21</f>
        <v>334</v>
      </c>
      <c r="E31" s="559"/>
      <c r="F31" s="566">
        <f t="shared" si="0"/>
        <v>2.3E-3</v>
      </c>
      <c r="H31" s="240"/>
      <c r="I31" s="240"/>
      <c r="J31" s="242"/>
    </row>
    <row r="32" spans="1:10" x14ac:dyDescent="0.2">
      <c r="A32" s="559" t="s">
        <v>154</v>
      </c>
      <c r="B32" s="565"/>
      <c r="C32" s="559"/>
      <c r="D32" s="569">
        <f>+'Meters &amp; Services'!AB21</f>
        <v>1701</v>
      </c>
      <c r="E32" s="559"/>
      <c r="F32" s="566">
        <f t="shared" si="0"/>
        <v>1.1900000000000001E-2</v>
      </c>
      <c r="H32" s="240"/>
      <c r="I32" s="240"/>
      <c r="J32" s="242"/>
    </row>
    <row r="33" spans="1:50" x14ac:dyDescent="0.2">
      <c r="A33" s="559"/>
      <c r="B33" s="565"/>
      <c r="C33" s="559"/>
      <c r="D33" s="594"/>
      <c r="E33" s="559"/>
      <c r="F33" s="595"/>
      <c r="H33" s="240"/>
      <c r="I33" s="240"/>
      <c r="J33" s="96"/>
    </row>
    <row r="34" spans="1:50" ht="15.75" thickBot="1" x14ac:dyDescent="0.25">
      <c r="A34" s="559" t="s">
        <v>218</v>
      </c>
      <c r="B34" s="565"/>
      <c r="C34" s="559"/>
      <c r="D34" s="569">
        <f>SUM(D27:D33)</f>
        <v>142998</v>
      </c>
      <c r="E34" s="559"/>
      <c r="F34" s="574">
        <f>SUM(F27:F33)</f>
        <v>1</v>
      </c>
      <c r="H34" s="243"/>
      <c r="I34" s="240"/>
      <c r="J34" s="242"/>
    </row>
    <row r="35" spans="1:50" ht="15.75" thickTop="1" x14ac:dyDescent="0.2">
      <c r="A35" s="559"/>
      <c r="B35" s="559"/>
      <c r="C35" s="559"/>
      <c r="D35" s="596"/>
      <c r="E35" s="597"/>
      <c r="F35" s="572"/>
      <c r="H35" s="240"/>
      <c r="I35" s="240"/>
      <c r="J35" s="240"/>
    </row>
    <row r="36" spans="1:50" x14ac:dyDescent="0.2">
      <c r="A36" s="15" t="s">
        <v>7</v>
      </c>
      <c r="B36" s="561"/>
      <c r="C36" s="561"/>
      <c r="D36" s="561"/>
      <c r="E36" s="561"/>
      <c r="F36" s="561"/>
      <c r="G36" s="45"/>
      <c r="H36" s="244"/>
      <c r="I36" s="244"/>
      <c r="J36" s="244"/>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row>
    <row r="37" spans="1:50" x14ac:dyDescent="0.2">
      <c r="A37" s="561"/>
      <c r="B37" s="561"/>
      <c r="C37" s="561"/>
      <c r="D37" s="561"/>
      <c r="E37" s="561"/>
      <c r="F37" s="561"/>
    </row>
    <row r="38" spans="1:50" x14ac:dyDescent="0.2">
      <c r="A38" s="863" t="s">
        <v>234</v>
      </c>
      <c r="B38" s="863"/>
      <c r="C38" s="863"/>
      <c r="D38" s="863"/>
      <c r="E38" s="863"/>
      <c r="F38" s="863"/>
    </row>
    <row r="39" spans="1:50" x14ac:dyDescent="0.2">
      <c r="A39" s="559"/>
      <c r="B39" s="559"/>
      <c r="C39" s="559"/>
      <c r="D39" s="559"/>
      <c r="E39" s="559"/>
      <c r="F39" s="559"/>
    </row>
    <row r="40" spans="1:50" x14ac:dyDescent="0.2">
      <c r="A40" s="559" t="s">
        <v>326</v>
      </c>
      <c r="B40" s="559"/>
      <c r="C40" s="559"/>
      <c r="D40" s="559"/>
      <c r="E40" s="559"/>
      <c r="F40" s="559"/>
    </row>
    <row r="41" spans="1:50" x14ac:dyDescent="0.2">
      <c r="A41" s="559"/>
      <c r="B41" s="559"/>
      <c r="C41" s="559"/>
      <c r="D41" s="559"/>
      <c r="E41" s="559"/>
      <c r="F41" s="559"/>
    </row>
    <row r="42" spans="1:50" ht="27.6" customHeight="1" x14ac:dyDescent="0.2">
      <c r="A42" s="862" t="s">
        <v>327</v>
      </c>
      <c r="B42" s="862"/>
      <c r="C42" s="862"/>
      <c r="D42" s="862"/>
      <c r="E42" s="862"/>
      <c r="F42" s="862"/>
    </row>
    <row r="43" spans="1:50" x14ac:dyDescent="0.2">
      <c r="A43" s="559"/>
      <c r="B43" s="559"/>
      <c r="C43" s="559"/>
      <c r="D43" s="559"/>
      <c r="E43" s="559"/>
      <c r="F43" s="559"/>
    </row>
    <row r="44" spans="1:50" x14ac:dyDescent="0.2">
      <c r="A44" s="561" t="s">
        <v>200</v>
      </c>
      <c r="B44" s="561"/>
      <c r="C44" s="559"/>
      <c r="D44" s="562" t="s">
        <v>328</v>
      </c>
      <c r="E44" s="562"/>
      <c r="F44" s="562" t="s">
        <v>202</v>
      </c>
    </row>
    <row r="45" spans="1:50" x14ac:dyDescent="0.2">
      <c r="A45" s="561" t="s">
        <v>203</v>
      </c>
      <c r="B45" s="561"/>
      <c r="C45" s="559"/>
      <c r="D45" s="562" t="s">
        <v>324</v>
      </c>
      <c r="E45" s="562"/>
      <c r="F45" s="562" t="s">
        <v>204</v>
      </c>
    </row>
    <row r="46" spans="1:50" x14ac:dyDescent="0.2">
      <c r="A46" s="563" t="s">
        <v>205</v>
      </c>
      <c r="B46" s="563"/>
      <c r="C46" s="559"/>
      <c r="D46" s="564" t="s">
        <v>227</v>
      </c>
      <c r="E46" s="562" t="s">
        <v>325</v>
      </c>
      <c r="F46" s="564" t="s">
        <v>207</v>
      </c>
    </row>
    <row r="47" spans="1:50" ht="12.75" customHeight="1" x14ac:dyDescent="0.2">
      <c r="A47" s="559"/>
      <c r="B47" s="565"/>
      <c r="C47" s="559"/>
      <c r="D47" s="559"/>
      <c r="E47" s="559"/>
      <c r="F47" s="566"/>
    </row>
    <row r="48" spans="1:50" x14ac:dyDescent="0.2">
      <c r="A48" s="559" t="s">
        <v>208</v>
      </c>
      <c r="B48" s="565"/>
      <c r="C48" s="559"/>
      <c r="D48" s="569">
        <f>+'Meters &amp; Services'!H53</f>
        <v>118777</v>
      </c>
      <c r="E48" s="559"/>
      <c r="F48" s="593">
        <f t="shared" ref="F48:F53" si="1">ROUND(D48/D$55,4)</f>
        <v>0.82520000000000004</v>
      </c>
    </row>
    <row r="49" spans="1:6" x14ac:dyDescent="0.2">
      <c r="A49" s="559" t="s">
        <v>209</v>
      </c>
      <c r="B49" s="565"/>
      <c r="C49" s="559"/>
      <c r="D49" s="569">
        <f>+'Meters &amp; Services'!L53</f>
        <v>16054</v>
      </c>
      <c r="E49" s="559"/>
      <c r="F49" s="566">
        <f t="shared" si="1"/>
        <v>0.1115</v>
      </c>
    </row>
    <row r="50" spans="1:6" x14ac:dyDescent="0.2">
      <c r="A50" s="559" t="s">
        <v>210</v>
      </c>
      <c r="B50" s="565"/>
      <c r="C50" s="559"/>
      <c r="D50" s="569">
        <f>+'Meters &amp; Services'!P53</f>
        <v>158</v>
      </c>
      <c r="E50" s="559"/>
      <c r="F50" s="566">
        <f t="shared" si="1"/>
        <v>1.1000000000000001E-3</v>
      </c>
    </row>
    <row r="51" spans="1:6" x14ac:dyDescent="0.2">
      <c r="A51" s="559" t="s">
        <v>214</v>
      </c>
      <c r="B51" s="565"/>
      <c r="C51" s="559"/>
      <c r="D51" s="569">
        <f>+'Meters &amp; Services'!T53</f>
        <v>1933</v>
      </c>
      <c r="E51" s="559"/>
      <c r="F51" s="566">
        <f t="shared" si="1"/>
        <v>1.34E-2</v>
      </c>
    </row>
    <row r="52" spans="1:6" x14ac:dyDescent="0.2">
      <c r="A52" s="559" t="s">
        <v>333</v>
      </c>
      <c r="B52" s="565"/>
      <c r="C52" s="559"/>
      <c r="D52" s="569">
        <f>+'Meters &amp; Services'!X53</f>
        <v>80</v>
      </c>
      <c r="E52" s="559"/>
      <c r="F52" s="566">
        <f t="shared" si="1"/>
        <v>5.9999999999999995E-4</v>
      </c>
    </row>
    <row r="53" spans="1:6" x14ac:dyDescent="0.2">
      <c r="A53" s="559" t="s">
        <v>216</v>
      </c>
      <c r="B53" s="565"/>
      <c r="C53" s="559"/>
      <c r="D53" s="569">
        <f>+'Meters &amp; Services'!AB53</f>
        <v>6934</v>
      </c>
      <c r="E53" s="559"/>
      <c r="F53" s="566">
        <f t="shared" si="1"/>
        <v>4.82E-2</v>
      </c>
    </row>
    <row r="54" spans="1:6" x14ac:dyDescent="0.2">
      <c r="A54" s="559"/>
      <c r="B54" s="565"/>
      <c r="C54" s="559"/>
      <c r="D54" s="594"/>
      <c r="E54" s="559"/>
      <c r="F54" s="595"/>
    </row>
    <row r="55" spans="1:6" ht="15.75" thickBot="1" x14ac:dyDescent="0.25">
      <c r="A55" s="559" t="s">
        <v>218</v>
      </c>
      <c r="B55" s="565"/>
      <c r="C55" s="559"/>
      <c r="D55" s="569">
        <f>SUM(D48:D54)</f>
        <v>143936</v>
      </c>
      <c r="E55" s="559"/>
      <c r="F55" s="574">
        <f>SUM(F48:F54)</f>
        <v>1</v>
      </c>
    </row>
    <row r="56" spans="1:6" ht="15.75" thickTop="1" x14ac:dyDescent="0.2">
      <c r="A56" s="559"/>
      <c r="B56" s="559"/>
      <c r="C56" s="559"/>
      <c r="D56" s="596"/>
      <c r="E56" s="597"/>
      <c r="F56" s="598"/>
    </row>
    <row r="57" spans="1:6" x14ac:dyDescent="0.2">
      <c r="A57" s="559"/>
      <c r="B57" s="559"/>
      <c r="C57" s="559"/>
      <c r="D57" s="559"/>
      <c r="E57" s="559"/>
      <c r="F57" s="559"/>
    </row>
    <row r="58" spans="1:6" x14ac:dyDescent="0.2">
      <c r="A58" s="559"/>
      <c r="B58" s="559"/>
      <c r="C58" s="559"/>
      <c r="D58" s="559"/>
      <c r="E58" s="559"/>
      <c r="F58" s="559"/>
    </row>
    <row r="59" spans="1:6" x14ac:dyDescent="0.2">
      <c r="A59" s="559"/>
      <c r="B59" s="559"/>
      <c r="C59" s="559"/>
      <c r="D59" s="559"/>
      <c r="E59" s="559"/>
      <c r="F59" s="559"/>
    </row>
    <row r="60" spans="1:6" x14ac:dyDescent="0.2">
      <c r="A60" s="559"/>
      <c r="B60" s="559"/>
      <c r="C60" s="559"/>
      <c r="D60" s="559"/>
      <c r="E60" s="559"/>
      <c r="F60" s="559"/>
    </row>
    <row r="61" spans="1:6" x14ac:dyDescent="0.2">
      <c r="A61" s="559"/>
      <c r="B61" s="559"/>
      <c r="C61" s="559"/>
      <c r="D61" s="559"/>
      <c r="E61" s="559"/>
      <c r="F61" s="559"/>
    </row>
    <row r="62" spans="1:6" x14ac:dyDescent="0.2">
      <c r="A62" s="559"/>
      <c r="B62" s="559"/>
      <c r="C62" s="559"/>
      <c r="D62" s="559"/>
      <c r="E62" s="559"/>
      <c r="F62" s="559"/>
    </row>
    <row r="63" spans="1:6" x14ac:dyDescent="0.2">
      <c r="A63" s="559"/>
      <c r="B63" s="559"/>
      <c r="C63" s="559"/>
      <c r="D63" s="559"/>
      <c r="E63" s="559"/>
      <c r="F63" s="559"/>
    </row>
    <row r="64" spans="1:6" x14ac:dyDescent="0.2">
      <c r="A64" s="559"/>
      <c r="B64" s="559"/>
      <c r="C64" s="559"/>
      <c r="D64" s="559"/>
      <c r="E64" s="559"/>
      <c r="F64" s="559"/>
    </row>
    <row r="65" spans="1:50" x14ac:dyDescent="0.2">
      <c r="A65" s="559"/>
      <c r="B65" s="559"/>
      <c r="C65" s="559"/>
      <c r="D65" s="559"/>
      <c r="E65" s="559"/>
      <c r="F65" s="559"/>
    </row>
    <row r="66" spans="1:50" x14ac:dyDescent="0.2">
      <c r="A66" s="565"/>
      <c r="B66" s="565"/>
      <c r="C66" s="565"/>
      <c r="D66" s="565"/>
      <c r="E66" s="565"/>
      <c r="F66" s="565"/>
    </row>
    <row r="67" spans="1:50" x14ac:dyDescent="0.2">
      <c r="A67" s="565"/>
      <c r="B67" s="565"/>
      <c r="C67" s="565"/>
      <c r="D67" s="565"/>
      <c r="E67" s="565"/>
      <c r="F67" s="565"/>
    </row>
    <row r="68" spans="1:50" x14ac:dyDescent="0.2">
      <c r="A68" s="565"/>
      <c r="B68" s="565"/>
      <c r="C68" s="565"/>
      <c r="D68" s="565"/>
      <c r="E68" s="565"/>
      <c r="F68" s="565"/>
    </row>
    <row r="69" spans="1:50" x14ac:dyDescent="0.2">
      <c r="A69" s="565"/>
      <c r="B69" s="565"/>
      <c r="C69" s="565"/>
      <c r="D69" s="565"/>
      <c r="E69" s="565"/>
      <c r="F69" s="565"/>
      <c r="AN69" s="40"/>
      <c r="AP69" s="37"/>
      <c r="AQ69" s="37"/>
      <c r="AR69" s="37"/>
      <c r="AS69" s="37"/>
      <c r="AT69" s="37"/>
      <c r="AU69" s="37"/>
      <c r="AV69" s="37"/>
      <c r="AW69" s="37"/>
      <c r="AX69" s="37"/>
    </row>
    <row r="70" spans="1:50" x14ac:dyDescent="0.2">
      <c r="A70" s="565"/>
      <c r="B70" s="565"/>
      <c r="C70" s="565"/>
      <c r="D70" s="565"/>
      <c r="E70" s="565"/>
      <c r="F70" s="565"/>
      <c r="AN70" s="40">
        <f>14*15</f>
        <v>210</v>
      </c>
      <c r="AP70" s="37"/>
      <c r="AQ70" s="37"/>
      <c r="AR70" s="37"/>
      <c r="AS70" s="37"/>
      <c r="AT70" s="37"/>
      <c r="AU70" s="37"/>
      <c r="AV70" s="37"/>
      <c r="AW70" s="37"/>
      <c r="AX70" s="37"/>
    </row>
    <row r="71" spans="1:50" x14ac:dyDescent="0.2">
      <c r="A71" s="565"/>
      <c r="B71" s="565"/>
      <c r="C71" s="565"/>
      <c r="D71" s="565"/>
      <c r="E71" s="565"/>
      <c r="F71" s="565"/>
      <c r="AN71" s="40"/>
      <c r="AP71" s="38"/>
      <c r="AQ71" s="37"/>
      <c r="AR71" s="37"/>
      <c r="AS71" s="37"/>
      <c r="AT71" s="37"/>
      <c r="AU71" s="37"/>
      <c r="AV71" s="37"/>
      <c r="AW71" s="37"/>
      <c r="AX71" s="37"/>
    </row>
    <row r="72" spans="1:50" x14ac:dyDescent="0.2">
      <c r="A72" s="565"/>
      <c r="B72" s="565"/>
      <c r="C72" s="565"/>
      <c r="D72" s="565"/>
      <c r="E72" s="565"/>
      <c r="F72" s="565"/>
      <c r="AN72" s="40"/>
      <c r="AP72" s="38"/>
      <c r="AQ72" s="37"/>
      <c r="AR72" s="37"/>
      <c r="AS72" s="37"/>
      <c r="AT72" s="37"/>
      <c r="AU72" s="37"/>
      <c r="AV72" s="37"/>
      <c r="AW72" s="37"/>
      <c r="AX72" s="37"/>
    </row>
    <row r="73" spans="1:50" x14ac:dyDescent="0.2">
      <c r="A73" s="565"/>
      <c r="B73" s="565"/>
      <c r="C73" s="565"/>
      <c r="D73" s="565"/>
      <c r="E73" s="565"/>
      <c r="F73" s="565"/>
      <c r="AN73" s="40"/>
    </row>
    <row r="74" spans="1:50" x14ac:dyDescent="0.2">
      <c r="A74" s="565"/>
      <c r="B74" s="565"/>
      <c r="C74" s="565"/>
      <c r="D74" s="565"/>
      <c r="E74" s="565"/>
      <c r="F74" s="565"/>
      <c r="AN74" s="40"/>
      <c r="AP74" s="40"/>
      <c r="AQ74" s="40"/>
      <c r="AR74" s="40"/>
      <c r="AS74" s="40"/>
      <c r="AT74" s="40"/>
      <c r="AU74" s="40"/>
      <c r="AV74" s="40"/>
      <c r="AW74" s="40"/>
      <c r="AX74" s="40"/>
    </row>
    <row r="75" spans="1:50" x14ac:dyDescent="0.2">
      <c r="A75" s="565"/>
      <c r="B75" s="565"/>
      <c r="C75" s="565"/>
      <c r="D75" s="565"/>
      <c r="E75" s="565"/>
      <c r="F75" s="565"/>
      <c r="AN75" s="40"/>
      <c r="AP75" s="40"/>
      <c r="AQ75" s="40"/>
      <c r="AR75" s="41"/>
      <c r="AS75" s="41"/>
      <c r="AT75" s="41"/>
      <c r="AU75" s="41"/>
      <c r="AV75" s="41"/>
      <c r="AW75" s="41"/>
      <c r="AX75" s="41"/>
    </row>
    <row r="76" spans="1:50" x14ac:dyDescent="0.2">
      <c r="AN76" s="40"/>
      <c r="AP76" s="41"/>
      <c r="AQ76" s="40"/>
      <c r="AR76" s="41"/>
      <c r="AS76" s="41"/>
      <c r="AT76" s="41"/>
      <c r="AU76" s="41"/>
      <c r="AV76" s="41"/>
      <c r="AW76" s="41"/>
      <c r="AX76" s="41"/>
    </row>
    <row r="77" spans="1:50" x14ac:dyDescent="0.2">
      <c r="AN77" s="40"/>
      <c r="AP77" s="41"/>
      <c r="AQ77" s="40"/>
      <c r="AR77" s="41"/>
      <c r="AS77" s="41"/>
      <c r="AT77" s="41"/>
      <c r="AU77" s="41"/>
      <c r="AV77" s="41"/>
      <c r="AW77" s="41"/>
      <c r="AX77" s="41"/>
    </row>
    <row r="78" spans="1:50" x14ac:dyDescent="0.2">
      <c r="AN78" s="40"/>
      <c r="AP78" s="46"/>
      <c r="AQ78" s="40"/>
      <c r="AR78" s="46"/>
      <c r="AS78" s="46"/>
      <c r="AT78" s="46"/>
      <c r="AU78" s="40"/>
      <c r="AV78" s="46"/>
      <c r="AW78" s="46"/>
      <c r="AX78" s="46"/>
    </row>
    <row r="79" spans="1:50" x14ac:dyDescent="0.2">
      <c r="AN79" s="40"/>
      <c r="AP79" s="40"/>
      <c r="AQ79" s="40"/>
      <c r="AR79" s="40"/>
      <c r="AS79" s="40"/>
      <c r="AT79" s="40"/>
      <c r="AU79" s="40"/>
      <c r="AV79" s="40"/>
      <c r="AW79" s="40"/>
      <c r="AX79" s="40"/>
    </row>
    <row r="80" spans="1:50" x14ac:dyDescent="0.2">
      <c r="AN80" s="40"/>
      <c r="AP80" s="41"/>
      <c r="AQ80" s="40"/>
      <c r="AR80" s="43"/>
      <c r="AS80" s="43"/>
      <c r="AT80" s="43"/>
      <c r="AU80" s="43"/>
      <c r="AV80" s="43"/>
      <c r="AW80" s="47"/>
      <c r="AX80" s="47"/>
    </row>
    <row r="81" spans="40:50" x14ac:dyDescent="0.2">
      <c r="AN81" s="40"/>
      <c r="AP81" s="41"/>
      <c r="AQ81" s="40"/>
      <c r="AR81" s="43"/>
      <c r="AS81" s="43"/>
      <c r="AT81" s="43"/>
      <c r="AU81" s="43"/>
      <c r="AV81" s="43"/>
      <c r="AW81" s="47"/>
      <c r="AX81" s="47"/>
    </row>
    <row r="82" spans="40:50" x14ac:dyDescent="0.2">
      <c r="AN82" s="40"/>
      <c r="AP82" s="41"/>
      <c r="AQ82" s="40"/>
      <c r="AR82" s="43"/>
      <c r="AS82" s="43"/>
      <c r="AT82" s="43"/>
      <c r="AU82" s="43"/>
      <c r="AV82" s="43"/>
      <c r="AW82" s="47"/>
      <c r="AX82" s="47"/>
    </row>
    <row r="83" spans="40:50" x14ac:dyDescent="0.2">
      <c r="AN83" s="40"/>
      <c r="AP83" s="41"/>
      <c r="AQ83" s="40"/>
      <c r="AR83" s="43"/>
      <c r="AS83" s="43"/>
      <c r="AT83" s="43"/>
      <c r="AU83" s="43"/>
      <c r="AV83" s="43"/>
      <c r="AW83" s="47"/>
      <c r="AX83" s="47"/>
    </row>
    <row r="84" spans="40:50" x14ac:dyDescent="0.2">
      <c r="AN84" s="40"/>
      <c r="AP84" s="41"/>
      <c r="AQ84" s="40"/>
      <c r="AR84" s="43"/>
      <c r="AS84" s="43"/>
      <c r="AT84" s="43"/>
      <c r="AU84" s="43"/>
      <c r="AV84" s="43"/>
      <c r="AW84" s="47"/>
      <c r="AX84" s="47"/>
    </row>
    <row r="85" spans="40:50" x14ac:dyDescent="0.2">
      <c r="AN85" s="40"/>
      <c r="AP85" s="41"/>
      <c r="AQ85" s="40"/>
      <c r="AR85" s="43"/>
      <c r="AS85" s="43"/>
      <c r="AT85" s="43"/>
      <c r="AU85" s="43"/>
      <c r="AV85" s="43"/>
      <c r="AW85" s="47"/>
      <c r="AX85" s="47"/>
    </row>
    <row r="86" spans="40:50" x14ac:dyDescent="0.2">
      <c r="AN86" s="40"/>
      <c r="AP86" s="41"/>
      <c r="AQ86" s="40"/>
      <c r="AR86" s="43"/>
      <c r="AS86" s="43"/>
      <c r="AT86" s="43"/>
      <c r="AU86" s="43"/>
      <c r="AV86" s="43"/>
      <c r="AW86" s="47"/>
      <c r="AX86" s="47"/>
    </row>
    <row r="87" spans="40:50" x14ac:dyDescent="0.2">
      <c r="AN87" s="40"/>
      <c r="AP87" s="41"/>
      <c r="AQ87" s="40"/>
      <c r="AR87" s="43"/>
      <c r="AS87" s="43"/>
      <c r="AT87" s="43"/>
      <c r="AU87" s="43"/>
      <c r="AV87" s="43"/>
      <c r="AW87" s="47"/>
      <c r="AX87" s="47"/>
    </row>
    <row r="88" spans="40:50" x14ac:dyDescent="0.2">
      <c r="AN88" s="40"/>
      <c r="AP88" s="41"/>
      <c r="AQ88" s="40"/>
      <c r="AR88" s="43"/>
      <c r="AS88" s="43"/>
      <c r="AT88" s="43"/>
      <c r="AU88" s="43"/>
      <c r="AV88" s="43"/>
      <c r="AW88" s="47"/>
      <c r="AX88" s="47"/>
    </row>
    <row r="89" spans="40:50" x14ac:dyDescent="0.2">
      <c r="AN89" s="40"/>
      <c r="AP89" s="41"/>
      <c r="AQ89" s="40"/>
      <c r="AR89" s="43"/>
      <c r="AS89" s="43"/>
      <c r="AT89" s="43"/>
      <c r="AU89" s="43"/>
      <c r="AV89" s="43"/>
      <c r="AW89" s="47"/>
      <c r="AX89" s="47"/>
    </row>
    <row r="90" spans="40:50" x14ac:dyDescent="0.2">
      <c r="AN90" s="40"/>
      <c r="AP90" s="41"/>
      <c r="AQ90" s="40"/>
      <c r="AR90" s="43"/>
      <c r="AS90" s="43"/>
      <c r="AT90" s="43"/>
      <c r="AU90" s="43"/>
      <c r="AV90" s="43"/>
      <c r="AW90" s="47"/>
      <c r="AX90" s="47"/>
    </row>
    <row r="91" spans="40:50" x14ac:dyDescent="0.2">
      <c r="AN91" s="40"/>
      <c r="AP91" s="41"/>
      <c r="AQ91" s="40"/>
      <c r="AR91" s="43"/>
      <c r="AS91" s="43"/>
      <c r="AT91" s="43"/>
      <c r="AU91" s="43"/>
      <c r="AV91" s="43"/>
      <c r="AW91" s="47"/>
      <c r="AX91" s="47"/>
    </row>
    <row r="92" spans="40:50" x14ac:dyDescent="0.2">
      <c r="AN92" s="40"/>
      <c r="AP92" s="41"/>
      <c r="AQ92" s="40"/>
      <c r="AR92" s="43"/>
      <c r="AS92" s="43"/>
      <c r="AT92" s="43"/>
      <c r="AU92" s="43"/>
      <c r="AV92" s="43"/>
      <c r="AW92" s="47"/>
      <c r="AX92" s="47"/>
    </row>
    <row r="93" spans="40:50" x14ac:dyDescent="0.2">
      <c r="AN93" s="40"/>
      <c r="AP93" s="41"/>
      <c r="AQ93" s="40"/>
      <c r="AR93" s="43"/>
      <c r="AS93" s="43"/>
      <c r="AT93" s="43"/>
      <c r="AU93" s="43"/>
      <c r="AV93" s="43"/>
      <c r="AW93" s="47"/>
      <c r="AX93" s="47"/>
    </row>
    <row r="94" spans="40:50" x14ac:dyDescent="0.2">
      <c r="AN94" s="40"/>
      <c r="AP94" s="41"/>
      <c r="AQ94" s="40"/>
      <c r="AR94" s="43"/>
      <c r="AS94" s="43"/>
      <c r="AT94" s="43"/>
      <c r="AU94" s="43"/>
      <c r="AV94" s="43"/>
      <c r="AW94" s="47"/>
      <c r="AX94" s="47"/>
    </row>
    <row r="95" spans="40:50" x14ac:dyDescent="0.2">
      <c r="AN95" s="40"/>
      <c r="AP95" s="41"/>
    </row>
    <row r="96" spans="40:50" x14ac:dyDescent="0.2">
      <c r="AN96" s="40"/>
      <c r="AP96" s="41"/>
      <c r="AR96" s="43"/>
      <c r="AT96" s="43"/>
      <c r="AV96" s="43"/>
      <c r="AX96" s="47"/>
    </row>
    <row r="97" spans="9:50" x14ac:dyDescent="0.2">
      <c r="AN97" s="40"/>
      <c r="AP97" s="41"/>
      <c r="AR97" s="43"/>
      <c r="AT97" s="43"/>
      <c r="AV97" s="43"/>
      <c r="AX97" s="47"/>
    </row>
    <row r="98" spans="9:50" x14ac:dyDescent="0.2">
      <c r="AN98" s="40"/>
      <c r="AP98" s="41"/>
      <c r="AR98" s="43"/>
      <c r="AT98" s="43"/>
      <c r="AV98" s="43"/>
      <c r="AX98" s="47"/>
    </row>
    <row r="99" spans="9:50" x14ac:dyDescent="0.2">
      <c r="AN99" s="40"/>
      <c r="AP99" s="41"/>
      <c r="AR99" s="43"/>
      <c r="AT99" s="43"/>
      <c r="AV99" s="43"/>
      <c r="AX99" s="47"/>
    </row>
    <row r="100" spans="9:50" x14ac:dyDescent="0.2">
      <c r="AN100" s="40"/>
      <c r="AP100" s="41"/>
      <c r="AR100" s="43"/>
      <c r="AT100" s="43"/>
      <c r="AV100" s="43"/>
      <c r="AX100" s="47"/>
    </row>
    <row r="101" spans="9:50" x14ac:dyDescent="0.2">
      <c r="AN101" s="40"/>
      <c r="AP101" s="41"/>
      <c r="AR101" s="43"/>
      <c r="AT101" s="43"/>
      <c r="AV101" s="43"/>
      <c r="AX101" s="47"/>
    </row>
    <row r="102" spans="9:50" x14ac:dyDescent="0.2">
      <c r="AN102" s="40"/>
      <c r="AP102" s="41"/>
      <c r="AR102" s="43"/>
      <c r="AT102" s="43"/>
      <c r="AV102" s="43"/>
      <c r="AX102" s="47"/>
    </row>
    <row r="103" spans="9:50" x14ac:dyDescent="0.2">
      <c r="AN103" s="40"/>
    </row>
    <row r="104" spans="9:50" x14ac:dyDescent="0.2">
      <c r="AN104" s="40"/>
    </row>
    <row r="105" spans="9:50" x14ac:dyDescent="0.2">
      <c r="AN105" s="40"/>
    </row>
    <row r="106" spans="9:50" x14ac:dyDescent="0.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row>
    <row r="107" spans="9:50" x14ac:dyDescent="0.2">
      <c r="I107" s="40"/>
      <c r="J107" s="40"/>
      <c r="K107" s="40"/>
      <c r="L107" s="40"/>
      <c r="M107" s="40"/>
      <c r="N107" s="40"/>
      <c r="O107" s="48"/>
      <c r="P107" s="40"/>
      <c r="Q107" s="40"/>
      <c r="R107" s="40"/>
      <c r="S107" s="48"/>
      <c r="T107" s="40"/>
      <c r="U107" s="40"/>
      <c r="V107" s="40"/>
      <c r="W107" s="48"/>
      <c r="X107" s="40"/>
      <c r="Y107" s="40"/>
      <c r="Z107" s="40"/>
      <c r="AA107" s="48"/>
      <c r="AB107" s="40"/>
      <c r="AC107" s="40"/>
      <c r="AD107" s="40"/>
      <c r="AE107" s="48"/>
      <c r="AF107" s="40"/>
      <c r="AG107" s="40"/>
      <c r="AH107" s="40"/>
      <c r="AI107" s="49"/>
      <c r="AJ107" s="40"/>
      <c r="AK107" s="40"/>
      <c r="AL107" s="40"/>
      <c r="AM107" s="48"/>
      <c r="AN107" s="40"/>
    </row>
    <row r="108" spans="9:50" x14ac:dyDescent="0.2">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row>
    <row r="109" spans="9:50" x14ac:dyDescent="0.2">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row>
    <row r="110" spans="9:50" x14ac:dyDescent="0.2">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row>
    <row r="111" spans="9:50" x14ac:dyDescent="0.2">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row>
    <row r="112" spans="9:50" x14ac:dyDescent="0.2">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row>
    <row r="113" spans="9:40" x14ac:dyDescent="0.2">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row>
    <row r="114" spans="9:40" x14ac:dyDescent="0.2">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row>
    <row r="115" spans="9:40" x14ac:dyDescent="0.2">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row>
    <row r="116" spans="9:40" x14ac:dyDescent="0.2">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row>
    <row r="117" spans="9:40" x14ac:dyDescent="0.2">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row>
    <row r="118" spans="9:40" x14ac:dyDescent="0.2">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row>
    <row r="119" spans="9:40" x14ac:dyDescent="0.2">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row>
    <row r="120" spans="9:40" x14ac:dyDescent="0.2">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row>
    <row r="121" spans="9:40" x14ac:dyDescent="0.2">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row>
    <row r="122" spans="9:40" x14ac:dyDescent="0.2">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row>
    <row r="123" spans="9:40" x14ac:dyDescent="0.2">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row>
    <row r="124" spans="9:40" x14ac:dyDescent="0.2">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row>
    <row r="125" spans="9:40" x14ac:dyDescent="0.2">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row>
    <row r="126" spans="9:40" x14ac:dyDescent="0.2">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row>
    <row r="127" spans="9:40" x14ac:dyDescent="0.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row>
    <row r="128" spans="9:40" x14ac:dyDescent="0.2">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row>
    <row r="129" spans="9:40" x14ac:dyDescent="0.2">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row>
    <row r="130" spans="9:40" x14ac:dyDescent="0.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row>
    <row r="131" spans="9:40" x14ac:dyDescent="0.2">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row>
    <row r="132" spans="9:40" x14ac:dyDescent="0.2">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row>
    <row r="133" spans="9:40" x14ac:dyDescent="0.2">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row>
    <row r="134" spans="9:40" x14ac:dyDescent="0.2">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row>
    <row r="135" spans="9:40" x14ac:dyDescent="0.2">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row>
    <row r="136" spans="9:40" x14ac:dyDescent="0.2">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row>
    <row r="137" spans="9:40" x14ac:dyDescent="0.2">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row>
    <row r="138" spans="9:40" x14ac:dyDescent="0.2">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row>
    <row r="139" spans="9:40" x14ac:dyDescent="0.2">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row>
    <row r="140" spans="9:40" x14ac:dyDescent="0.2">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row>
    <row r="141" spans="9:40" x14ac:dyDescent="0.2">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row>
    <row r="142" spans="9:40" x14ac:dyDescent="0.2">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row>
    <row r="143" spans="9:40" x14ac:dyDescent="0.2">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row>
    <row r="144" spans="9:40" x14ac:dyDescent="0.2">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row>
    <row r="145" spans="9:50" x14ac:dyDescent="0.2">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row>
    <row r="146" spans="9:50" x14ac:dyDescent="0.2">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row>
    <row r="147" spans="9:50" x14ac:dyDescent="0.2">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row>
    <row r="148" spans="9:50" x14ac:dyDescent="0.2">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row>
    <row r="149" spans="9:50" x14ac:dyDescent="0.2">
      <c r="I149" s="40" t="s">
        <v>329</v>
      </c>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row>
    <row r="150" spans="9:50" x14ac:dyDescent="0.2">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row>
    <row r="151" spans="9:50" x14ac:dyDescent="0.2">
      <c r="I151" s="50" t="s">
        <v>330</v>
      </c>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row>
    <row r="152" spans="9:50" x14ac:dyDescent="0.2">
      <c r="I152" s="37" t="s">
        <v>195</v>
      </c>
      <c r="J152" s="38"/>
      <c r="K152" s="38"/>
      <c r="L152" s="38"/>
      <c r="M152" s="38"/>
      <c r="N152" s="38"/>
      <c r="O152" s="38"/>
      <c r="P152" s="38"/>
      <c r="Q152" s="38"/>
      <c r="R152" s="38"/>
      <c r="S152" s="38"/>
      <c r="T152" s="38"/>
      <c r="U152" s="37"/>
      <c r="V152" s="38"/>
      <c r="W152" s="38"/>
      <c r="X152" s="38"/>
      <c r="Y152" s="38"/>
      <c r="Z152" s="38"/>
      <c r="AA152" s="38"/>
      <c r="AB152" s="38"/>
      <c r="AC152" s="38"/>
      <c r="AD152" s="38"/>
      <c r="AE152" s="38"/>
      <c r="AF152" s="38"/>
      <c r="AG152" s="38"/>
      <c r="AH152" s="38"/>
      <c r="AI152" s="38"/>
      <c r="AJ152" s="38"/>
      <c r="AK152" s="38"/>
      <c r="AL152" s="38"/>
      <c r="AM152" s="38"/>
      <c r="AN152" s="40"/>
      <c r="AP152" s="37"/>
      <c r="AQ152" s="37"/>
      <c r="AR152" s="37"/>
      <c r="AS152" s="37"/>
      <c r="AT152" s="37"/>
      <c r="AU152" s="37"/>
      <c r="AV152" s="37"/>
      <c r="AW152" s="37"/>
      <c r="AX152" s="37"/>
    </row>
    <row r="153" spans="9:50" x14ac:dyDescent="0.2">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40"/>
      <c r="AP153" s="37"/>
      <c r="AQ153" s="37"/>
      <c r="AR153" s="37"/>
      <c r="AS153" s="37"/>
      <c r="AT153" s="37"/>
      <c r="AU153" s="37"/>
      <c r="AV153" s="37"/>
      <c r="AW153" s="37"/>
      <c r="AX153" s="37"/>
    </row>
    <row r="154" spans="9:50" x14ac:dyDescent="0.2">
      <c r="I154" s="38" t="s">
        <v>331</v>
      </c>
      <c r="J154" s="38"/>
      <c r="K154" s="38"/>
      <c r="L154" s="38"/>
      <c r="M154" s="38"/>
      <c r="N154" s="38"/>
      <c r="O154" s="38"/>
      <c r="P154" s="38"/>
      <c r="Q154" s="38"/>
      <c r="R154" s="38"/>
      <c r="S154" s="37"/>
      <c r="T154" s="38"/>
      <c r="U154" s="38"/>
      <c r="V154" s="38"/>
      <c r="W154" s="38"/>
      <c r="X154" s="38"/>
      <c r="Y154" s="38"/>
      <c r="Z154" s="38"/>
      <c r="AA154" s="38"/>
      <c r="AB154" s="38"/>
      <c r="AC154" s="38"/>
      <c r="AD154" s="38"/>
      <c r="AE154" s="38"/>
      <c r="AF154" s="38"/>
      <c r="AG154" s="38"/>
      <c r="AH154" s="38"/>
      <c r="AI154" s="38"/>
      <c r="AJ154" s="38"/>
      <c r="AK154" s="38"/>
      <c r="AL154" s="38"/>
      <c r="AM154" s="38"/>
      <c r="AN154" s="40"/>
      <c r="AP154" s="38"/>
      <c r="AQ154" s="37"/>
      <c r="AR154" s="37"/>
      <c r="AS154" s="37"/>
      <c r="AT154" s="37"/>
      <c r="AU154" s="37"/>
      <c r="AV154" s="37"/>
      <c r="AW154" s="37"/>
      <c r="AX154" s="37"/>
    </row>
    <row r="155" spans="9:50" x14ac:dyDescent="0.2">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P155" s="38"/>
      <c r="AQ155" s="37"/>
      <c r="AR155" s="37"/>
      <c r="AS155" s="37"/>
      <c r="AT155" s="37"/>
      <c r="AU155" s="37"/>
      <c r="AV155" s="37"/>
      <c r="AW155" s="37"/>
      <c r="AX155" s="37"/>
    </row>
    <row r="156" spans="9:50" x14ac:dyDescent="0.2">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row>
    <row r="157" spans="9:50" x14ac:dyDescent="0.2">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P157" s="40"/>
      <c r="AQ157" s="40"/>
      <c r="AR157" s="40"/>
      <c r="AS157" s="40"/>
      <c r="AT157" s="40"/>
      <c r="AU157" s="40"/>
      <c r="AV157" s="40"/>
      <c r="AW157" s="40"/>
      <c r="AX157" s="40"/>
    </row>
    <row r="158" spans="9:50" x14ac:dyDescent="0.2">
      <c r="I158" s="41"/>
      <c r="J158" s="41"/>
      <c r="K158" s="41" t="s">
        <v>332</v>
      </c>
      <c r="L158" s="41"/>
      <c r="M158" s="38" t="s">
        <v>208</v>
      </c>
      <c r="N158" s="38"/>
      <c r="O158" s="38"/>
      <c r="P158" s="41"/>
      <c r="Q158" s="38" t="s">
        <v>209</v>
      </c>
      <c r="R158" s="38"/>
      <c r="S158" s="38"/>
      <c r="T158" s="41"/>
      <c r="U158" s="38" t="s">
        <v>210</v>
      </c>
      <c r="V158" s="38"/>
      <c r="W158" s="38"/>
      <c r="X158" s="41"/>
      <c r="Y158" s="38" t="s">
        <v>214</v>
      </c>
      <c r="Z158" s="38"/>
      <c r="AA158" s="38"/>
      <c r="AB158" s="41"/>
      <c r="AC158" s="38" t="s">
        <v>336</v>
      </c>
      <c r="AD158" s="38"/>
      <c r="AE158" s="38"/>
      <c r="AF158" s="41"/>
      <c r="AG158" s="38" t="s">
        <v>216</v>
      </c>
      <c r="AH158" s="38"/>
      <c r="AI158" s="38"/>
      <c r="AJ158" s="41"/>
      <c r="AK158" s="38" t="s">
        <v>337</v>
      </c>
      <c r="AL158" s="38"/>
      <c r="AM158" s="38"/>
      <c r="AN158" s="40"/>
      <c r="AP158" s="40"/>
      <c r="AQ158" s="40"/>
      <c r="AR158" s="41"/>
      <c r="AS158" s="41"/>
      <c r="AT158" s="41"/>
      <c r="AU158" s="41"/>
      <c r="AV158" s="41"/>
      <c r="AW158" s="41"/>
      <c r="AX158" s="41"/>
    </row>
    <row r="159" spans="9:50" x14ac:dyDescent="0.2">
      <c r="I159" s="41" t="s">
        <v>338</v>
      </c>
      <c r="J159" s="41"/>
      <c r="K159" s="41" t="s">
        <v>339</v>
      </c>
      <c r="L159" s="41"/>
      <c r="M159" s="42" t="s">
        <v>319</v>
      </c>
      <c r="N159" s="42"/>
      <c r="O159" s="42"/>
      <c r="P159" s="41"/>
      <c r="Q159" s="42" t="s">
        <v>319</v>
      </c>
      <c r="R159" s="42"/>
      <c r="S159" s="42"/>
      <c r="T159" s="41"/>
      <c r="U159" s="42" t="s">
        <v>319</v>
      </c>
      <c r="V159" s="42"/>
      <c r="W159" s="42"/>
      <c r="X159" s="41"/>
      <c r="Y159" s="42" t="s">
        <v>319</v>
      </c>
      <c r="Z159" s="42"/>
      <c r="AA159" s="42"/>
      <c r="AB159" s="41"/>
      <c r="AC159" s="42" t="s">
        <v>319</v>
      </c>
      <c r="AD159" s="42"/>
      <c r="AE159" s="42"/>
      <c r="AF159" s="41"/>
      <c r="AG159" s="42" t="s">
        <v>319</v>
      </c>
      <c r="AH159" s="42"/>
      <c r="AI159" s="42"/>
      <c r="AJ159" s="41"/>
      <c r="AK159" s="42" t="s">
        <v>319</v>
      </c>
      <c r="AL159" s="42"/>
      <c r="AM159" s="42"/>
      <c r="AN159" s="40"/>
      <c r="AP159" s="41"/>
      <c r="AQ159" s="40"/>
      <c r="AR159" s="41"/>
      <c r="AS159" s="41"/>
      <c r="AT159" s="41"/>
      <c r="AU159" s="41"/>
      <c r="AV159" s="41"/>
      <c r="AW159" s="41"/>
      <c r="AX159" s="41"/>
    </row>
    <row r="160" spans="9:50" x14ac:dyDescent="0.2">
      <c r="I160" s="41" t="s">
        <v>340</v>
      </c>
      <c r="J160" s="41"/>
      <c r="K160" s="41" t="s">
        <v>341</v>
      </c>
      <c r="L160" s="41"/>
      <c r="M160" s="41" t="s">
        <v>342</v>
      </c>
      <c r="N160" s="41"/>
      <c r="O160" s="41" t="s">
        <v>343</v>
      </c>
      <c r="P160" s="41"/>
      <c r="Q160" s="41" t="s">
        <v>342</v>
      </c>
      <c r="R160" s="41"/>
      <c r="S160" s="41" t="s">
        <v>343</v>
      </c>
      <c r="T160" s="41"/>
      <c r="U160" s="41" t="s">
        <v>342</v>
      </c>
      <c r="V160" s="41"/>
      <c r="W160" s="41" t="s">
        <v>343</v>
      </c>
      <c r="X160" s="41"/>
      <c r="Y160" s="41" t="s">
        <v>342</v>
      </c>
      <c r="Z160" s="41"/>
      <c r="AA160" s="41" t="s">
        <v>343</v>
      </c>
      <c r="AB160" s="41"/>
      <c r="AC160" s="41" t="s">
        <v>342</v>
      </c>
      <c r="AD160" s="41"/>
      <c r="AE160" s="41" t="s">
        <v>343</v>
      </c>
      <c r="AF160" s="41"/>
      <c r="AG160" s="41" t="s">
        <v>342</v>
      </c>
      <c r="AH160" s="41"/>
      <c r="AI160" s="41" t="s">
        <v>343</v>
      </c>
      <c r="AJ160" s="41"/>
      <c r="AK160" s="41" t="s">
        <v>342</v>
      </c>
      <c r="AL160" s="41"/>
      <c r="AM160" s="41" t="s">
        <v>343</v>
      </c>
      <c r="AN160" s="40"/>
      <c r="AP160" s="41"/>
      <c r="AQ160" s="40"/>
      <c r="AR160" s="41"/>
      <c r="AS160" s="41"/>
      <c r="AT160" s="41"/>
      <c r="AU160" s="41"/>
      <c r="AV160" s="41"/>
      <c r="AW160" s="41"/>
      <c r="AX160" s="41"/>
    </row>
    <row r="161" spans="9:50" x14ac:dyDescent="0.2">
      <c r="I161" s="51">
        <v>-1</v>
      </c>
      <c r="J161" s="46"/>
      <c r="K161" s="51">
        <v>-2</v>
      </c>
      <c r="L161" s="46"/>
      <c r="M161" s="51">
        <v>-3</v>
      </c>
      <c r="N161" s="46"/>
      <c r="O161" s="51" t="s">
        <v>344</v>
      </c>
      <c r="P161" s="46"/>
      <c r="Q161" s="51">
        <v>-5</v>
      </c>
      <c r="R161" s="46"/>
      <c r="S161" s="51" t="s">
        <v>345</v>
      </c>
      <c r="T161" s="46"/>
      <c r="U161" s="51">
        <v>-7</v>
      </c>
      <c r="V161" s="46"/>
      <c r="W161" s="51" t="s">
        <v>346</v>
      </c>
      <c r="X161" s="46"/>
      <c r="Y161" s="51">
        <v>-9</v>
      </c>
      <c r="Z161" s="46"/>
      <c r="AA161" s="51" t="s">
        <v>347</v>
      </c>
      <c r="AB161" s="46"/>
      <c r="AC161" s="51">
        <v>-11</v>
      </c>
      <c r="AD161" s="46"/>
      <c r="AE161" s="51" t="s">
        <v>348</v>
      </c>
      <c r="AF161" s="46"/>
      <c r="AG161" s="51">
        <v>-13</v>
      </c>
      <c r="AH161" s="46"/>
      <c r="AI161" s="51" t="s">
        <v>349</v>
      </c>
      <c r="AJ161" s="46"/>
      <c r="AK161" s="51">
        <v>-15</v>
      </c>
      <c r="AL161" s="46"/>
      <c r="AM161" s="51">
        <v>-16</v>
      </c>
      <c r="AN161" s="40"/>
      <c r="AP161" s="46"/>
      <c r="AQ161" s="40"/>
      <c r="AR161" s="46"/>
      <c r="AS161" s="46"/>
      <c r="AT161" s="46"/>
      <c r="AU161" s="40"/>
      <c r="AV161" s="46"/>
      <c r="AW161" s="46"/>
      <c r="AX161" s="46"/>
    </row>
    <row r="162" spans="9:50" x14ac:dyDescent="0.2">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P162" s="40"/>
      <c r="AQ162" s="40"/>
      <c r="AR162" s="40"/>
      <c r="AS162" s="40"/>
      <c r="AT162" s="40"/>
      <c r="AU162" s="40"/>
      <c r="AV162" s="40"/>
      <c r="AW162" s="40"/>
      <c r="AX162" s="40"/>
    </row>
    <row r="163" spans="9:50" x14ac:dyDescent="0.2">
      <c r="I163" s="40" t="s">
        <v>350</v>
      </c>
      <c r="J163" s="40"/>
      <c r="K163" s="47">
        <v>1</v>
      </c>
      <c r="L163" s="40"/>
      <c r="M163" s="43">
        <v>262484</v>
      </c>
      <c r="N163" s="40"/>
      <c r="O163" s="43">
        <f>ROUND(+M163*$K163,0)</f>
        <v>262484</v>
      </c>
      <c r="P163" s="40"/>
      <c r="Q163" s="43">
        <v>7892</v>
      </c>
      <c r="R163" s="40"/>
      <c r="S163" s="43">
        <f>ROUND(+Q163*$K163,0)</f>
        <v>7892</v>
      </c>
      <c r="T163" s="40"/>
      <c r="U163" s="43">
        <v>272</v>
      </c>
      <c r="V163" s="40"/>
      <c r="W163" s="43">
        <f>ROUND(+U163*$K163,0)</f>
        <v>272</v>
      </c>
      <c r="X163" s="40"/>
      <c r="Y163" s="43">
        <v>299</v>
      </c>
      <c r="Z163" s="40"/>
      <c r="AA163" s="43">
        <f>ROUND(+Y163*$K163,0)</f>
        <v>299</v>
      </c>
      <c r="AB163" s="40"/>
      <c r="AC163" s="43">
        <v>0</v>
      </c>
      <c r="AD163" s="40"/>
      <c r="AE163" s="43">
        <f>ROUND(+AC163*$K163,0)</f>
        <v>0</v>
      </c>
      <c r="AF163" s="40"/>
      <c r="AG163" s="43">
        <v>0</v>
      </c>
      <c r="AH163" s="40"/>
      <c r="AI163" s="43">
        <f>ROUND(+AG163*$K163,0)</f>
        <v>0</v>
      </c>
      <c r="AJ163" s="40"/>
      <c r="AK163" s="43">
        <f>M163+Q163+U163+Y163+AC163+AG163</f>
        <v>270947</v>
      </c>
      <c r="AL163" s="40"/>
      <c r="AM163" s="43">
        <f>O163+S163+W163+AA163+AE163+AI163</f>
        <v>270947</v>
      </c>
      <c r="AN163" s="40"/>
      <c r="AP163" s="41"/>
      <c r="AQ163" s="40"/>
      <c r="AR163" s="43"/>
      <c r="AS163" s="43"/>
      <c r="AT163" s="43"/>
      <c r="AU163" s="43"/>
      <c r="AV163" s="43"/>
      <c r="AW163" s="47"/>
      <c r="AX163" s="47"/>
    </row>
    <row r="164" spans="9:50" x14ac:dyDescent="0.2">
      <c r="I164" s="40"/>
      <c r="J164" s="40"/>
      <c r="K164" s="47"/>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P164" s="41"/>
      <c r="AQ164" s="40"/>
      <c r="AR164" s="43"/>
      <c r="AS164" s="43"/>
      <c r="AT164" s="43"/>
      <c r="AU164" s="43"/>
      <c r="AV164" s="43"/>
      <c r="AW164" s="47"/>
      <c r="AX164" s="47"/>
    </row>
    <row r="165" spans="9:50" x14ac:dyDescent="0.2">
      <c r="I165" s="40" t="s">
        <v>351</v>
      </c>
      <c r="J165" s="40"/>
      <c r="K165" s="47">
        <v>1.19</v>
      </c>
      <c r="L165" s="40"/>
      <c r="M165" s="43">
        <v>4546</v>
      </c>
      <c r="N165" s="40"/>
      <c r="O165" s="43">
        <f>ROUND(+M165*$K165,0)</f>
        <v>5410</v>
      </c>
      <c r="P165" s="40"/>
      <c r="Q165" s="43">
        <v>2180</v>
      </c>
      <c r="R165" s="40"/>
      <c r="S165" s="43">
        <f>ROUND(+Q165*$K165,0)</f>
        <v>2594</v>
      </c>
      <c r="T165" s="40"/>
      <c r="U165" s="43">
        <v>146</v>
      </c>
      <c r="V165" s="40"/>
      <c r="W165" s="43">
        <f>ROUND(+U165*$K165,0)</f>
        <v>174</v>
      </c>
      <c r="X165" s="40"/>
      <c r="Y165" s="43">
        <v>179</v>
      </c>
      <c r="Z165" s="40"/>
      <c r="AA165" s="43">
        <f>ROUND(+Y165*$K165,0)</f>
        <v>213</v>
      </c>
      <c r="AB165" s="40"/>
      <c r="AC165" s="43">
        <v>1</v>
      </c>
      <c r="AD165" s="40"/>
      <c r="AE165" s="43">
        <f>ROUND(+AC165*$K165,0)</f>
        <v>1</v>
      </c>
      <c r="AF165" s="40"/>
      <c r="AG165" s="43">
        <v>2</v>
      </c>
      <c r="AH165" s="40"/>
      <c r="AI165" s="43">
        <f>ROUND(+AG165*$K165,0)</f>
        <v>2</v>
      </c>
      <c r="AJ165" s="40"/>
      <c r="AK165" s="43">
        <f>M165+Q165+U165+Y165+AC165+AG165</f>
        <v>7054</v>
      </c>
      <c r="AL165" s="40"/>
      <c r="AM165" s="43">
        <f>O165+S165+W165+AA165+AE165+AI165</f>
        <v>8394</v>
      </c>
      <c r="AN165" s="40"/>
      <c r="AP165" s="41"/>
      <c r="AQ165" s="40"/>
      <c r="AR165" s="43"/>
      <c r="AS165" s="43"/>
      <c r="AT165" s="43"/>
      <c r="AU165" s="43"/>
      <c r="AV165" s="43"/>
      <c r="AW165" s="47"/>
      <c r="AX165" s="47"/>
    </row>
    <row r="166" spans="9:50" x14ac:dyDescent="0.2">
      <c r="I166" s="40"/>
      <c r="J166" s="40"/>
      <c r="K166" s="47"/>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P166" s="41"/>
      <c r="AQ166" s="40"/>
      <c r="AR166" s="43"/>
      <c r="AS166" s="43"/>
      <c r="AT166" s="43"/>
      <c r="AU166" s="43"/>
      <c r="AV166" s="43"/>
      <c r="AW166" s="47"/>
      <c r="AX166" s="47"/>
    </row>
    <row r="167" spans="9:50" x14ac:dyDescent="0.2">
      <c r="I167" s="40" t="s">
        <v>352</v>
      </c>
      <c r="J167" s="40"/>
      <c r="K167" s="47">
        <v>1.72</v>
      </c>
      <c r="L167" s="40"/>
      <c r="M167" s="43">
        <v>149</v>
      </c>
      <c r="N167" s="40"/>
      <c r="O167" s="43">
        <f>ROUND(+M167*$K167,0)</f>
        <v>256</v>
      </c>
      <c r="P167" s="40"/>
      <c r="Q167" s="43">
        <v>1409</v>
      </c>
      <c r="R167" s="40"/>
      <c r="S167" s="43">
        <f>ROUND(+Q167*$K167,0)</f>
        <v>2423</v>
      </c>
      <c r="T167" s="40"/>
      <c r="U167" s="43">
        <v>53</v>
      </c>
      <c r="V167" s="40"/>
      <c r="W167" s="43">
        <f>ROUND(+U167*$K167,0)</f>
        <v>91</v>
      </c>
      <c r="X167" s="40"/>
      <c r="Y167" s="43">
        <v>64</v>
      </c>
      <c r="Z167" s="40"/>
      <c r="AA167" s="43">
        <f>ROUND(+Y167*$K167,0)</f>
        <v>110</v>
      </c>
      <c r="AB167" s="40"/>
      <c r="AC167" s="43">
        <v>0</v>
      </c>
      <c r="AD167" s="40"/>
      <c r="AE167" s="43">
        <f>ROUND(+AC167*$K167,0)</f>
        <v>0</v>
      </c>
      <c r="AF167" s="40"/>
      <c r="AG167" s="43">
        <v>61</v>
      </c>
      <c r="AH167" s="40"/>
      <c r="AI167" s="43">
        <f>ROUND(+AG167*$K167,0)</f>
        <v>105</v>
      </c>
      <c r="AJ167" s="40"/>
      <c r="AK167" s="43">
        <f>M167+Q167+U167+Y167+AC167+AG167</f>
        <v>1736</v>
      </c>
      <c r="AL167" s="40"/>
      <c r="AM167" s="43">
        <f>O167+S167+W167+AA167+AE167+AI167</f>
        <v>2985</v>
      </c>
      <c r="AN167" s="40"/>
      <c r="AP167" s="41"/>
      <c r="AQ167" s="40"/>
      <c r="AR167" s="43"/>
      <c r="AS167" s="43"/>
      <c r="AT167" s="43"/>
      <c r="AU167" s="43"/>
      <c r="AV167" s="43"/>
      <c r="AW167" s="47"/>
      <c r="AX167" s="47"/>
    </row>
    <row r="168" spans="9:50" x14ac:dyDescent="0.2">
      <c r="I168" s="40"/>
      <c r="J168" s="40"/>
      <c r="K168" s="47"/>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P168" s="41"/>
      <c r="AQ168" s="40"/>
      <c r="AR168" s="43"/>
      <c r="AS168" s="43"/>
      <c r="AT168" s="43"/>
      <c r="AU168" s="43"/>
      <c r="AV168" s="43"/>
      <c r="AW168" s="47"/>
      <c r="AX168" s="47"/>
    </row>
    <row r="169" spans="9:50" x14ac:dyDescent="0.2">
      <c r="I169" s="40" t="s">
        <v>353</v>
      </c>
      <c r="J169" s="40"/>
      <c r="K169" s="47">
        <v>2.38</v>
      </c>
      <c r="L169" s="40"/>
      <c r="M169" s="43">
        <v>79</v>
      </c>
      <c r="N169" s="40"/>
      <c r="O169" s="43">
        <f>ROUND(+M169*$K169,0)</f>
        <v>188</v>
      </c>
      <c r="P169" s="40"/>
      <c r="Q169" s="43">
        <v>1311</v>
      </c>
      <c r="R169" s="40"/>
      <c r="S169" s="43">
        <f>ROUND(+Q169*$K169,0)</f>
        <v>3120</v>
      </c>
      <c r="T169" s="40"/>
      <c r="U169" s="43">
        <v>123</v>
      </c>
      <c r="V169" s="40"/>
      <c r="W169" s="43">
        <f>ROUND(+U169*$K169,0)</f>
        <v>293</v>
      </c>
      <c r="X169" s="40"/>
      <c r="Y169" s="43">
        <v>115</v>
      </c>
      <c r="Z169" s="40"/>
      <c r="AA169" s="43">
        <f>ROUND(+Y169*$K169,0)</f>
        <v>274</v>
      </c>
      <c r="AB169" s="40"/>
      <c r="AC169" s="43">
        <v>1</v>
      </c>
      <c r="AD169" s="40"/>
      <c r="AE169" s="43">
        <f>ROUND(+AC169*$K169,0)</f>
        <v>2</v>
      </c>
      <c r="AF169" s="40"/>
      <c r="AG169" s="43">
        <v>51</v>
      </c>
      <c r="AH169" s="40"/>
      <c r="AI169" s="43">
        <f>ROUND(+AG169*$K169,0)</f>
        <v>121</v>
      </c>
      <c r="AJ169" s="40"/>
      <c r="AK169" s="43">
        <f>M169+Q169+U169+Y169+AC169+AG169</f>
        <v>1680</v>
      </c>
      <c r="AL169" s="40"/>
      <c r="AM169" s="43">
        <f>O169+S169+W169+AA169+AE169+AI169</f>
        <v>3998</v>
      </c>
      <c r="AN169" s="40"/>
      <c r="AP169" s="41"/>
      <c r="AQ169" s="40"/>
      <c r="AR169" s="43"/>
      <c r="AS169" s="43"/>
      <c r="AT169" s="43"/>
      <c r="AU169" s="43"/>
      <c r="AV169" s="43"/>
      <c r="AW169" s="47"/>
      <c r="AX169" s="47"/>
    </row>
    <row r="170" spans="9:50" x14ac:dyDescent="0.2">
      <c r="I170" s="40"/>
      <c r="J170" s="40"/>
      <c r="K170" s="47"/>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P170" s="41"/>
      <c r="AQ170" s="40"/>
      <c r="AR170" s="43"/>
      <c r="AS170" s="43"/>
      <c r="AT170" s="43"/>
      <c r="AU170" s="43"/>
      <c r="AV170" s="43"/>
      <c r="AW170" s="47"/>
      <c r="AX170" s="47"/>
    </row>
    <row r="171" spans="9:50" x14ac:dyDescent="0.2">
      <c r="I171" s="40" t="s">
        <v>354</v>
      </c>
      <c r="J171" s="40"/>
      <c r="K171" s="47">
        <v>2.92</v>
      </c>
      <c r="L171" s="40"/>
      <c r="M171" s="43">
        <v>2</v>
      </c>
      <c r="N171" s="40"/>
      <c r="O171" s="43">
        <f>ROUND(+M171*$K171,0)</f>
        <v>6</v>
      </c>
      <c r="P171" s="40"/>
      <c r="Q171" s="43">
        <v>530</v>
      </c>
      <c r="R171" s="40"/>
      <c r="S171" s="43">
        <f>ROUND(+Q171*$K171,0)</f>
        <v>1548</v>
      </c>
      <c r="T171" s="40"/>
      <c r="U171" s="43">
        <v>82</v>
      </c>
      <c r="V171" s="40"/>
      <c r="W171" s="43">
        <f>ROUND(+U171*$K171,0)</f>
        <v>239</v>
      </c>
      <c r="X171" s="40"/>
      <c r="Y171" s="43">
        <v>123</v>
      </c>
      <c r="Z171" s="40"/>
      <c r="AA171" s="43">
        <f>ROUND(+Y171*$K171,0)</f>
        <v>359</v>
      </c>
      <c r="AB171" s="40"/>
      <c r="AC171" s="43">
        <v>6</v>
      </c>
      <c r="AD171" s="40"/>
      <c r="AE171" s="43">
        <f>ROUND(+AC171*$K171,0)</f>
        <v>18</v>
      </c>
      <c r="AF171" s="40"/>
      <c r="AG171" s="43">
        <v>622</v>
      </c>
      <c r="AH171" s="40"/>
      <c r="AI171" s="43">
        <f>ROUND(+AG171*$K171,0)</f>
        <v>1816</v>
      </c>
      <c r="AJ171" s="40"/>
      <c r="AK171" s="43">
        <f>M171+Q171+U171+Y171+AC171+AG171</f>
        <v>1365</v>
      </c>
      <c r="AL171" s="40"/>
      <c r="AM171" s="43">
        <f>O171+S171+W171+AA171+AE171+AI171</f>
        <v>3986</v>
      </c>
      <c r="AN171" s="40"/>
      <c r="AP171" s="41"/>
      <c r="AQ171" s="40"/>
      <c r="AR171" s="43"/>
      <c r="AS171" s="43"/>
      <c r="AT171" s="43"/>
      <c r="AU171" s="43"/>
      <c r="AV171" s="43"/>
      <c r="AW171" s="47"/>
      <c r="AX171" s="47"/>
    </row>
    <row r="172" spans="9:50" x14ac:dyDescent="0.2">
      <c r="I172" s="40"/>
      <c r="J172" s="40"/>
      <c r="K172" s="47"/>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P172" s="41"/>
      <c r="AQ172" s="40"/>
      <c r="AR172" s="43"/>
      <c r="AS172" s="43"/>
      <c r="AT172" s="43"/>
      <c r="AU172" s="43"/>
      <c r="AV172" s="43"/>
      <c r="AW172" s="47"/>
      <c r="AX172" s="47"/>
    </row>
    <row r="173" spans="9:50" x14ac:dyDescent="0.2">
      <c r="I173" s="40" t="s">
        <v>355</v>
      </c>
      <c r="J173" s="40"/>
      <c r="K173" s="47">
        <v>3.96</v>
      </c>
      <c r="L173" s="40"/>
      <c r="M173" s="43">
        <v>16</v>
      </c>
      <c r="N173" s="40"/>
      <c r="O173" s="43">
        <f>ROUND(+M173*$K173,0)</f>
        <v>63</v>
      </c>
      <c r="P173" s="40"/>
      <c r="Q173" s="43">
        <v>144</v>
      </c>
      <c r="R173" s="40"/>
      <c r="S173" s="43">
        <f>ROUND(+Q173*$K173,0)</f>
        <v>570</v>
      </c>
      <c r="T173" s="40"/>
      <c r="U173" s="43">
        <v>61</v>
      </c>
      <c r="V173" s="40"/>
      <c r="W173" s="43">
        <f>ROUND(+U173*$K173,0)</f>
        <v>242</v>
      </c>
      <c r="X173" s="40"/>
      <c r="Y173" s="43">
        <v>9</v>
      </c>
      <c r="Z173" s="40"/>
      <c r="AA173" s="43">
        <f>ROUND(+Y173*$K173,0)</f>
        <v>36</v>
      </c>
      <c r="AB173" s="40"/>
      <c r="AC173" s="43">
        <v>2</v>
      </c>
      <c r="AD173" s="40"/>
      <c r="AE173" s="43">
        <f>ROUND(+AC173*$K173,0)</f>
        <v>8</v>
      </c>
      <c r="AF173" s="40"/>
      <c r="AG173" s="43">
        <v>988</v>
      </c>
      <c r="AH173" s="40"/>
      <c r="AI173" s="43">
        <f>ROUND(+AG173*$K173,0)</f>
        <v>3912</v>
      </c>
      <c r="AJ173" s="40"/>
      <c r="AK173" s="43">
        <f>M173+Q173+U173+Y173+AC173+AG173</f>
        <v>1220</v>
      </c>
      <c r="AL173" s="40"/>
      <c r="AM173" s="43">
        <f>O173+S173+W173+AA173+AE173+AI173</f>
        <v>4831</v>
      </c>
      <c r="AN173" s="40"/>
      <c r="AP173" s="41"/>
      <c r="AQ173" s="40"/>
      <c r="AR173" s="43"/>
      <c r="AS173" s="43"/>
      <c r="AT173" s="43"/>
      <c r="AU173" s="43"/>
      <c r="AV173" s="43"/>
      <c r="AW173" s="47"/>
      <c r="AX173" s="47"/>
    </row>
    <row r="174" spans="9:50" x14ac:dyDescent="0.2">
      <c r="I174" s="40"/>
      <c r="J174" s="40"/>
      <c r="K174" s="47"/>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P174" s="41"/>
      <c r="AQ174" s="40"/>
      <c r="AR174" s="43"/>
      <c r="AS174" s="43"/>
      <c r="AT174" s="43"/>
      <c r="AU174" s="43"/>
      <c r="AV174" s="43"/>
      <c r="AW174" s="47"/>
      <c r="AX174" s="47"/>
    </row>
    <row r="175" spans="9:50" x14ac:dyDescent="0.2">
      <c r="I175" s="40" t="s">
        <v>356</v>
      </c>
      <c r="J175" s="40"/>
      <c r="K175" s="47">
        <v>6.46</v>
      </c>
      <c r="L175" s="40"/>
      <c r="M175" s="43">
        <v>1</v>
      </c>
      <c r="N175" s="40"/>
      <c r="O175" s="43">
        <f>ROUND(+M175*$K175,0)</f>
        <v>6</v>
      </c>
      <c r="P175" s="40"/>
      <c r="Q175" s="43">
        <v>12</v>
      </c>
      <c r="R175" s="40"/>
      <c r="S175" s="43">
        <f>ROUND(+Q175*$K175,0)</f>
        <v>78</v>
      </c>
      <c r="T175" s="40"/>
      <c r="U175" s="43">
        <v>10</v>
      </c>
      <c r="V175" s="40"/>
      <c r="W175" s="43">
        <f>ROUND(+U175*$K175,0)</f>
        <v>65</v>
      </c>
      <c r="X175" s="40"/>
      <c r="Y175" s="43">
        <v>0</v>
      </c>
      <c r="Z175" s="40"/>
      <c r="AA175" s="43">
        <f>ROUND(+Y175*$K175,0)</f>
        <v>0</v>
      </c>
      <c r="AB175" s="40"/>
      <c r="AC175" s="43">
        <v>1</v>
      </c>
      <c r="AD175" s="40"/>
      <c r="AE175" s="43">
        <f>ROUND(+AC175*$K175,0)</f>
        <v>6</v>
      </c>
      <c r="AF175" s="40"/>
      <c r="AG175" s="43">
        <v>445</v>
      </c>
      <c r="AH175" s="40"/>
      <c r="AI175" s="43">
        <f>ROUND(+AG175*$K175,0)</f>
        <v>2875</v>
      </c>
      <c r="AJ175" s="40"/>
      <c r="AK175" s="43">
        <f>M175+Q175+U175+Y175+AC175+AG175</f>
        <v>469</v>
      </c>
      <c r="AL175" s="40"/>
      <c r="AM175" s="43">
        <f>O175+S175+W175+AA175+AE175+AI175</f>
        <v>3030</v>
      </c>
      <c r="AN175" s="40"/>
      <c r="AP175" s="41"/>
      <c r="AQ175" s="40"/>
      <c r="AR175" s="43"/>
      <c r="AS175" s="43"/>
      <c r="AT175" s="43"/>
      <c r="AU175" s="43"/>
      <c r="AV175" s="43"/>
      <c r="AW175" s="47"/>
      <c r="AX175" s="47"/>
    </row>
    <row r="176" spans="9:50" x14ac:dyDescent="0.2">
      <c r="I176" s="40"/>
      <c r="J176" s="40"/>
      <c r="K176" s="47"/>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P176" s="41"/>
      <c r="AQ176" s="40"/>
      <c r="AR176" s="43"/>
      <c r="AS176" s="43"/>
      <c r="AT176" s="43"/>
      <c r="AU176" s="43"/>
      <c r="AV176" s="43"/>
      <c r="AW176" s="47"/>
      <c r="AX176" s="47"/>
    </row>
    <row r="177" spans="8:50" x14ac:dyDescent="0.2">
      <c r="I177" s="40" t="s">
        <v>357</v>
      </c>
      <c r="J177" s="40"/>
      <c r="K177" s="47">
        <v>8.68</v>
      </c>
      <c r="L177" s="40"/>
      <c r="M177" s="43">
        <v>0</v>
      </c>
      <c r="N177" s="40"/>
      <c r="O177" s="43">
        <f>ROUND(+M177*$K177,0)</f>
        <v>0</v>
      </c>
      <c r="P177" s="40"/>
      <c r="Q177" s="43">
        <v>12</v>
      </c>
      <c r="R177" s="40"/>
      <c r="S177" s="43">
        <f>ROUND(+Q177*$K177,0)</f>
        <v>104</v>
      </c>
      <c r="T177" s="40"/>
      <c r="U177" s="43">
        <v>10</v>
      </c>
      <c r="V177" s="40"/>
      <c r="W177" s="43">
        <f>ROUND(+U177*$K177,0)</f>
        <v>87</v>
      </c>
      <c r="X177" s="40"/>
      <c r="Y177" s="43">
        <v>0</v>
      </c>
      <c r="Z177" s="40"/>
      <c r="AA177" s="43">
        <f>ROUND(+Y177*$K177,0)</f>
        <v>0</v>
      </c>
      <c r="AB177" s="40"/>
      <c r="AC177" s="43">
        <v>1</v>
      </c>
      <c r="AD177" s="40"/>
      <c r="AE177" s="43">
        <f>ROUND(+AC177*$K177,0)</f>
        <v>9</v>
      </c>
      <c r="AF177" s="40"/>
      <c r="AG177" s="43">
        <v>20</v>
      </c>
      <c r="AH177" s="40"/>
      <c r="AI177" s="43">
        <f>ROUND(+AG177*$K177,0)</f>
        <v>174</v>
      </c>
      <c r="AJ177" s="40"/>
      <c r="AK177" s="43">
        <f>M177+Q177+U177+Y177+AC177+AG177</f>
        <v>43</v>
      </c>
      <c r="AL177" s="40"/>
      <c r="AM177" s="43">
        <f>O177+S177+W177+AA177+AE177+AI177</f>
        <v>374</v>
      </c>
      <c r="AN177" s="40"/>
      <c r="AP177" s="41"/>
      <c r="AQ177" s="40"/>
      <c r="AR177" s="43"/>
      <c r="AS177" s="43"/>
      <c r="AT177" s="43"/>
      <c r="AU177" s="43"/>
      <c r="AV177" s="43"/>
      <c r="AW177" s="47"/>
      <c r="AX177" s="47"/>
    </row>
    <row r="178" spans="8:50" x14ac:dyDescent="0.2">
      <c r="I178" s="40"/>
      <c r="J178" s="40"/>
      <c r="K178" s="47"/>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P178" s="41"/>
      <c r="AQ178" s="40"/>
      <c r="AR178" s="43"/>
      <c r="AS178" s="43"/>
      <c r="AT178" s="43"/>
      <c r="AU178" s="43"/>
      <c r="AV178" s="43"/>
      <c r="AW178" s="47"/>
      <c r="AX178" s="47"/>
    </row>
    <row r="179" spans="8:50" x14ac:dyDescent="0.2">
      <c r="I179" s="40" t="s">
        <v>358</v>
      </c>
      <c r="J179" s="40"/>
      <c r="K179" s="47">
        <v>11.11</v>
      </c>
      <c r="L179" s="40"/>
      <c r="M179" s="43">
        <v>0</v>
      </c>
      <c r="N179" s="40"/>
      <c r="O179" s="43">
        <f>ROUND(+M179*$K179,0)</f>
        <v>0</v>
      </c>
      <c r="P179" s="40"/>
      <c r="Q179" s="43">
        <v>0</v>
      </c>
      <c r="R179" s="40"/>
      <c r="S179" s="43">
        <f>ROUND(+Q179*$K179,0)</f>
        <v>0</v>
      </c>
      <c r="T179" s="40"/>
      <c r="U179" s="43">
        <v>0</v>
      </c>
      <c r="V179" s="40"/>
      <c r="W179" s="43">
        <f>ROUND(+U179*$K179,0)</f>
        <v>0</v>
      </c>
      <c r="X179" s="40"/>
      <c r="Y179" s="43">
        <v>0</v>
      </c>
      <c r="Z179" s="40"/>
      <c r="AA179" s="43">
        <f>ROUND(+Y179*$K179,0)</f>
        <v>0</v>
      </c>
      <c r="AB179" s="40"/>
      <c r="AC179" s="43">
        <v>1</v>
      </c>
      <c r="AD179" s="40"/>
      <c r="AE179" s="43">
        <f>ROUND(+AC179*$K179,0)</f>
        <v>11</v>
      </c>
      <c r="AF179" s="40"/>
      <c r="AG179" s="43">
        <v>0</v>
      </c>
      <c r="AH179" s="40"/>
      <c r="AI179" s="43">
        <f>ROUND(+AG179*$K179,0)</f>
        <v>0</v>
      </c>
      <c r="AJ179" s="40"/>
      <c r="AK179" s="43">
        <f>M179+Q179+U179+Y179+AC179+AG179</f>
        <v>1</v>
      </c>
      <c r="AL179" s="40"/>
      <c r="AM179" s="43">
        <f>O179+S179+W179+AA179+AE179+AI179</f>
        <v>11</v>
      </c>
      <c r="AN179" s="40"/>
      <c r="AP179" s="41"/>
      <c r="AQ179" s="40"/>
      <c r="AR179" s="43"/>
      <c r="AS179" s="43"/>
      <c r="AT179" s="43"/>
      <c r="AU179" s="43"/>
      <c r="AV179" s="43"/>
      <c r="AW179" s="47"/>
      <c r="AX179" s="47"/>
    </row>
    <row r="180" spans="8:50" x14ac:dyDescent="0.2">
      <c r="I180" s="40"/>
      <c r="J180" s="40"/>
      <c r="K180" s="47"/>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P180" s="41"/>
      <c r="AQ180" s="40"/>
      <c r="AR180" s="43"/>
      <c r="AS180" s="43"/>
      <c r="AT180" s="43"/>
      <c r="AU180" s="43"/>
      <c r="AV180" s="43"/>
      <c r="AW180" s="47"/>
      <c r="AX180" s="47"/>
    </row>
    <row r="181" spans="8:50" x14ac:dyDescent="0.2">
      <c r="H181" s="52"/>
      <c r="I181" s="40" t="s">
        <v>359</v>
      </c>
      <c r="J181" s="40"/>
      <c r="K181" s="47">
        <v>15.97</v>
      </c>
      <c r="L181" s="40"/>
      <c r="M181" s="43">
        <v>0</v>
      </c>
      <c r="N181" s="40"/>
      <c r="O181" s="43">
        <f>ROUND(+M181*$K181,0)</f>
        <v>0</v>
      </c>
      <c r="P181" s="40"/>
      <c r="Q181" s="43">
        <v>0</v>
      </c>
      <c r="R181" s="40"/>
      <c r="S181" s="43">
        <f>ROUND(+Q181*$K181,0)</f>
        <v>0</v>
      </c>
      <c r="T181" s="40"/>
      <c r="U181" s="43">
        <v>0</v>
      </c>
      <c r="V181" s="40"/>
      <c r="W181" s="43">
        <f>ROUND(+U181*$K181,0)</f>
        <v>0</v>
      </c>
      <c r="X181" s="40"/>
      <c r="Y181" s="43">
        <v>0</v>
      </c>
      <c r="Z181" s="40"/>
      <c r="AA181" s="43">
        <f>ROUND(+Y181*$K181,0)</f>
        <v>0</v>
      </c>
      <c r="AB181" s="40"/>
      <c r="AC181" s="43">
        <v>1</v>
      </c>
      <c r="AD181" s="40"/>
      <c r="AE181" s="43">
        <f>ROUND(+AC181*$K181,0)</f>
        <v>16</v>
      </c>
      <c r="AF181" s="40"/>
      <c r="AG181" s="43">
        <v>0</v>
      </c>
      <c r="AH181" s="40"/>
      <c r="AI181" s="43">
        <f>ROUND(+AG181*$K181,0)</f>
        <v>0</v>
      </c>
      <c r="AJ181" s="40"/>
      <c r="AK181" s="43">
        <f>M181+Q181+U181+Y181+AC181+AG181</f>
        <v>1</v>
      </c>
      <c r="AL181" s="40"/>
      <c r="AM181" s="43">
        <f>O181+S181+W181+AA181+AE181+AI181</f>
        <v>16</v>
      </c>
      <c r="AN181" s="40"/>
      <c r="AP181" s="41"/>
      <c r="AQ181" s="40"/>
      <c r="AR181" s="43"/>
      <c r="AS181" s="43"/>
      <c r="AT181" s="43"/>
      <c r="AU181" s="43"/>
      <c r="AV181" s="43"/>
      <c r="AW181" s="47"/>
      <c r="AX181" s="47"/>
    </row>
    <row r="182" spans="8:50" x14ac:dyDescent="0.2">
      <c r="I182" s="40"/>
      <c r="J182" s="40"/>
      <c r="K182" s="40"/>
      <c r="L182" s="40"/>
      <c r="M182" s="53"/>
      <c r="N182" s="40"/>
      <c r="O182" s="53"/>
      <c r="P182" s="40"/>
      <c r="Q182" s="53"/>
      <c r="R182" s="40"/>
      <c r="S182" s="53"/>
      <c r="T182" s="40"/>
      <c r="U182" s="53"/>
      <c r="V182" s="40"/>
      <c r="W182" s="53"/>
      <c r="X182" s="40"/>
      <c r="Y182" s="53"/>
      <c r="Z182" s="40"/>
      <c r="AA182" s="53"/>
      <c r="AB182" s="40"/>
      <c r="AC182" s="53"/>
      <c r="AD182" s="40"/>
      <c r="AE182" s="53"/>
      <c r="AF182" s="40"/>
      <c r="AG182" s="53"/>
      <c r="AH182" s="40"/>
      <c r="AI182" s="53"/>
      <c r="AJ182" s="40"/>
      <c r="AK182" s="53"/>
      <c r="AL182" s="40"/>
      <c r="AM182" s="53"/>
      <c r="AN182" s="40"/>
      <c r="AP182" s="40"/>
      <c r="AQ182" s="40"/>
      <c r="AR182" s="43"/>
      <c r="AS182" s="43"/>
      <c r="AT182" s="43"/>
      <c r="AU182" s="43"/>
      <c r="AV182" s="43"/>
      <c r="AW182" s="40"/>
      <c r="AX182" s="40"/>
    </row>
    <row r="183" spans="8:50" ht="15.75" thickBot="1" x14ac:dyDescent="0.25">
      <c r="I183" s="40" t="s">
        <v>337</v>
      </c>
      <c r="J183" s="40"/>
      <c r="K183" s="40"/>
      <c r="L183" s="40"/>
      <c r="M183" s="43">
        <f>SUM(M163:M181)</f>
        <v>267277</v>
      </c>
      <c r="N183" s="40"/>
      <c r="O183" s="43">
        <f>SUM(O163:O181)</f>
        <v>268413</v>
      </c>
      <c r="P183" s="40"/>
      <c r="Q183" s="43">
        <f>SUM(Q163:Q181)</f>
        <v>13490</v>
      </c>
      <c r="R183" s="40"/>
      <c r="S183" s="43">
        <f>SUM(S163:S181)</f>
        <v>18329</v>
      </c>
      <c r="T183" s="40"/>
      <c r="U183" s="43">
        <f>SUM(U163:U181)</f>
        <v>757</v>
      </c>
      <c r="V183" s="40"/>
      <c r="W183" s="43">
        <f>SUM(W163:W181)</f>
        <v>1463</v>
      </c>
      <c r="X183" s="40"/>
      <c r="Y183" s="43">
        <f>SUM(Y163:Y181)</f>
        <v>789</v>
      </c>
      <c r="Z183" s="40"/>
      <c r="AA183" s="43">
        <f>SUM(AA163:AA181)</f>
        <v>1291</v>
      </c>
      <c r="AB183" s="40"/>
      <c r="AC183" s="43">
        <f>SUM(AC163:AC181)</f>
        <v>14</v>
      </c>
      <c r="AD183" s="40"/>
      <c r="AE183" s="43">
        <f>SUM(AE163:AE181)</f>
        <v>71</v>
      </c>
      <c r="AF183" s="40"/>
      <c r="AG183" s="43">
        <f>SUM(AG163:AG181)</f>
        <v>2189</v>
      </c>
      <c r="AH183" s="40"/>
      <c r="AI183" s="43">
        <f>SUM(AI163:AI181)</f>
        <v>9005</v>
      </c>
      <c r="AJ183" s="40"/>
      <c r="AK183" s="43">
        <f>SUM(AK163:AK181)</f>
        <v>284516</v>
      </c>
      <c r="AL183" s="40"/>
      <c r="AM183" s="43">
        <f>SUM(AM163:AM181)</f>
        <v>298572</v>
      </c>
      <c r="AN183" s="40"/>
      <c r="AP183" s="40"/>
      <c r="AQ183" s="40"/>
      <c r="AR183" s="40"/>
      <c r="AS183" s="40"/>
      <c r="AT183" s="40"/>
      <c r="AU183" s="40"/>
      <c r="AV183" s="40"/>
      <c r="AW183" s="40"/>
      <c r="AX183" s="40"/>
    </row>
    <row r="184" spans="8:50" ht="15.75" thickTop="1" x14ac:dyDescent="0.2">
      <c r="I184" s="40"/>
      <c r="J184" s="40"/>
      <c r="K184" s="40"/>
      <c r="L184" s="40"/>
      <c r="M184" s="44"/>
      <c r="N184" s="40"/>
      <c r="O184" s="44"/>
      <c r="P184" s="40"/>
      <c r="Q184" s="44"/>
      <c r="R184" s="40"/>
      <c r="S184" s="44"/>
      <c r="T184" s="40"/>
      <c r="U184" s="44"/>
      <c r="V184" s="40"/>
      <c r="W184" s="44"/>
      <c r="X184" s="40"/>
      <c r="Y184" s="44"/>
      <c r="Z184" s="40"/>
      <c r="AA184" s="44"/>
      <c r="AB184" s="40"/>
      <c r="AC184" s="44"/>
      <c r="AD184" s="40"/>
      <c r="AE184" s="44"/>
      <c r="AF184" s="40"/>
      <c r="AG184" s="44"/>
      <c r="AH184" s="40"/>
      <c r="AI184" s="44"/>
      <c r="AJ184" s="40"/>
      <c r="AK184" s="44"/>
      <c r="AL184" s="40"/>
      <c r="AM184" s="44"/>
      <c r="AN184" s="40"/>
    </row>
    <row r="185" spans="8:50" x14ac:dyDescent="0.2">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row>
    <row r="186" spans="8:50" x14ac:dyDescent="0.2">
      <c r="I186" s="40"/>
      <c r="J186" s="40"/>
      <c r="K186" s="40"/>
      <c r="L186" s="40"/>
      <c r="M186" s="40"/>
      <c r="N186" s="40"/>
      <c r="O186" s="48"/>
      <c r="P186" s="40"/>
      <c r="Q186" s="40"/>
      <c r="R186" s="40"/>
      <c r="S186" s="48"/>
      <c r="T186" s="40"/>
      <c r="U186" s="40"/>
      <c r="V186" s="40"/>
      <c r="W186" s="48"/>
      <c r="X186" s="40"/>
      <c r="Y186" s="40"/>
      <c r="Z186" s="40"/>
      <c r="AA186" s="48"/>
      <c r="AB186" s="40"/>
      <c r="AC186" s="40"/>
      <c r="AD186" s="40"/>
      <c r="AE186" s="48"/>
      <c r="AF186" s="40"/>
      <c r="AG186" s="40"/>
      <c r="AH186" s="40"/>
      <c r="AI186" s="48"/>
      <c r="AJ186" s="40"/>
      <c r="AK186" s="40"/>
      <c r="AL186" s="40"/>
      <c r="AM186" s="48"/>
      <c r="AN186" s="40"/>
    </row>
    <row r="187" spans="8:50" x14ac:dyDescent="0.2">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row>
    <row r="188" spans="8:50" x14ac:dyDescent="0.2">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row>
    <row r="189" spans="8:50" x14ac:dyDescent="0.2">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row>
    <row r="190" spans="8:50" x14ac:dyDescent="0.2">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row>
    <row r="191" spans="8:50" x14ac:dyDescent="0.2">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row>
    <row r="192" spans="8:50" x14ac:dyDescent="0.2">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row>
    <row r="193" spans="9:40" x14ac:dyDescent="0.2">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row>
  </sheetData>
  <mergeCells count="5">
    <mergeCell ref="A21:F21"/>
    <mergeCell ref="A42:F42"/>
    <mergeCell ref="A3:F3"/>
    <mergeCell ref="A38:F38"/>
    <mergeCell ref="A1:F1"/>
  </mergeCells>
  <phoneticPr fontId="14" type="noConversion"/>
  <printOptions horizontalCentered="1"/>
  <pageMargins left="0.7" right="0.7" top="0.75" bottom="0.75" header="0.3" footer="0.3"/>
  <pageSetup fitToHeight="0" orientation="portrait" r:id="rId1"/>
  <headerFooter>
    <oddHeader>&amp;R&amp;9KAW_R_PSCDR1_NUM014_Attachment 1
Case No. 2015-00418
Page &amp;P of &amp;N</oddHeader>
  </headerFooter>
  <rowBreaks count="1" manualBreakCount="1">
    <brk id="35" max="6"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8"/>
  <sheetViews>
    <sheetView tabSelected="1" view="pageLayout" topLeftCell="A22" zoomScaleNormal="100" workbookViewId="0">
      <selection activeCell="M516" sqref="M516"/>
    </sheetView>
  </sheetViews>
  <sheetFormatPr defaultRowHeight="12.75" x14ac:dyDescent="0.2"/>
  <cols>
    <col min="2" max="2" width="6.77734375" style="59" customWidth="1"/>
    <col min="3" max="3" width="1.77734375" style="59" customWidth="1"/>
    <col min="4" max="4" width="7.77734375" style="59" customWidth="1"/>
    <col min="5" max="5" width="1.77734375" style="59" customWidth="1"/>
    <col min="6" max="6" width="7.77734375" style="59" customWidth="1"/>
    <col min="7" max="7" width="1.77734375" style="59" customWidth="1"/>
    <col min="8" max="8" width="8.88671875" style="59" customWidth="1"/>
    <col min="9" max="9" width="1.77734375" style="59" customWidth="1"/>
    <col min="10" max="10" width="7.77734375" style="59" customWidth="1"/>
    <col min="11" max="11" width="1.77734375" style="59" customWidth="1"/>
    <col min="12" max="12" width="7.77734375" style="59" customWidth="1"/>
    <col min="13" max="13" width="1.77734375" style="59" customWidth="1"/>
    <col min="14" max="14" width="7.77734375" style="59" customWidth="1"/>
    <col min="15" max="15" width="1.77734375" style="59" customWidth="1"/>
    <col min="16" max="16" width="7.77734375" style="59" customWidth="1"/>
    <col min="17" max="17" width="1.77734375" style="59" customWidth="1"/>
    <col min="18" max="18" width="7.77734375" style="59" customWidth="1"/>
    <col min="19" max="19" width="1.77734375" style="59" customWidth="1"/>
    <col min="20" max="20" width="7.77734375" style="59" customWidth="1"/>
    <col min="21" max="21" width="1.77734375" style="59" customWidth="1"/>
    <col min="22" max="22" width="7.77734375" style="59" customWidth="1"/>
    <col min="23" max="23" width="1.77734375" style="59" customWidth="1"/>
    <col min="24" max="24" width="7.77734375" style="59" customWidth="1"/>
    <col min="25" max="25" width="1.77734375" style="59" customWidth="1"/>
    <col min="26" max="26" width="7.77734375" style="59" customWidth="1"/>
    <col min="27" max="27" width="1.77734375" style="59" customWidth="1"/>
    <col min="28" max="28" width="7.77734375" style="59" customWidth="1"/>
    <col min="29" max="29" width="1.77734375" style="59" customWidth="1"/>
    <col min="30" max="30" width="7.77734375" style="59" customWidth="1"/>
    <col min="31" max="31" width="1.77734375" style="59" customWidth="1"/>
    <col min="32" max="32" width="8.88671875" style="59" customWidth="1"/>
    <col min="33" max="33" width="9.77734375" customWidth="1"/>
    <col min="38" max="38" width="1.77734375" customWidth="1"/>
    <col min="43" max="43" width="1.88671875" customWidth="1"/>
    <col min="45" max="45" width="10.109375" customWidth="1"/>
  </cols>
  <sheetData>
    <row r="1" spans="1:47" ht="15" x14ac:dyDescent="0.2">
      <c r="B1" s="211" t="s">
        <v>195</v>
      </c>
      <c r="C1" s="196"/>
      <c r="D1" s="196"/>
      <c r="E1" s="196"/>
      <c r="F1" s="196"/>
      <c r="G1" s="196"/>
      <c r="H1" s="196"/>
      <c r="I1" s="196"/>
      <c r="J1" s="196"/>
      <c r="K1" s="196"/>
      <c r="L1" s="196"/>
      <c r="M1" s="196"/>
      <c r="N1" s="211"/>
      <c r="O1" s="196"/>
      <c r="P1" s="196"/>
      <c r="Q1" s="196"/>
      <c r="R1" s="196"/>
      <c r="S1" s="196"/>
      <c r="T1" s="196"/>
      <c r="U1" s="196"/>
      <c r="V1" s="196"/>
      <c r="W1" s="196"/>
      <c r="X1" s="196"/>
      <c r="Y1" s="196"/>
      <c r="Z1" s="196"/>
      <c r="AA1" s="196"/>
      <c r="AB1" s="196"/>
      <c r="AC1" s="196"/>
      <c r="AD1" s="196"/>
      <c r="AE1" s="196"/>
      <c r="AF1" s="196"/>
      <c r="AG1" s="281"/>
    </row>
    <row r="2" spans="1:47" ht="15" x14ac:dyDescent="0.2">
      <c r="B2" s="211" t="s">
        <v>196</v>
      </c>
      <c r="C2" s="196"/>
      <c r="D2" s="196"/>
      <c r="E2" s="196"/>
      <c r="F2" s="196"/>
      <c r="G2" s="196"/>
      <c r="H2" s="196"/>
      <c r="I2" s="196"/>
      <c r="J2" s="196"/>
      <c r="K2" s="196"/>
      <c r="L2" s="196"/>
      <c r="M2" s="196"/>
      <c r="N2" s="211"/>
      <c r="O2" s="196"/>
      <c r="P2" s="196"/>
      <c r="Q2" s="196"/>
      <c r="R2" s="196"/>
      <c r="S2" s="196"/>
      <c r="T2" s="196"/>
      <c r="U2" s="196"/>
      <c r="V2" s="196"/>
      <c r="W2" s="196"/>
      <c r="X2" s="196"/>
      <c r="Y2" s="196"/>
      <c r="Z2" s="196"/>
      <c r="AA2" s="196"/>
      <c r="AB2" s="196"/>
      <c r="AC2" s="196"/>
      <c r="AD2" s="196"/>
      <c r="AE2" s="196"/>
      <c r="AF2" s="196"/>
      <c r="AG2" s="281"/>
    </row>
    <row r="3" spans="1:47" ht="15" x14ac:dyDescent="0.2">
      <c r="B3" s="196" t="s">
        <v>392</v>
      </c>
      <c r="C3" s="196"/>
      <c r="D3" s="196"/>
      <c r="E3" s="196"/>
      <c r="F3" s="196"/>
      <c r="G3" s="196"/>
      <c r="H3" s="196"/>
      <c r="I3" s="196"/>
      <c r="J3" s="211"/>
      <c r="K3" s="196"/>
      <c r="L3" s="196"/>
      <c r="M3" s="196"/>
      <c r="N3" s="196"/>
      <c r="O3" s="196"/>
      <c r="P3" s="196"/>
      <c r="Q3" s="196"/>
      <c r="R3" s="196"/>
      <c r="S3" s="196"/>
      <c r="T3" s="196"/>
      <c r="U3" s="196"/>
      <c r="V3" s="196"/>
      <c r="W3" s="196"/>
      <c r="X3" s="196"/>
      <c r="Y3" s="196"/>
      <c r="Z3" s="196"/>
      <c r="AA3" s="196"/>
      <c r="AB3" s="196"/>
      <c r="AC3" s="196"/>
      <c r="AD3" s="196"/>
      <c r="AE3" s="196"/>
      <c r="AF3" s="196"/>
      <c r="AG3" s="281"/>
    </row>
    <row r="4" spans="1:47" ht="15" x14ac:dyDescent="0.2">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281"/>
    </row>
    <row r="5" spans="1:47" ht="15" x14ac:dyDescent="0.2">
      <c r="B5" s="198"/>
      <c r="C5" s="198"/>
      <c r="D5" s="198"/>
      <c r="E5" s="198"/>
      <c r="F5" s="197"/>
      <c r="G5" s="198"/>
      <c r="H5" s="198"/>
      <c r="I5" s="198"/>
      <c r="J5" s="197"/>
      <c r="K5" s="198"/>
      <c r="L5" s="198"/>
      <c r="M5" s="198"/>
      <c r="N5" s="197"/>
      <c r="O5" s="198"/>
      <c r="P5" s="198"/>
      <c r="Q5" s="198"/>
      <c r="R5" s="197"/>
      <c r="S5" s="198"/>
      <c r="T5" s="198"/>
      <c r="U5" s="198"/>
      <c r="V5" s="197"/>
      <c r="W5" s="198"/>
      <c r="X5" s="198"/>
      <c r="Y5" s="198"/>
      <c r="Z5" s="197"/>
      <c r="AA5" s="198"/>
      <c r="AB5" s="198"/>
      <c r="AC5" s="198"/>
      <c r="AD5" s="197"/>
      <c r="AE5" s="198"/>
      <c r="AF5" s="198"/>
      <c r="AG5" s="281"/>
      <c r="AH5" s="480"/>
      <c r="AI5" s="480"/>
      <c r="AJ5" s="480"/>
      <c r="AK5" s="480"/>
      <c r="AL5" s="480"/>
      <c r="AM5" s="480"/>
      <c r="AN5" s="480"/>
      <c r="AO5" s="480"/>
      <c r="AP5" s="480"/>
      <c r="AQ5" s="480"/>
      <c r="AR5" s="480"/>
      <c r="AS5" s="480"/>
      <c r="AT5" s="480"/>
      <c r="AU5" s="480"/>
    </row>
    <row r="6" spans="1:47" ht="15" x14ac:dyDescent="0.2">
      <c r="B6" s="199"/>
      <c r="C6" s="199"/>
      <c r="D6" s="199" t="s">
        <v>393</v>
      </c>
      <c r="E6" s="199"/>
      <c r="F6" s="196" t="s">
        <v>208</v>
      </c>
      <c r="G6" s="196"/>
      <c r="H6" s="196"/>
      <c r="I6" s="199"/>
      <c r="J6" s="196" t="s">
        <v>209</v>
      </c>
      <c r="K6" s="196"/>
      <c r="L6" s="196"/>
      <c r="M6" s="199"/>
      <c r="N6" s="196" t="s">
        <v>210</v>
      </c>
      <c r="O6" s="196"/>
      <c r="P6" s="196"/>
      <c r="Q6" s="199"/>
      <c r="R6" s="196" t="s">
        <v>214</v>
      </c>
      <c r="S6" s="196"/>
      <c r="T6" s="196"/>
      <c r="U6" s="199"/>
      <c r="V6" s="196" t="s">
        <v>333</v>
      </c>
      <c r="W6" s="196"/>
      <c r="X6" s="196"/>
      <c r="Y6" s="199"/>
      <c r="Z6" s="196" t="s">
        <v>216</v>
      </c>
      <c r="AA6" s="196"/>
      <c r="AB6" s="196"/>
      <c r="AC6" s="199"/>
      <c r="AD6" s="196" t="s">
        <v>337</v>
      </c>
      <c r="AE6" s="196"/>
      <c r="AF6" s="196"/>
      <c r="AG6" s="281"/>
      <c r="AH6" s="480"/>
      <c r="AI6" s="480"/>
      <c r="AJ6" s="480"/>
      <c r="AK6" s="480"/>
      <c r="AL6" s="480"/>
      <c r="AM6" s="480"/>
      <c r="AN6" s="480"/>
      <c r="AO6" s="480"/>
      <c r="AP6" s="480"/>
      <c r="AQ6" s="480"/>
      <c r="AR6" s="480"/>
      <c r="AS6" s="480"/>
      <c r="AT6" s="480"/>
      <c r="AU6" s="480"/>
    </row>
    <row r="7" spans="1:47" ht="15" x14ac:dyDescent="0.2">
      <c r="B7" s="199" t="s">
        <v>394</v>
      </c>
      <c r="C7" s="199"/>
      <c r="D7" s="199" t="s">
        <v>339</v>
      </c>
      <c r="E7" s="199"/>
      <c r="F7" s="200" t="s">
        <v>319</v>
      </c>
      <c r="G7" s="200"/>
      <c r="H7" s="200"/>
      <c r="I7" s="199"/>
      <c r="J7" s="200" t="s">
        <v>319</v>
      </c>
      <c r="K7" s="200"/>
      <c r="L7" s="200"/>
      <c r="M7" s="199"/>
      <c r="N7" s="200" t="s">
        <v>319</v>
      </c>
      <c r="O7" s="200"/>
      <c r="P7" s="200"/>
      <c r="Q7" s="199"/>
      <c r="R7" s="200" t="s">
        <v>319</v>
      </c>
      <c r="S7" s="200"/>
      <c r="T7" s="200"/>
      <c r="U7" s="199"/>
      <c r="V7" s="200" t="s">
        <v>319</v>
      </c>
      <c r="W7" s="200"/>
      <c r="X7" s="200"/>
      <c r="Y7" s="199"/>
      <c r="Z7" s="200" t="s">
        <v>319</v>
      </c>
      <c r="AA7" s="200"/>
      <c r="AB7" s="200"/>
      <c r="AC7" s="199"/>
      <c r="AD7" s="200" t="s">
        <v>319</v>
      </c>
      <c r="AE7" s="200"/>
      <c r="AF7" s="200"/>
      <c r="AG7" s="281"/>
      <c r="AH7" s="480"/>
      <c r="AI7" s="480"/>
      <c r="AJ7" s="480"/>
      <c r="AK7" s="480"/>
      <c r="AL7" s="480"/>
      <c r="AM7" s="480"/>
      <c r="AN7" s="480"/>
      <c r="AO7" s="480"/>
      <c r="AP7" s="480"/>
      <c r="AQ7" s="480"/>
      <c r="AR7" s="480"/>
      <c r="AS7" s="480"/>
      <c r="AT7" s="480"/>
      <c r="AU7" s="480"/>
    </row>
    <row r="8" spans="1:47" ht="15" x14ac:dyDescent="0.2">
      <c r="B8" s="199" t="s">
        <v>340</v>
      </c>
      <c r="C8" s="199"/>
      <c r="D8" s="199" t="s">
        <v>341</v>
      </c>
      <c r="E8" s="199"/>
      <c r="F8" s="199" t="s">
        <v>395</v>
      </c>
      <c r="G8" s="199"/>
      <c r="H8" s="199" t="s">
        <v>343</v>
      </c>
      <c r="I8" s="199"/>
      <c r="J8" s="199" t="s">
        <v>395</v>
      </c>
      <c r="K8" s="199"/>
      <c r="L8" s="199" t="s">
        <v>343</v>
      </c>
      <c r="M8" s="199"/>
      <c r="N8" s="199" t="s">
        <v>395</v>
      </c>
      <c r="O8" s="199"/>
      <c r="P8" s="199" t="s">
        <v>343</v>
      </c>
      <c r="Q8" s="199"/>
      <c r="R8" s="199" t="s">
        <v>395</v>
      </c>
      <c r="S8" s="199"/>
      <c r="T8" s="199" t="s">
        <v>343</v>
      </c>
      <c r="U8" s="199"/>
      <c r="V8" s="199" t="s">
        <v>395</v>
      </c>
      <c r="W8" s="199"/>
      <c r="X8" s="199" t="s">
        <v>343</v>
      </c>
      <c r="Y8" s="199"/>
      <c r="Z8" s="199" t="s">
        <v>395</v>
      </c>
      <c r="AA8" s="199"/>
      <c r="AB8" s="199" t="s">
        <v>343</v>
      </c>
      <c r="AC8" s="199"/>
      <c r="AD8" s="199" t="s">
        <v>395</v>
      </c>
      <c r="AE8" s="199"/>
      <c r="AF8" s="199" t="s">
        <v>343</v>
      </c>
      <c r="AG8" s="281"/>
      <c r="AH8" s="480"/>
      <c r="AI8" s="480"/>
      <c r="AJ8" s="82"/>
      <c r="AK8" s="480"/>
      <c r="AL8" s="480"/>
      <c r="AM8" s="480"/>
      <c r="AN8" s="480"/>
      <c r="AO8" s="480"/>
      <c r="AP8" s="480"/>
      <c r="AQ8" s="480"/>
      <c r="AR8" s="480"/>
      <c r="AS8" s="480"/>
      <c r="AT8" s="480"/>
      <c r="AU8" s="480"/>
    </row>
    <row r="9" spans="1:47" ht="15" x14ac:dyDescent="0.2">
      <c r="B9" s="201">
        <v>-1</v>
      </c>
      <c r="C9" s="202"/>
      <c r="D9" s="201">
        <v>-2</v>
      </c>
      <c r="E9" s="202"/>
      <c r="F9" s="201">
        <v>-3</v>
      </c>
      <c r="G9" s="203"/>
      <c r="H9" s="204" t="s">
        <v>344</v>
      </c>
      <c r="I9" s="203"/>
      <c r="J9" s="201">
        <v>-5</v>
      </c>
      <c r="K9" s="202"/>
      <c r="L9" s="201" t="s">
        <v>345</v>
      </c>
      <c r="M9" s="202"/>
      <c r="N9" s="201">
        <v>-7</v>
      </c>
      <c r="O9" s="202"/>
      <c r="P9" s="201" t="s">
        <v>346</v>
      </c>
      <c r="Q9" s="202"/>
      <c r="R9" s="201">
        <v>-9</v>
      </c>
      <c r="S9" s="202"/>
      <c r="T9" s="201" t="s">
        <v>347</v>
      </c>
      <c r="U9" s="202"/>
      <c r="V9" s="201">
        <v>-11</v>
      </c>
      <c r="W9" s="202"/>
      <c r="X9" s="201" t="s">
        <v>348</v>
      </c>
      <c r="Y9" s="202"/>
      <c r="Z9" s="201">
        <v>-13</v>
      </c>
      <c r="AA9" s="202"/>
      <c r="AB9" s="201" t="s">
        <v>349</v>
      </c>
      <c r="AC9" s="202"/>
      <c r="AD9" s="201">
        <v>-15</v>
      </c>
      <c r="AE9" s="202"/>
      <c r="AF9" s="201">
        <v>-16</v>
      </c>
      <c r="AG9" s="281"/>
      <c r="AH9" s="845" t="s">
        <v>208</v>
      </c>
      <c r="AI9" s="845"/>
      <c r="AJ9" s="845"/>
      <c r="AK9" s="845"/>
      <c r="AL9" s="480"/>
      <c r="AM9" s="845" t="s">
        <v>209</v>
      </c>
      <c r="AN9" s="845"/>
      <c r="AO9" s="845"/>
      <c r="AP9" s="845"/>
      <c r="AQ9" s="480"/>
      <c r="AR9" s="536" t="s">
        <v>210</v>
      </c>
      <c r="AS9" s="536" t="s">
        <v>84</v>
      </c>
      <c r="AT9" s="536" t="s">
        <v>85</v>
      </c>
      <c r="AU9" s="480"/>
    </row>
    <row r="10" spans="1:47" ht="15" x14ac:dyDescent="0.2">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281"/>
      <c r="AH10" s="67" t="s">
        <v>86</v>
      </c>
      <c r="AI10" s="67" t="s">
        <v>87</v>
      </c>
      <c r="AJ10" s="67" t="s">
        <v>88</v>
      </c>
      <c r="AK10" s="67" t="s">
        <v>89</v>
      </c>
      <c r="AL10" s="480"/>
      <c r="AM10" s="67" t="s">
        <v>86</v>
      </c>
      <c r="AN10" s="67" t="s">
        <v>87</v>
      </c>
      <c r="AO10" s="67" t="s">
        <v>88</v>
      </c>
      <c r="AP10" s="67" t="s">
        <v>89</v>
      </c>
      <c r="AQ10" s="480"/>
      <c r="AR10" s="480"/>
      <c r="AS10" s="480"/>
      <c r="AT10" s="480"/>
      <c r="AU10" s="480"/>
    </row>
    <row r="11" spans="1:47" ht="15" x14ac:dyDescent="0.2">
      <c r="A11" s="282"/>
      <c r="B11" s="199" t="s">
        <v>396</v>
      </c>
      <c r="C11" s="198"/>
      <c r="D11" s="827">
        <v>1</v>
      </c>
      <c r="E11" s="198"/>
      <c r="F11" s="206">
        <f t="shared" ref="F11:F19" si="0">ROUND(SUM(AH11:AK11)/12,0)</f>
        <v>114772</v>
      </c>
      <c r="G11" s="198"/>
      <c r="H11" s="206">
        <f t="shared" ref="H11:H19" si="1">ROUND(+F11*$D11,0)</f>
        <v>114772</v>
      </c>
      <c r="I11" s="198"/>
      <c r="J11" s="206">
        <f t="shared" ref="J11:J19" si="2">ROUND(SUM(AM11:AP11)/12,0)</f>
        <v>4623</v>
      </c>
      <c r="K11" s="198"/>
      <c r="L11" s="206">
        <f t="shared" ref="L11:L19" si="3">ROUND(+J11*$D11,0)</f>
        <v>4623</v>
      </c>
      <c r="M11" s="198"/>
      <c r="N11" s="206">
        <f t="shared" ref="N11:N19" si="4">ROUND(AR11/12,0)</f>
        <v>6</v>
      </c>
      <c r="P11" s="206">
        <f t="shared" ref="P11:P19" si="5">ROUND(+N11*$D11,0)</f>
        <v>6</v>
      </c>
      <c r="Q11" s="198"/>
      <c r="R11" s="206">
        <f t="shared" ref="R11:R19" si="6">ROUND(AS11/12,0)</f>
        <v>140</v>
      </c>
      <c r="S11" s="198"/>
      <c r="T11" s="206">
        <f t="shared" ref="T11:T19" si="7">ROUND(+R11*$D11,0)</f>
        <v>140</v>
      </c>
      <c r="U11" s="198"/>
      <c r="V11" s="206">
        <f t="shared" ref="V11:V19" si="8">ROUND(AT11/12,0)</f>
        <v>0</v>
      </c>
      <c r="W11" s="198"/>
      <c r="X11" s="206">
        <f t="shared" ref="X11:X19" si="9">ROUND(+V11*$D11,0)</f>
        <v>0</v>
      </c>
      <c r="Y11" s="198"/>
      <c r="Z11" s="206">
        <f>+Z53</f>
        <v>1701</v>
      </c>
      <c r="AA11" s="198"/>
      <c r="AB11" s="206">
        <f t="shared" ref="AB11:AB19" si="10">ROUND(+Z11*$D11,0)</f>
        <v>1701</v>
      </c>
      <c r="AC11" s="198"/>
      <c r="AD11" s="206">
        <f t="shared" ref="AD11:AD19" si="11">F11+J11+N11+R11+V11+Z11</f>
        <v>121242</v>
      </c>
      <c r="AE11" s="198"/>
      <c r="AF11" s="206">
        <f t="shared" ref="AF11:AF19" si="12">H11+L11+P11+T11+X11+AB11</f>
        <v>121242</v>
      </c>
      <c r="AG11" s="281"/>
      <c r="AH11" s="82">
        <f>+'[7]Sch M'!$N52</f>
        <v>1377268</v>
      </c>
      <c r="AI11" s="82"/>
      <c r="AJ11" s="82"/>
      <c r="AK11" s="480"/>
      <c r="AL11" s="480"/>
      <c r="AM11" s="82">
        <f>+'[7]Sch M'!$N91</f>
        <v>55473</v>
      </c>
      <c r="AN11" s="82"/>
      <c r="AO11" s="82"/>
      <c r="AP11" s="480"/>
      <c r="AQ11" s="480"/>
      <c r="AR11" s="82">
        <f>+'[7]Sch M'!$N130</f>
        <v>72</v>
      </c>
      <c r="AS11" s="82">
        <f>+'[7]Sch M'!$N169</f>
        <v>1680</v>
      </c>
      <c r="AT11" s="82">
        <f>+'[7]Sch M'!$N208</f>
        <v>0</v>
      </c>
      <c r="AU11" s="480"/>
    </row>
    <row r="12" spans="1:47" s="391" customFormat="1" ht="23.45" customHeight="1" x14ac:dyDescent="0.2">
      <c r="A12" s="282"/>
      <c r="B12" s="395" t="s">
        <v>535</v>
      </c>
      <c r="C12" s="198"/>
      <c r="D12" s="827">
        <v>1.4</v>
      </c>
      <c r="E12" s="198"/>
      <c r="F12" s="206">
        <f t="shared" si="0"/>
        <v>1</v>
      </c>
      <c r="G12" s="198"/>
      <c r="H12" s="206">
        <f t="shared" si="1"/>
        <v>1</v>
      </c>
      <c r="I12" s="198"/>
      <c r="J12" s="206">
        <f t="shared" si="2"/>
        <v>1</v>
      </c>
      <c r="K12" s="198"/>
      <c r="L12" s="206">
        <f t="shared" si="3"/>
        <v>1</v>
      </c>
      <c r="M12" s="198"/>
      <c r="N12" s="206">
        <f t="shared" si="4"/>
        <v>0</v>
      </c>
      <c r="O12" s="198"/>
      <c r="P12" s="206">
        <f t="shared" si="5"/>
        <v>0</v>
      </c>
      <c r="Q12" s="198"/>
      <c r="R12" s="206">
        <f t="shared" si="6"/>
        <v>0</v>
      </c>
      <c r="S12" s="198"/>
      <c r="T12" s="206">
        <f t="shared" si="7"/>
        <v>0</v>
      </c>
      <c r="U12" s="198"/>
      <c r="V12" s="206">
        <f t="shared" si="8"/>
        <v>0</v>
      </c>
      <c r="W12" s="198"/>
      <c r="X12" s="206">
        <f t="shared" si="9"/>
        <v>0</v>
      </c>
      <c r="Y12" s="198"/>
      <c r="Z12" s="206">
        <v>0</v>
      </c>
      <c r="AA12" s="198"/>
      <c r="AB12" s="206">
        <f t="shared" si="10"/>
        <v>0</v>
      </c>
      <c r="AC12" s="198"/>
      <c r="AD12" s="206">
        <f t="shared" si="11"/>
        <v>2</v>
      </c>
      <c r="AE12" s="198"/>
      <c r="AF12" s="206">
        <f t="shared" si="12"/>
        <v>2</v>
      </c>
      <c r="AG12" s="281"/>
      <c r="AH12" s="82">
        <f>+'[7]Sch M'!$N53</f>
        <v>12</v>
      </c>
      <c r="AI12" s="82"/>
      <c r="AJ12" s="82"/>
      <c r="AK12" s="480"/>
      <c r="AL12" s="480"/>
      <c r="AM12" s="82">
        <f>+'[7]Sch M'!$N92</f>
        <v>12</v>
      </c>
      <c r="AN12" s="82"/>
      <c r="AO12" s="82"/>
      <c r="AP12" s="480"/>
      <c r="AQ12" s="480"/>
      <c r="AR12" s="82">
        <f>+'[7]Sch M'!$N131</f>
        <v>0</v>
      </c>
      <c r="AS12" s="82">
        <f>+'[7]Sch M'!$N170</f>
        <v>0</v>
      </c>
      <c r="AT12" s="82">
        <f>+'[7]Sch M'!$N209</f>
        <v>0</v>
      </c>
      <c r="AU12" s="480"/>
    </row>
    <row r="13" spans="1:47" ht="23.45" customHeight="1" x14ac:dyDescent="0.2">
      <c r="A13" s="282"/>
      <c r="B13" s="199" t="s">
        <v>397</v>
      </c>
      <c r="C13" s="198"/>
      <c r="D13" s="827">
        <v>1.8</v>
      </c>
      <c r="E13" s="198"/>
      <c r="F13" s="206">
        <f t="shared" si="0"/>
        <v>1822</v>
      </c>
      <c r="G13" s="198"/>
      <c r="H13" s="206">
        <f t="shared" si="1"/>
        <v>3280</v>
      </c>
      <c r="I13" s="198"/>
      <c r="J13" s="206">
        <f t="shared" si="2"/>
        <v>2397</v>
      </c>
      <c r="K13" s="198"/>
      <c r="L13" s="206">
        <f t="shared" si="3"/>
        <v>4315</v>
      </c>
      <c r="M13" s="198"/>
      <c r="N13" s="206">
        <f t="shared" si="4"/>
        <v>2</v>
      </c>
      <c r="O13" s="198"/>
      <c r="P13" s="206">
        <f t="shared" si="5"/>
        <v>4</v>
      </c>
      <c r="Q13" s="198"/>
      <c r="R13" s="206">
        <f t="shared" si="6"/>
        <v>172</v>
      </c>
      <c r="S13" s="198"/>
      <c r="T13" s="206">
        <f t="shared" si="7"/>
        <v>310</v>
      </c>
      <c r="U13" s="198"/>
      <c r="V13" s="206">
        <f t="shared" si="8"/>
        <v>0</v>
      </c>
      <c r="W13" s="198"/>
      <c r="X13" s="206">
        <f t="shared" si="9"/>
        <v>0</v>
      </c>
      <c r="Y13" s="198"/>
      <c r="Z13" s="198">
        <v>0</v>
      </c>
      <c r="AA13" s="198"/>
      <c r="AB13" s="206">
        <f t="shared" si="10"/>
        <v>0</v>
      </c>
      <c r="AC13" s="198"/>
      <c r="AD13" s="206">
        <f t="shared" si="11"/>
        <v>4393</v>
      </c>
      <c r="AE13" s="198"/>
      <c r="AF13" s="206">
        <f t="shared" si="12"/>
        <v>7909</v>
      </c>
      <c r="AG13" s="281"/>
      <c r="AH13" s="82">
        <f>+'[7]Sch M'!$N54</f>
        <v>21864</v>
      </c>
      <c r="AI13" s="82"/>
      <c r="AJ13" s="82"/>
      <c r="AK13" s="480"/>
      <c r="AL13" s="480"/>
      <c r="AM13" s="82">
        <f>+'[7]Sch M'!$N93</f>
        <v>28762</v>
      </c>
      <c r="AN13" s="82"/>
      <c r="AO13" s="82"/>
      <c r="AP13" s="480"/>
      <c r="AQ13" s="480"/>
      <c r="AR13" s="82">
        <f>+'[7]Sch M'!$N132</f>
        <v>24</v>
      </c>
      <c r="AS13" s="82">
        <f>+'[7]Sch M'!$N171</f>
        <v>2064</v>
      </c>
      <c r="AT13" s="82">
        <f>+'[7]Sch M'!$N210</f>
        <v>0</v>
      </c>
      <c r="AU13" s="480"/>
    </row>
    <row r="14" spans="1:47" ht="22.9" customHeight="1" x14ac:dyDescent="0.2">
      <c r="A14" s="282"/>
      <c r="B14" s="199" t="s">
        <v>398</v>
      </c>
      <c r="C14" s="198"/>
      <c r="D14" s="827">
        <v>3</v>
      </c>
      <c r="E14" s="198"/>
      <c r="F14" s="206">
        <f t="shared" si="0"/>
        <v>13</v>
      </c>
      <c r="G14" s="198"/>
      <c r="H14" s="206">
        <f t="shared" si="1"/>
        <v>39</v>
      </c>
      <c r="I14" s="198"/>
      <c r="J14" s="206">
        <f t="shared" si="2"/>
        <v>172</v>
      </c>
      <c r="K14" s="198"/>
      <c r="L14" s="206">
        <f t="shared" si="3"/>
        <v>516</v>
      </c>
      <c r="M14" s="198"/>
      <c r="N14" s="206">
        <f t="shared" si="4"/>
        <v>2</v>
      </c>
      <c r="O14" s="198"/>
      <c r="P14" s="206">
        <f t="shared" si="5"/>
        <v>6</v>
      </c>
      <c r="Q14" s="198"/>
      <c r="R14" s="206">
        <f t="shared" si="6"/>
        <v>28</v>
      </c>
      <c r="S14" s="198"/>
      <c r="T14" s="206">
        <f t="shared" si="7"/>
        <v>84</v>
      </c>
      <c r="U14" s="198"/>
      <c r="V14" s="206">
        <f t="shared" si="8"/>
        <v>4</v>
      </c>
      <c r="W14" s="198"/>
      <c r="X14" s="206">
        <f t="shared" si="9"/>
        <v>12</v>
      </c>
      <c r="Y14" s="198"/>
      <c r="Z14" s="198">
        <v>0</v>
      </c>
      <c r="AA14" s="198"/>
      <c r="AB14" s="206">
        <f t="shared" si="10"/>
        <v>0</v>
      </c>
      <c r="AC14" s="198"/>
      <c r="AD14" s="206">
        <f t="shared" si="11"/>
        <v>219</v>
      </c>
      <c r="AE14" s="198"/>
      <c r="AF14" s="206">
        <f t="shared" si="12"/>
        <v>657</v>
      </c>
      <c r="AG14" s="281"/>
      <c r="AH14" s="82">
        <f>+'[7]Sch M'!$N55</f>
        <v>156</v>
      </c>
      <c r="AI14" s="82"/>
      <c r="AJ14" s="82"/>
      <c r="AK14" s="480"/>
      <c r="AL14" s="480"/>
      <c r="AM14" s="82">
        <f>+'[7]Sch M'!$N94</f>
        <v>2064</v>
      </c>
      <c r="AN14" s="82"/>
      <c r="AO14" s="82"/>
      <c r="AP14" s="480"/>
      <c r="AQ14" s="480"/>
      <c r="AR14" s="82">
        <f>+'[7]Sch M'!$N133</f>
        <v>24</v>
      </c>
      <c r="AS14" s="82">
        <f>+'[7]Sch M'!$N172</f>
        <v>336</v>
      </c>
      <c r="AT14" s="82">
        <f>+'[7]Sch M'!$N211</f>
        <v>48</v>
      </c>
      <c r="AU14" s="480"/>
    </row>
    <row r="15" spans="1:47" ht="22.9" customHeight="1" x14ac:dyDescent="0.2">
      <c r="A15" s="282"/>
      <c r="B15" s="199" t="s">
        <v>399</v>
      </c>
      <c r="C15" s="198"/>
      <c r="D15" s="827">
        <v>4</v>
      </c>
      <c r="E15" s="198"/>
      <c r="F15" s="206">
        <f t="shared" si="0"/>
        <v>98</v>
      </c>
      <c r="G15" s="198"/>
      <c r="H15" s="206">
        <f t="shared" si="1"/>
        <v>392</v>
      </c>
      <c r="I15" s="198"/>
      <c r="J15" s="206">
        <f t="shared" si="2"/>
        <v>1886</v>
      </c>
      <c r="K15" s="198"/>
      <c r="L15" s="206">
        <f t="shared" si="3"/>
        <v>7544</v>
      </c>
      <c r="M15" s="198"/>
      <c r="N15" s="206">
        <f t="shared" si="4"/>
        <v>24</v>
      </c>
      <c r="O15" s="198"/>
      <c r="P15" s="206">
        <f t="shared" si="5"/>
        <v>96</v>
      </c>
      <c r="Q15" s="198"/>
      <c r="R15" s="206">
        <f t="shared" si="6"/>
        <v>367</v>
      </c>
      <c r="S15" s="198"/>
      <c r="T15" s="206">
        <f t="shared" si="7"/>
        <v>1468</v>
      </c>
      <c r="U15" s="198"/>
      <c r="V15" s="206">
        <f t="shared" si="8"/>
        <v>8</v>
      </c>
      <c r="W15" s="198"/>
      <c r="X15" s="206">
        <f t="shared" si="9"/>
        <v>32</v>
      </c>
      <c r="Y15" s="198"/>
      <c r="Z15" s="198">
        <v>0</v>
      </c>
      <c r="AA15" s="198"/>
      <c r="AB15" s="206">
        <f t="shared" si="10"/>
        <v>0</v>
      </c>
      <c r="AC15" s="198"/>
      <c r="AD15" s="206">
        <f t="shared" si="11"/>
        <v>2383</v>
      </c>
      <c r="AE15" s="198"/>
      <c r="AF15" s="206">
        <f t="shared" si="12"/>
        <v>9532</v>
      </c>
      <c r="AG15" s="281"/>
      <c r="AH15" s="82">
        <f>+'[7]Sch M'!$N56</f>
        <v>1176</v>
      </c>
      <c r="AI15" s="82"/>
      <c r="AJ15" s="82"/>
      <c r="AK15" s="480"/>
      <c r="AL15" s="480"/>
      <c r="AM15" s="82">
        <f>+'[7]Sch M'!$N95</f>
        <v>22635</v>
      </c>
      <c r="AN15" s="82"/>
      <c r="AO15" s="82"/>
      <c r="AP15" s="480"/>
      <c r="AQ15" s="480"/>
      <c r="AR15" s="82">
        <f>+'[7]Sch M'!$N134</f>
        <v>288</v>
      </c>
      <c r="AS15" s="82">
        <f>+'[7]Sch M'!$N173</f>
        <v>4404</v>
      </c>
      <c r="AT15" s="82">
        <f>+'[7]Sch M'!$N212</f>
        <v>96</v>
      </c>
      <c r="AU15" s="480"/>
    </row>
    <row r="16" spans="1:47" ht="23.45" customHeight="1" x14ac:dyDescent="0.2">
      <c r="A16" s="282"/>
      <c r="B16" s="199" t="s">
        <v>400</v>
      </c>
      <c r="C16" s="198"/>
      <c r="D16" s="827">
        <v>12</v>
      </c>
      <c r="E16" s="198"/>
      <c r="F16" s="206">
        <f t="shared" si="0"/>
        <v>0</v>
      </c>
      <c r="G16" s="198"/>
      <c r="H16" s="206">
        <f t="shared" si="1"/>
        <v>0</v>
      </c>
      <c r="I16" s="198"/>
      <c r="J16" s="206">
        <f t="shared" si="2"/>
        <v>2</v>
      </c>
      <c r="K16" s="198"/>
      <c r="L16" s="206">
        <f t="shared" si="3"/>
        <v>24</v>
      </c>
      <c r="M16" s="198"/>
      <c r="N16" s="206">
        <f t="shared" si="4"/>
        <v>0</v>
      </c>
      <c r="O16" s="198"/>
      <c r="P16" s="206">
        <f t="shared" si="5"/>
        <v>0</v>
      </c>
      <c r="Q16" s="198"/>
      <c r="R16" s="206">
        <f t="shared" si="6"/>
        <v>1</v>
      </c>
      <c r="S16" s="198"/>
      <c r="T16" s="206">
        <f t="shared" si="7"/>
        <v>12</v>
      </c>
      <c r="U16" s="198"/>
      <c r="V16" s="206">
        <f t="shared" si="8"/>
        <v>0</v>
      </c>
      <c r="W16" s="198"/>
      <c r="X16" s="206">
        <f t="shared" si="9"/>
        <v>0</v>
      </c>
      <c r="Y16" s="198"/>
      <c r="Z16" s="198">
        <v>0</v>
      </c>
      <c r="AA16" s="198"/>
      <c r="AB16" s="206">
        <f t="shared" si="10"/>
        <v>0</v>
      </c>
      <c r="AC16" s="198"/>
      <c r="AD16" s="206">
        <f t="shared" si="11"/>
        <v>3</v>
      </c>
      <c r="AE16" s="198"/>
      <c r="AF16" s="206">
        <f t="shared" si="12"/>
        <v>36</v>
      </c>
      <c r="AG16" s="281"/>
      <c r="AH16" s="82">
        <f>+'[7]Sch M'!$N57</f>
        <v>0</v>
      </c>
      <c r="AI16" s="82"/>
      <c r="AJ16" s="82"/>
      <c r="AK16" s="480"/>
      <c r="AL16" s="480"/>
      <c r="AM16" s="82">
        <f>+'[7]Sch M'!$N96</f>
        <v>24</v>
      </c>
      <c r="AN16" s="82"/>
      <c r="AO16" s="82"/>
      <c r="AP16" s="480"/>
      <c r="AQ16" s="480"/>
      <c r="AR16" s="82">
        <f>+'[7]Sch M'!$N135</f>
        <v>0</v>
      </c>
      <c r="AS16" s="82">
        <f>+'[7]Sch M'!$N174</f>
        <v>12</v>
      </c>
      <c r="AT16" s="82">
        <f>+'[7]Sch M'!$N213</f>
        <v>0</v>
      </c>
      <c r="AU16" s="480"/>
    </row>
    <row r="17" spans="1:47" ht="23.45" customHeight="1" x14ac:dyDescent="0.2">
      <c r="A17" s="282"/>
      <c r="B17" s="199" t="s">
        <v>401</v>
      </c>
      <c r="C17" s="198"/>
      <c r="D17" s="827">
        <v>20</v>
      </c>
      <c r="E17" s="198"/>
      <c r="F17" s="206">
        <f t="shared" si="0"/>
        <v>0</v>
      </c>
      <c r="G17" s="198"/>
      <c r="H17" s="206">
        <f t="shared" si="1"/>
        <v>0</v>
      </c>
      <c r="I17" s="198"/>
      <c r="J17" s="206">
        <f t="shared" si="2"/>
        <v>31</v>
      </c>
      <c r="K17" s="198"/>
      <c r="L17" s="206">
        <f t="shared" si="3"/>
        <v>620</v>
      </c>
      <c r="M17" s="198"/>
      <c r="N17" s="206">
        <f t="shared" si="4"/>
        <v>10</v>
      </c>
      <c r="O17" s="198"/>
      <c r="P17" s="206">
        <f t="shared" si="5"/>
        <v>200</v>
      </c>
      <c r="Q17" s="198"/>
      <c r="R17" s="206">
        <f t="shared" si="6"/>
        <v>42</v>
      </c>
      <c r="S17" s="198"/>
      <c r="T17" s="206">
        <f t="shared" si="7"/>
        <v>840</v>
      </c>
      <c r="U17" s="198"/>
      <c r="V17" s="206">
        <f t="shared" si="8"/>
        <v>7</v>
      </c>
      <c r="W17" s="198"/>
      <c r="X17" s="206">
        <f t="shared" si="9"/>
        <v>140</v>
      </c>
      <c r="Y17" s="198"/>
      <c r="Z17" s="198">
        <v>0</v>
      </c>
      <c r="AA17" s="198"/>
      <c r="AB17" s="206">
        <f t="shared" si="10"/>
        <v>0</v>
      </c>
      <c r="AC17" s="198"/>
      <c r="AD17" s="206">
        <f t="shared" si="11"/>
        <v>90</v>
      </c>
      <c r="AE17" s="198"/>
      <c r="AF17" s="206">
        <f t="shared" si="12"/>
        <v>1800</v>
      </c>
      <c r="AG17" s="281"/>
      <c r="AH17" s="82">
        <f>+'[7]Sch M'!$N58</f>
        <v>0</v>
      </c>
      <c r="AI17" s="82"/>
      <c r="AJ17" s="82"/>
      <c r="AK17" s="480"/>
      <c r="AL17" s="480"/>
      <c r="AM17" s="82">
        <f>+'[7]Sch M'!$N97</f>
        <v>372</v>
      </c>
      <c r="AN17" s="82"/>
      <c r="AO17" s="82"/>
      <c r="AP17" s="480"/>
      <c r="AQ17" s="480"/>
      <c r="AR17" s="82">
        <f>+'[7]Sch M'!$N136</f>
        <v>120</v>
      </c>
      <c r="AS17" s="82">
        <f>+'[7]Sch M'!$N175</f>
        <v>504</v>
      </c>
      <c r="AT17" s="82">
        <f>+'[7]Sch M'!$N214</f>
        <v>84</v>
      </c>
      <c r="AU17" s="480"/>
    </row>
    <row r="18" spans="1:47" ht="22.9" customHeight="1" x14ac:dyDescent="0.2">
      <c r="A18" s="282"/>
      <c r="B18" s="199" t="s">
        <v>402</v>
      </c>
      <c r="C18" s="198"/>
      <c r="D18" s="827">
        <v>30</v>
      </c>
      <c r="E18" s="198"/>
      <c r="F18" s="206">
        <f t="shared" si="0"/>
        <v>3</v>
      </c>
      <c r="G18" s="198"/>
      <c r="H18" s="206">
        <f t="shared" si="1"/>
        <v>90</v>
      </c>
      <c r="I18" s="198"/>
      <c r="J18" s="206">
        <f t="shared" si="2"/>
        <v>13</v>
      </c>
      <c r="K18" s="198"/>
      <c r="L18" s="206">
        <f t="shared" si="3"/>
        <v>390</v>
      </c>
      <c r="M18" s="198"/>
      <c r="N18" s="206">
        <f t="shared" si="4"/>
        <v>8</v>
      </c>
      <c r="O18" s="198"/>
      <c r="P18" s="206">
        <f t="shared" si="5"/>
        <v>240</v>
      </c>
      <c r="Q18" s="198"/>
      <c r="R18" s="206">
        <f t="shared" si="6"/>
        <v>13</v>
      </c>
      <c r="S18" s="198"/>
      <c r="T18" s="206">
        <f t="shared" si="7"/>
        <v>390</v>
      </c>
      <c r="U18" s="198"/>
      <c r="V18" s="206">
        <f t="shared" si="8"/>
        <v>5</v>
      </c>
      <c r="W18" s="198"/>
      <c r="X18" s="206">
        <f t="shared" si="9"/>
        <v>150</v>
      </c>
      <c r="Y18" s="198"/>
      <c r="Z18" s="198">
        <v>0</v>
      </c>
      <c r="AA18" s="198"/>
      <c r="AB18" s="206">
        <f t="shared" si="10"/>
        <v>0</v>
      </c>
      <c r="AC18" s="198"/>
      <c r="AD18" s="206">
        <f t="shared" si="11"/>
        <v>42</v>
      </c>
      <c r="AE18" s="198"/>
      <c r="AF18" s="206">
        <f t="shared" si="12"/>
        <v>1260</v>
      </c>
      <c r="AG18" s="281"/>
      <c r="AH18" s="82">
        <f>+'[7]Sch M'!$N59</f>
        <v>36</v>
      </c>
      <c r="AI18" s="82"/>
      <c r="AJ18" s="82"/>
      <c r="AK18" s="480"/>
      <c r="AL18" s="480"/>
      <c r="AM18" s="82">
        <f>+'[7]Sch M'!$N98</f>
        <v>156</v>
      </c>
      <c r="AN18" s="82"/>
      <c r="AO18" s="82"/>
      <c r="AP18" s="480"/>
      <c r="AQ18" s="480"/>
      <c r="AR18" s="82">
        <f>+'[7]Sch M'!$N137</f>
        <v>96</v>
      </c>
      <c r="AS18" s="82">
        <f>+'[7]Sch M'!$N176</f>
        <v>156</v>
      </c>
      <c r="AT18" s="82">
        <f>+'[7]Sch M'!$N215</f>
        <v>60</v>
      </c>
      <c r="AU18" s="480"/>
    </row>
    <row r="19" spans="1:47" ht="21" customHeight="1" x14ac:dyDescent="0.2">
      <c r="A19" s="282"/>
      <c r="B19" s="199" t="s">
        <v>403</v>
      </c>
      <c r="C19" s="198"/>
      <c r="D19" s="827">
        <v>40</v>
      </c>
      <c r="E19" s="198"/>
      <c r="F19" s="206">
        <f t="shared" si="0"/>
        <v>1</v>
      </c>
      <c r="G19" s="198"/>
      <c r="H19" s="206">
        <f t="shared" si="1"/>
        <v>40</v>
      </c>
      <c r="I19" s="198"/>
      <c r="J19" s="206">
        <f t="shared" si="2"/>
        <v>11</v>
      </c>
      <c r="K19" s="198"/>
      <c r="L19" s="206">
        <f t="shared" si="3"/>
        <v>440</v>
      </c>
      <c r="M19" s="198"/>
      <c r="N19" s="206">
        <f t="shared" si="4"/>
        <v>0</v>
      </c>
      <c r="O19" s="198"/>
      <c r="P19" s="206">
        <f t="shared" si="5"/>
        <v>0</v>
      </c>
      <c r="Q19" s="198"/>
      <c r="R19" s="206">
        <f t="shared" si="6"/>
        <v>2</v>
      </c>
      <c r="S19" s="198"/>
      <c r="T19" s="206">
        <f t="shared" si="7"/>
        <v>80</v>
      </c>
      <c r="U19" s="198"/>
      <c r="V19" s="206">
        <f t="shared" si="8"/>
        <v>0</v>
      </c>
      <c r="W19" s="198"/>
      <c r="X19" s="206">
        <f t="shared" si="9"/>
        <v>0</v>
      </c>
      <c r="Y19" s="198"/>
      <c r="Z19" s="198">
        <v>0</v>
      </c>
      <c r="AA19" s="198"/>
      <c r="AB19" s="206">
        <f t="shared" si="10"/>
        <v>0</v>
      </c>
      <c r="AC19" s="198"/>
      <c r="AD19" s="206">
        <f t="shared" si="11"/>
        <v>14</v>
      </c>
      <c r="AE19" s="198"/>
      <c r="AF19" s="206">
        <f t="shared" si="12"/>
        <v>560</v>
      </c>
      <c r="AG19" s="281"/>
      <c r="AH19" s="82">
        <f>+'[7]Sch M'!$N60</f>
        <v>12</v>
      </c>
      <c r="AI19" s="82"/>
      <c r="AJ19" s="82"/>
      <c r="AK19" s="480"/>
      <c r="AL19" s="480"/>
      <c r="AM19" s="82">
        <f>+'[7]Sch M'!$N99</f>
        <v>132</v>
      </c>
      <c r="AN19" s="82"/>
      <c r="AO19" s="82"/>
      <c r="AP19" s="480"/>
      <c r="AQ19" s="480"/>
      <c r="AR19" s="82">
        <f>+'[7]Sch M'!$N138</f>
        <v>0</v>
      </c>
      <c r="AS19" s="82">
        <f>+'[7]Sch M'!$N177</f>
        <v>24</v>
      </c>
      <c r="AT19" s="82">
        <f>+'[7]Sch M'!$N216</f>
        <v>0</v>
      </c>
      <c r="AU19" s="480"/>
    </row>
    <row r="20" spans="1:47" ht="15" x14ac:dyDescent="0.2">
      <c r="A20" s="283"/>
      <c r="B20" s="198"/>
      <c r="C20" s="198"/>
      <c r="D20" s="198"/>
      <c r="E20" s="198"/>
      <c r="F20" s="207"/>
      <c r="G20" s="198"/>
      <c r="H20" s="207"/>
      <c r="I20" s="198"/>
      <c r="J20" s="207"/>
      <c r="K20" s="198"/>
      <c r="L20" s="207"/>
      <c r="M20" s="198"/>
      <c r="N20" s="207"/>
      <c r="O20" s="198"/>
      <c r="P20" s="207"/>
      <c r="Q20" s="198"/>
      <c r="R20" s="207"/>
      <c r="S20" s="198"/>
      <c r="T20" s="207"/>
      <c r="U20" s="198"/>
      <c r="V20" s="207"/>
      <c r="W20" s="198"/>
      <c r="X20" s="207"/>
      <c r="Y20" s="198"/>
      <c r="Z20" s="207"/>
      <c r="AA20" s="198"/>
      <c r="AB20" s="207"/>
      <c r="AC20" s="198"/>
      <c r="AD20" s="207"/>
      <c r="AE20" s="198"/>
      <c r="AF20" s="207"/>
      <c r="AG20" s="281"/>
      <c r="AH20" s="480"/>
      <c r="AI20" s="480"/>
      <c r="AJ20" s="480"/>
      <c r="AK20" s="480"/>
      <c r="AL20" s="480"/>
      <c r="AM20" s="480"/>
      <c r="AN20" s="480"/>
      <c r="AO20" s="480"/>
      <c r="AP20" s="480"/>
      <c r="AQ20" s="480"/>
      <c r="AR20" s="480"/>
      <c r="AS20" s="480"/>
      <c r="AT20" s="480"/>
      <c r="AU20" s="480"/>
    </row>
    <row r="21" spans="1:47" ht="15.75" thickBot="1" x14ac:dyDescent="0.25">
      <c r="B21" s="198" t="s">
        <v>337</v>
      </c>
      <c r="C21" s="198"/>
      <c r="D21" s="198"/>
      <c r="E21" s="198"/>
      <c r="F21" s="206">
        <f>SUM(F11:F19)</f>
        <v>116710</v>
      </c>
      <c r="G21" s="198"/>
      <c r="H21" s="206">
        <f>SUM(H11:H19)</f>
        <v>118614</v>
      </c>
      <c r="I21" s="198"/>
      <c r="J21" s="206">
        <f>SUM(J11:J19)</f>
        <v>9136</v>
      </c>
      <c r="K21" s="198"/>
      <c r="L21" s="208">
        <f>SUM(L11:L19)</f>
        <v>18473</v>
      </c>
      <c r="M21" s="198"/>
      <c r="N21" s="206">
        <f>SUM(N11:N19)</f>
        <v>52</v>
      </c>
      <c r="O21" s="198"/>
      <c r="P21" s="206">
        <f>SUM(P11:P19)</f>
        <v>552</v>
      </c>
      <c r="Q21" s="198"/>
      <c r="R21" s="206">
        <f>SUM(R11:R19)</f>
        <v>765</v>
      </c>
      <c r="S21" s="198"/>
      <c r="T21" s="206">
        <f>SUM(T11:T19)</f>
        <v>3324</v>
      </c>
      <c r="U21" s="198"/>
      <c r="V21" s="206">
        <f>SUM(V11:V19)</f>
        <v>24</v>
      </c>
      <c r="W21" s="198"/>
      <c r="X21" s="206">
        <f>SUM(X11:X19)</f>
        <v>334</v>
      </c>
      <c r="Y21" s="198"/>
      <c r="Z21" s="206">
        <f>SUM(Z11:Z19)</f>
        <v>1701</v>
      </c>
      <c r="AA21" s="198"/>
      <c r="AB21" s="206">
        <f>SUM(AB11:AB19)</f>
        <v>1701</v>
      </c>
      <c r="AC21" s="198"/>
      <c r="AD21" s="206">
        <f>SUM(AD11:AD19)</f>
        <v>128388</v>
      </c>
      <c r="AE21" s="198"/>
      <c r="AF21" s="206">
        <f>SUM(AF11:AF19)</f>
        <v>142998</v>
      </c>
      <c r="AG21" s="281"/>
      <c r="AH21" s="494">
        <f>SUM(AH11:AH18)</f>
        <v>1400512</v>
      </c>
      <c r="AI21" s="494">
        <f>SUM(AI11:AI18)</f>
        <v>0</v>
      </c>
      <c r="AJ21" s="494">
        <f>SUM(AJ11:AJ18)</f>
        <v>0</v>
      </c>
      <c r="AK21" s="480"/>
      <c r="AL21" s="480"/>
      <c r="AM21" s="494">
        <f>SUM(AM11:AM19)</f>
        <v>109630</v>
      </c>
      <c r="AN21" s="480"/>
      <c r="AO21" s="480"/>
      <c r="AP21" s="480"/>
      <c r="AQ21" s="480"/>
      <c r="AR21" s="494">
        <f>SUM(AR11:AR19)</f>
        <v>624</v>
      </c>
      <c r="AS21" s="494">
        <f>SUM(AS11:AS19)</f>
        <v>9180</v>
      </c>
      <c r="AT21" s="494">
        <f>SUM(AT11:AT19)</f>
        <v>288</v>
      </c>
      <c r="AU21" s="480"/>
    </row>
    <row r="22" spans="1:47" ht="15.75" thickTop="1" x14ac:dyDescent="0.2">
      <c r="B22" s="198"/>
      <c r="C22" s="198"/>
      <c r="D22" s="198"/>
      <c r="E22" s="198"/>
      <c r="F22" s="209"/>
      <c r="G22" s="198"/>
      <c r="H22" s="209"/>
      <c r="I22" s="198"/>
      <c r="J22" s="209"/>
      <c r="K22" s="198"/>
      <c r="L22" s="210"/>
      <c r="M22" s="198"/>
      <c r="N22" s="209"/>
      <c r="O22" s="198"/>
      <c r="P22" s="209"/>
      <c r="Q22" s="198"/>
      <c r="R22" s="209"/>
      <c r="S22" s="198"/>
      <c r="T22" s="209"/>
      <c r="U22" s="198"/>
      <c r="V22" s="209"/>
      <c r="W22" s="198"/>
      <c r="X22" s="209"/>
      <c r="Y22" s="198"/>
      <c r="Z22" s="209"/>
      <c r="AA22" s="198"/>
      <c r="AB22" s="209"/>
      <c r="AC22" s="198"/>
      <c r="AD22" s="209"/>
      <c r="AE22" s="198"/>
      <c r="AF22" s="209"/>
      <c r="AG22" s="281"/>
      <c r="AH22" s="480">
        <f t="shared" ref="AH22:AT22" si="13">+AH21/12</f>
        <v>116709.33333333333</v>
      </c>
      <c r="AI22" s="480">
        <f t="shared" si="13"/>
        <v>0</v>
      </c>
      <c r="AJ22" s="480">
        <f t="shared" si="13"/>
        <v>0</v>
      </c>
      <c r="AK22" s="480">
        <f t="shared" si="13"/>
        <v>0</v>
      </c>
      <c r="AL22" s="480">
        <f t="shared" si="13"/>
        <v>0</v>
      </c>
      <c r="AM22" s="480">
        <f t="shared" si="13"/>
        <v>9135.8333333333339</v>
      </c>
      <c r="AN22" s="480">
        <f t="shared" si="13"/>
        <v>0</v>
      </c>
      <c r="AO22" s="480">
        <f t="shared" si="13"/>
        <v>0</v>
      </c>
      <c r="AP22" s="480">
        <f t="shared" si="13"/>
        <v>0</v>
      </c>
      <c r="AQ22" s="480">
        <f t="shared" si="13"/>
        <v>0</v>
      </c>
      <c r="AR22" s="480">
        <f t="shared" si="13"/>
        <v>52</v>
      </c>
      <c r="AS22" s="480">
        <f t="shared" si="13"/>
        <v>765</v>
      </c>
      <c r="AT22" s="480">
        <f t="shared" si="13"/>
        <v>24</v>
      </c>
      <c r="AU22" s="480"/>
    </row>
    <row r="23" spans="1:47" ht="15" x14ac:dyDescent="0.2">
      <c r="B23" s="211" t="s">
        <v>195</v>
      </c>
      <c r="C23" s="196"/>
      <c r="D23" s="196"/>
      <c r="E23" s="196"/>
      <c r="F23" s="196"/>
      <c r="G23" s="196"/>
      <c r="H23" s="196"/>
      <c r="I23" s="196"/>
      <c r="J23" s="196"/>
      <c r="K23" s="196"/>
      <c r="L23" s="196"/>
      <c r="M23" s="196"/>
      <c r="N23" s="211"/>
      <c r="O23" s="196"/>
      <c r="P23" s="196"/>
      <c r="Q23" s="196"/>
      <c r="R23" s="196"/>
      <c r="S23" s="196"/>
      <c r="T23" s="196"/>
      <c r="U23" s="196"/>
      <c r="V23" s="196"/>
      <c r="W23" s="196"/>
      <c r="X23" s="196"/>
      <c r="Y23" s="196"/>
      <c r="Z23" s="196"/>
      <c r="AA23" s="196"/>
      <c r="AB23" s="196"/>
      <c r="AC23" s="196"/>
      <c r="AD23" s="196"/>
      <c r="AE23" s="196"/>
      <c r="AF23" s="196"/>
      <c r="AG23" s="281"/>
      <c r="AH23" s="480"/>
      <c r="AI23" s="480"/>
      <c r="AJ23" s="480"/>
      <c r="AK23" s="480"/>
      <c r="AL23" s="480"/>
      <c r="AM23" s="480"/>
      <c r="AN23" s="480"/>
      <c r="AO23" s="480"/>
      <c r="AP23" s="480"/>
      <c r="AQ23" s="480"/>
      <c r="AR23" s="480"/>
      <c r="AS23" s="480"/>
      <c r="AT23" s="480"/>
      <c r="AU23" s="480"/>
    </row>
    <row r="24" spans="1:47" ht="15" x14ac:dyDescent="0.2">
      <c r="B24" s="211" t="s">
        <v>196</v>
      </c>
      <c r="C24" s="196"/>
      <c r="D24" s="196"/>
      <c r="E24" s="196"/>
      <c r="F24" s="196"/>
      <c r="G24" s="196"/>
      <c r="H24" s="196"/>
      <c r="I24" s="196"/>
      <c r="J24" s="196"/>
      <c r="K24" s="196"/>
      <c r="L24" s="196"/>
      <c r="M24" s="196"/>
      <c r="N24" s="211"/>
      <c r="O24" s="196"/>
      <c r="P24" s="196"/>
      <c r="Q24" s="196"/>
      <c r="R24" s="196"/>
      <c r="S24" s="196"/>
      <c r="T24" s="196"/>
      <c r="U24" s="196"/>
      <c r="V24" s="196"/>
      <c r="W24" s="196"/>
      <c r="X24" s="196"/>
      <c r="Y24" s="196"/>
      <c r="Z24" s="196"/>
      <c r="AA24" s="196"/>
      <c r="AB24" s="196"/>
      <c r="AC24" s="196"/>
      <c r="AD24" s="196"/>
      <c r="AE24" s="196"/>
      <c r="AF24" s="196"/>
      <c r="AG24" s="281"/>
      <c r="AH24" s="480"/>
      <c r="AI24" s="480"/>
      <c r="AJ24" s="480"/>
      <c r="AK24" s="480"/>
      <c r="AL24" s="480"/>
      <c r="AM24" s="480"/>
      <c r="AN24" s="480"/>
      <c r="AO24" s="480"/>
      <c r="AP24" s="480"/>
      <c r="AQ24" s="480"/>
      <c r="AR24" s="480"/>
      <c r="AS24" s="480"/>
      <c r="AT24" s="480"/>
      <c r="AU24" s="480"/>
    </row>
    <row r="25" spans="1:47" ht="15" x14ac:dyDescent="0.2">
      <c r="B25" s="196" t="s">
        <v>331</v>
      </c>
      <c r="C25" s="196"/>
      <c r="D25" s="196"/>
      <c r="E25" s="196"/>
      <c r="F25" s="196"/>
      <c r="G25" s="196"/>
      <c r="H25" s="196"/>
      <c r="I25" s="196"/>
      <c r="J25" s="196"/>
      <c r="K25" s="196"/>
      <c r="L25" s="211"/>
      <c r="M25" s="196"/>
      <c r="N25" s="196"/>
      <c r="O25" s="196"/>
      <c r="P25" s="196"/>
      <c r="Q25" s="196"/>
      <c r="R25" s="196"/>
      <c r="S25" s="196"/>
      <c r="T25" s="196"/>
      <c r="U25" s="196"/>
      <c r="V25" s="196"/>
      <c r="W25" s="196"/>
      <c r="X25" s="196"/>
      <c r="Y25" s="196"/>
      <c r="Z25" s="196"/>
      <c r="AA25" s="196"/>
      <c r="AB25" s="196"/>
      <c r="AC25" s="196"/>
      <c r="AD25" s="196"/>
      <c r="AE25" s="196"/>
      <c r="AF25" s="196"/>
      <c r="AG25" s="281"/>
      <c r="AH25" s="480"/>
      <c r="AI25" s="480"/>
      <c r="AJ25" s="480"/>
      <c r="AK25" s="480"/>
      <c r="AL25" s="480"/>
      <c r="AM25" s="480"/>
      <c r="AN25" s="480"/>
      <c r="AO25" s="480"/>
      <c r="AP25" s="480"/>
      <c r="AQ25" s="480"/>
      <c r="AR25" s="480"/>
      <c r="AS25" s="480"/>
      <c r="AT25" s="480"/>
      <c r="AU25" s="480"/>
    </row>
    <row r="26" spans="1:47" ht="15" x14ac:dyDescent="0.2">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281"/>
    </row>
    <row r="27" spans="1:47" ht="15" x14ac:dyDescent="0.2">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281"/>
    </row>
    <row r="28" spans="1:47" ht="15" x14ac:dyDescent="0.2">
      <c r="B28" s="199"/>
      <c r="C28" s="199"/>
      <c r="D28" s="199" t="s">
        <v>332</v>
      </c>
      <c r="E28" s="199"/>
      <c r="F28" s="196" t="s">
        <v>208</v>
      </c>
      <c r="G28" s="196"/>
      <c r="H28" s="196"/>
      <c r="I28" s="199"/>
      <c r="J28" s="196" t="s">
        <v>209</v>
      </c>
      <c r="K28" s="196"/>
      <c r="L28" s="196"/>
      <c r="M28" s="199"/>
      <c r="N28" s="196" t="s">
        <v>210</v>
      </c>
      <c r="O28" s="196"/>
      <c r="P28" s="196"/>
      <c r="Q28" s="199"/>
      <c r="R28" s="196" t="s">
        <v>214</v>
      </c>
      <c r="S28" s="196"/>
      <c r="T28" s="196"/>
      <c r="U28" s="199"/>
      <c r="V28" s="196" t="s">
        <v>333</v>
      </c>
      <c r="W28" s="196"/>
      <c r="X28" s="196"/>
      <c r="Y28" s="199"/>
      <c r="Z28" s="196" t="s">
        <v>216</v>
      </c>
      <c r="AA28" s="196"/>
      <c r="AB28" s="196"/>
      <c r="AC28" s="199"/>
      <c r="AD28" s="196" t="s">
        <v>337</v>
      </c>
      <c r="AE28" s="196"/>
      <c r="AF28" s="196"/>
      <c r="AG28" s="281"/>
    </row>
    <row r="29" spans="1:47" ht="15" x14ac:dyDescent="0.2">
      <c r="B29" s="199" t="s">
        <v>338</v>
      </c>
      <c r="C29" s="199"/>
      <c r="D29" s="199" t="s">
        <v>339</v>
      </c>
      <c r="E29" s="199"/>
      <c r="F29" s="200" t="s">
        <v>319</v>
      </c>
      <c r="G29" s="200"/>
      <c r="H29" s="200"/>
      <c r="I29" s="199"/>
      <c r="J29" s="200" t="s">
        <v>319</v>
      </c>
      <c r="K29" s="200"/>
      <c r="L29" s="200"/>
      <c r="M29" s="199"/>
      <c r="N29" s="200" t="s">
        <v>319</v>
      </c>
      <c r="O29" s="200"/>
      <c r="P29" s="200"/>
      <c r="Q29" s="199"/>
      <c r="R29" s="200" t="s">
        <v>319</v>
      </c>
      <c r="S29" s="200"/>
      <c r="T29" s="200"/>
      <c r="U29" s="199"/>
      <c r="V29" s="200" t="s">
        <v>319</v>
      </c>
      <c r="W29" s="200"/>
      <c r="X29" s="200"/>
      <c r="Y29" s="199"/>
      <c r="Z29" s="200" t="s">
        <v>319</v>
      </c>
      <c r="AA29" s="200"/>
      <c r="AB29" s="200"/>
      <c r="AC29" s="199"/>
      <c r="AD29" s="200" t="s">
        <v>319</v>
      </c>
      <c r="AE29" s="200"/>
      <c r="AF29" s="200"/>
      <c r="AG29" s="281"/>
    </row>
    <row r="30" spans="1:47" ht="15" x14ac:dyDescent="0.2">
      <c r="B30" s="199" t="s">
        <v>340</v>
      </c>
      <c r="C30" s="199"/>
      <c r="D30" s="199" t="s">
        <v>341</v>
      </c>
      <c r="E30" s="199"/>
      <c r="F30" s="199" t="s">
        <v>342</v>
      </c>
      <c r="G30" s="199"/>
      <c r="H30" s="199" t="s">
        <v>343</v>
      </c>
      <c r="I30" s="199"/>
      <c r="J30" s="199" t="s">
        <v>342</v>
      </c>
      <c r="K30" s="199"/>
      <c r="L30" s="199" t="s">
        <v>343</v>
      </c>
      <c r="M30" s="199"/>
      <c r="N30" s="199" t="s">
        <v>342</v>
      </c>
      <c r="O30" s="199"/>
      <c r="P30" s="199" t="s">
        <v>343</v>
      </c>
      <c r="Q30" s="199"/>
      <c r="R30" s="199" t="s">
        <v>342</v>
      </c>
      <c r="S30" s="199"/>
      <c r="T30" s="199" t="s">
        <v>343</v>
      </c>
      <c r="U30" s="199"/>
      <c r="V30" s="199" t="s">
        <v>342</v>
      </c>
      <c r="W30" s="199"/>
      <c r="X30" s="199" t="s">
        <v>343</v>
      </c>
      <c r="Y30" s="199"/>
      <c r="Z30" s="199" t="s">
        <v>342</v>
      </c>
      <c r="AA30" s="199"/>
      <c r="AB30" s="199" t="s">
        <v>343</v>
      </c>
      <c r="AC30" s="199"/>
      <c r="AD30" s="199" t="s">
        <v>342</v>
      </c>
      <c r="AE30" s="199"/>
      <c r="AF30" s="199" t="s">
        <v>343</v>
      </c>
      <c r="AG30" s="281"/>
    </row>
    <row r="31" spans="1:47" ht="15" x14ac:dyDescent="0.2">
      <c r="B31" s="201">
        <v>-1</v>
      </c>
      <c r="C31" s="202"/>
      <c r="D31" s="201">
        <v>-2</v>
      </c>
      <c r="E31" s="202"/>
      <c r="F31" s="513">
        <v>-3</v>
      </c>
      <c r="G31" s="202"/>
      <c r="H31" s="201" t="s">
        <v>344</v>
      </c>
      <c r="I31" s="202"/>
      <c r="J31" s="201">
        <v>-5</v>
      </c>
      <c r="K31" s="202"/>
      <c r="L31" s="201" t="s">
        <v>345</v>
      </c>
      <c r="M31" s="202"/>
      <c r="N31" s="201">
        <v>-7</v>
      </c>
      <c r="O31" s="202"/>
      <c r="P31" s="201" t="s">
        <v>346</v>
      </c>
      <c r="Q31" s="202"/>
      <c r="R31" s="201">
        <v>-9</v>
      </c>
      <c r="S31" s="202"/>
      <c r="T31" s="201" t="s">
        <v>347</v>
      </c>
      <c r="U31" s="202"/>
      <c r="V31" s="201">
        <v>-11</v>
      </c>
      <c r="W31" s="202"/>
      <c r="X31" s="201" t="s">
        <v>348</v>
      </c>
      <c r="Y31" s="202"/>
      <c r="Z31" s="201">
        <v>-13</v>
      </c>
      <c r="AA31" s="202"/>
      <c r="AB31" s="201" t="s">
        <v>349</v>
      </c>
      <c r="AC31" s="202"/>
      <c r="AD31" s="201">
        <v>-15</v>
      </c>
      <c r="AE31" s="202"/>
      <c r="AF31" s="201">
        <v>-16</v>
      </c>
      <c r="AG31" s="281"/>
    </row>
    <row r="32" spans="1:47" ht="15" x14ac:dyDescent="0.2">
      <c r="B32" s="198"/>
      <c r="C32" s="198"/>
      <c r="D32" s="198"/>
      <c r="E32" s="198"/>
      <c r="F32" s="514"/>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281"/>
    </row>
    <row r="33" spans="1:33" ht="15" x14ac:dyDescent="0.2">
      <c r="A33" s="284"/>
      <c r="B33" s="198" t="s">
        <v>350</v>
      </c>
      <c r="C33" s="198"/>
      <c r="D33" s="212">
        <v>1</v>
      </c>
      <c r="E33" s="198"/>
      <c r="F33" s="494">
        <f>F11+F12-H66</f>
        <v>80109</v>
      </c>
      <c r="G33" s="198" t="s">
        <v>90</v>
      </c>
      <c r="H33" s="206">
        <f>ROUND(+F33*$D33,0)</f>
        <v>80109</v>
      </c>
      <c r="I33" s="198"/>
      <c r="J33" s="206">
        <f>J11</f>
        <v>4623</v>
      </c>
      <c r="K33" s="198"/>
      <c r="L33" s="206">
        <f>ROUND(+J33*$D33,0)</f>
        <v>4623</v>
      </c>
      <c r="M33" s="198"/>
      <c r="N33" s="206">
        <f>N11</f>
        <v>6</v>
      </c>
      <c r="O33" s="198"/>
      <c r="P33" s="206">
        <f>ROUND(+N33*$D33,0)</f>
        <v>6</v>
      </c>
      <c r="Q33" s="198"/>
      <c r="R33" s="206">
        <f>R11</f>
        <v>140</v>
      </c>
      <c r="S33" s="198"/>
      <c r="T33" s="206">
        <f>ROUND(+R33*$D33,0)</f>
        <v>140</v>
      </c>
      <c r="U33" s="198"/>
      <c r="V33" s="206">
        <f>V11</f>
        <v>0</v>
      </c>
      <c r="W33" s="198"/>
      <c r="X33" s="206">
        <f>ROUND(+V33*$D33,0)</f>
        <v>0</v>
      </c>
      <c r="Y33" s="198"/>
      <c r="Z33" s="206">
        <v>0</v>
      </c>
      <c r="AA33" s="198"/>
      <c r="AB33" s="206">
        <f>ROUND(+Z33*$D33,0)</f>
        <v>0</v>
      </c>
      <c r="AC33" s="198"/>
      <c r="AD33" s="206">
        <f>F33+J33+N33+R33+V33+Z33</f>
        <v>84878</v>
      </c>
      <c r="AE33" s="198"/>
      <c r="AF33" s="206">
        <f>H33+L33+P33+T33+X33+AB33</f>
        <v>84878</v>
      </c>
      <c r="AG33" s="281"/>
    </row>
    <row r="34" spans="1:33" ht="10.7" customHeight="1" x14ac:dyDescent="0.2">
      <c r="A34" s="284"/>
      <c r="B34" s="198"/>
      <c r="C34" s="198"/>
      <c r="D34" s="212"/>
      <c r="E34" s="198"/>
      <c r="F34" s="514"/>
      <c r="G34" s="198"/>
      <c r="H34" s="206"/>
      <c r="I34" s="198"/>
      <c r="J34" s="198"/>
      <c r="K34" s="198"/>
      <c r="L34" s="206"/>
      <c r="M34" s="198"/>
      <c r="N34" s="198"/>
      <c r="O34" s="198"/>
      <c r="P34" s="206"/>
      <c r="Q34" s="198"/>
      <c r="R34" s="198"/>
      <c r="S34" s="198"/>
      <c r="T34" s="206"/>
      <c r="U34" s="198"/>
      <c r="V34" s="198"/>
      <c r="W34" s="198"/>
      <c r="X34" s="206"/>
      <c r="Y34" s="198"/>
      <c r="Z34" s="198"/>
      <c r="AA34" s="198"/>
      <c r="AB34" s="206"/>
      <c r="AC34" s="198"/>
      <c r="AD34" s="198"/>
      <c r="AE34" s="198"/>
      <c r="AF34" s="198"/>
      <c r="AG34" s="281"/>
    </row>
    <row r="35" spans="1:33" ht="15" x14ac:dyDescent="0.2">
      <c r="A35" s="284"/>
      <c r="B35" s="198" t="s">
        <v>351</v>
      </c>
      <c r="C35" s="198"/>
      <c r="D35" s="212">
        <v>2</v>
      </c>
      <c r="E35" s="198"/>
      <c r="F35" s="494">
        <f>F13+H66/2</f>
        <v>19154</v>
      </c>
      <c r="G35" s="198" t="s">
        <v>90</v>
      </c>
      <c r="H35" s="206">
        <f>ROUND(+F35*$D35,0)</f>
        <v>38308</v>
      </c>
      <c r="I35" s="198"/>
      <c r="J35" s="206">
        <f>J13</f>
        <v>2397</v>
      </c>
      <c r="K35" s="198"/>
      <c r="L35" s="206">
        <f>ROUND(+J35*$D35,0)</f>
        <v>4794</v>
      </c>
      <c r="M35" s="198"/>
      <c r="N35" s="206">
        <f>N13</f>
        <v>2</v>
      </c>
      <c r="O35" s="198"/>
      <c r="P35" s="206">
        <f>ROUND(+N35*$D35,0)</f>
        <v>4</v>
      </c>
      <c r="Q35" s="198"/>
      <c r="R35" s="206">
        <f>R13</f>
        <v>172</v>
      </c>
      <c r="S35" s="198"/>
      <c r="T35" s="206">
        <f>ROUND(+R35*$D35,0)</f>
        <v>344</v>
      </c>
      <c r="U35" s="198"/>
      <c r="V35" s="206">
        <f>V13</f>
        <v>0</v>
      </c>
      <c r="W35" s="198"/>
      <c r="X35" s="206">
        <f>ROUND(+V35*$D35,0)</f>
        <v>0</v>
      </c>
      <c r="Y35" s="198"/>
      <c r="Z35" s="206">
        <f>Z13</f>
        <v>0</v>
      </c>
      <c r="AA35" s="198"/>
      <c r="AB35" s="206">
        <f>ROUND(+Z35*$D35,0)</f>
        <v>0</v>
      </c>
      <c r="AC35" s="198"/>
      <c r="AD35" s="206">
        <f>F35+J35+N35+R35+V35+Z35</f>
        <v>21725</v>
      </c>
      <c r="AE35" s="198"/>
      <c r="AF35" s="206">
        <f>H35+L35+P35+T35+X35+AB35</f>
        <v>43450</v>
      </c>
      <c r="AG35" s="281"/>
    </row>
    <row r="36" spans="1:33" ht="10.7" customHeight="1" x14ac:dyDescent="0.2">
      <c r="A36" s="284"/>
      <c r="B36" s="198"/>
      <c r="C36" s="198"/>
      <c r="D36" s="212"/>
      <c r="E36" s="198"/>
      <c r="F36" s="206"/>
      <c r="G36" s="198"/>
      <c r="H36" s="206"/>
      <c r="I36" s="198"/>
      <c r="J36" s="206"/>
      <c r="K36" s="198"/>
      <c r="L36" s="206"/>
      <c r="M36" s="198"/>
      <c r="N36" s="206"/>
      <c r="O36" s="198"/>
      <c r="P36" s="206"/>
      <c r="Q36" s="198"/>
      <c r="R36" s="206"/>
      <c r="S36" s="198"/>
      <c r="T36" s="206"/>
      <c r="U36" s="198"/>
      <c r="V36" s="206"/>
      <c r="W36" s="198"/>
      <c r="X36" s="206"/>
      <c r="Y36" s="198"/>
      <c r="Z36" s="206"/>
      <c r="AA36" s="198"/>
      <c r="AB36" s="206"/>
      <c r="AC36" s="198"/>
      <c r="AD36" s="206"/>
      <c r="AE36" s="198"/>
      <c r="AF36" s="198"/>
      <c r="AG36" s="281"/>
    </row>
    <row r="37" spans="1:33" ht="15" x14ac:dyDescent="0.2">
      <c r="A37" s="284"/>
      <c r="B37" s="198" t="s">
        <v>352</v>
      </c>
      <c r="C37" s="198"/>
      <c r="D37" s="212">
        <v>2.2000000000000002</v>
      </c>
      <c r="E37" s="198"/>
      <c r="F37" s="206">
        <f>F14</f>
        <v>13</v>
      </c>
      <c r="G37" s="198"/>
      <c r="H37" s="206">
        <f>ROUND(+F37*$D37,0)</f>
        <v>29</v>
      </c>
      <c r="I37" s="198"/>
      <c r="J37" s="206">
        <f>J14</f>
        <v>172</v>
      </c>
      <c r="K37" s="198"/>
      <c r="L37" s="206">
        <f>ROUND(+J37*$D37,0)</f>
        <v>378</v>
      </c>
      <c r="M37" s="198"/>
      <c r="N37" s="206">
        <f>N14</f>
        <v>2</v>
      </c>
      <c r="O37" s="198"/>
      <c r="P37" s="206">
        <f>ROUND(+N37*$D37,0)</f>
        <v>4</v>
      </c>
      <c r="Q37" s="198"/>
      <c r="R37" s="206">
        <f>R14</f>
        <v>28</v>
      </c>
      <c r="S37" s="198"/>
      <c r="T37" s="206">
        <f>ROUND(+R37*$D37,0)</f>
        <v>62</v>
      </c>
      <c r="U37" s="198"/>
      <c r="V37" s="206">
        <f>V14</f>
        <v>4</v>
      </c>
      <c r="W37" s="198"/>
      <c r="X37" s="206">
        <f>ROUND(+V37*$D37,0)</f>
        <v>9</v>
      </c>
      <c r="Y37" s="198"/>
      <c r="Z37" s="206">
        <f>Z14</f>
        <v>0</v>
      </c>
      <c r="AA37" s="198"/>
      <c r="AB37" s="206">
        <f>ROUND(+Z37*$D37,0)</f>
        <v>0</v>
      </c>
      <c r="AC37" s="198"/>
      <c r="AD37" s="206">
        <f>F37+J37+N37+R37+V37+Z37</f>
        <v>219</v>
      </c>
      <c r="AE37" s="198"/>
      <c r="AF37" s="206">
        <f>H37+L37+P37+T37+X37+AB37</f>
        <v>482</v>
      </c>
      <c r="AG37" s="281"/>
    </row>
    <row r="38" spans="1:33" ht="9.75" customHeight="1" x14ac:dyDescent="0.2">
      <c r="A38" s="284"/>
      <c r="B38" s="198"/>
      <c r="C38" s="198"/>
      <c r="D38" s="212"/>
      <c r="E38" s="198"/>
      <c r="F38" s="206"/>
      <c r="G38" s="198"/>
      <c r="H38" s="206"/>
      <c r="I38" s="198"/>
      <c r="J38" s="206"/>
      <c r="K38" s="198"/>
      <c r="L38" s="206"/>
      <c r="M38" s="198"/>
      <c r="N38" s="206"/>
      <c r="O38" s="198"/>
      <c r="P38" s="206"/>
      <c r="Q38" s="198"/>
      <c r="R38" s="206"/>
      <c r="S38" s="198"/>
      <c r="T38" s="206"/>
      <c r="U38" s="198"/>
      <c r="V38" s="206"/>
      <c r="W38" s="198"/>
      <c r="X38" s="206"/>
      <c r="Y38" s="198"/>
      <c r="Z38" s="206"/>
      <c r="AA38" s="198"/>
      <c r="AB38" s="206"/>
      <c r="AC38" s="198"/>
      <c r="AD38" s="206"/>
      <c r="AE38" s="198"/>
      <c r="AF38" s="198"/>
      <c r="AG38" s="281"/>
    </row>
    <row r="39" spans="1:33" ht="15" x14ac:dyDescent="0.2">
      <c r="A39" s="284"/>
      <c r="B39" s="198" t="s">
        <v>353</v>
      </c>
      <c r="C39" s="198"/>
      <c r="D39" s="212">
        <v>3.2</v>
      </c>
      <c r="E39" s="198"/>
      <c r="F39" s="206">
        <f>F15</f>
        <v>98</v>
      </c>
      <c r="G39" s="198"/>
      <c r="H39" s="206">
        <f>ROUND(+F39*$D39,0)</f>
        <v>314</v>
      </c>
      <c r="I39" s="198"/>
      <c r="J39" s="206">
        <f>J15</f>
        <v>1886</v>
      </c>
      <c r="K39" s="198"/>
      <c r="L39" s="206">
        <f>ROUND(+J39*$D39,0)</f>
        <v>6035</v>
      </c>
      <c r="M39" s="198"/>
      <c r="N39" s="206">
        <f>N15</f>
        <v>24</v>
      </c>
      <c r="O39" s="198"/>
      <c r="P39" s="206">
        <f>ROUND(+N39*$D39,0)</f>
        <v>77</v>
      </c>
      <c r="Q39" s="198"/>
      <c r="R39" s="206">
        <f>R15</f>
        <v>367</v>
      </c>
      <c r="S39" s="198"/>
      <c r="T39" s="206">
        <f>ROUND(+R39*$D39,0)</f>
        <v>1174</v>
      </c>
      <c r="U39" s="198"/>
      <c r="V39" s="206">
        <f>V15</f>
        <v>8</v>
      </c>
      <c r="W39" s="198"/>
      <c r="X39" s="206">
        <f>ROUND(+V39*$D39,0)</f>
        <v>26</v>
      </c>
      <c r="Y39" s="198"/>
      <c r="Z39" s="206">
        <f>Fire!K15</f>
        <v>69</v>
      </c>
      <c r="AA39" s="198"/>
      <c r="AB39" s="206">
        <f>ROUND(+Z39*$D39,0)</f>
        <v>221</v>
      </c>
      <c r="AC39" s="198"/>
      <c r="AD39" s="206">
        <f>F39+J39+N39+R39+V39+Z39</f>
        <v>2452</v>
      </c>
      <c r="AE39" s="198"/>
      <c r="AF39" s="206">
        <f>H39+L39+P39+T39+X39+AB39</f>
        <v>7847</v>
      </c>
      <c r="AG39" s="281"/>
    </row>
    <row r="40" spans="1:33" ht="9.75" customHeight="1" x14ac:dyDescent="0.2">
      <c r="A40" s="284"/>
      <c r="B40" s="198"/>
      <c r="C40" s="198"/>
      <c r="D40" s="212"/>
      <c r="E40" s="198"/>
      <c r="F40" s="206"/>
      <c r="G40" s="198"/>
      <c r="H40" s="206"/>
      <c r="I40" s="198"/>
      <c r="J40" s="206"/>
      <c r="K40" s="198"/>
      <c r="L40" s="206"/>
      <c r="M40" s="198"/>
      <c r="N40" s="206"/>
      <c r="O40" s="198"/>
      <c r="P40" s="206"/>
      <c r="Q40" s="198"/>
      <c r="R40" s="206"/>
      <c r="S40" s="198"/>
      <c r="T40" s="206"/>
      <c r="U40" s="198"/>
      <c r="V40" s="206"/>
      <c r="W40" s="198"/>
      <c r="X40" s="206"/>
      <c r="Y40" s="198"/>
      <c r="Z40" s="206"/>
      <c r="AA40" s="198"/>
      <c r="AB40" s="206"/>
      <c r="AC40" s="198"/>
      <c r="AD40" s="206"/>
      <c r="AE40" s="198"/>
      <c r="AF40" s="198"/>
      <c r="AG40" s="281"/>
    </row>
    <row r="41" spans="1:33" ht="15" x14ac:dyDescent="0.2">
      <c r="A41" s="284"/>
      <c r="B41" s="198" t="s">
        <v>354</v>
      </c>
      <c r="C41" s="198"/>
      <c r="D41" s="212">
        <v>3.5</v>
      </c>
      <c r="E41" s="198"/>
      <c r="F41" s="206">
        <f>F16+F17</f>
        <v>0</v>
      </c>
      <c r="G41" s="198"/>
      <c r="H41" s="206">
        <f>ROUND(+F41*$D41,0)</f>
        <v>0</v>
      </c>
      <c r="I41" s="198"/>
      <c r="J41" s="206">
        <f>J16+J17</f>
        <v>33</v>
      </c>
      <c r="K41" s="198"/>
      <c r="L41" s="206">
        <f>ROUND(+J41*$D41,0)</f>
        <v>116</v>
      </c>
      <c r="M41" s="198"/>
      <c r="N41" s="206">
        <f>N16+N17</f>
        <v>10</v>
      </c>
      <c r="O41" s="198"/>
      <c r="P41" s="206">
        <f>ROUND(+N41*$D41,0)</f>
        <v>35</v>
      </c>
      <c r="Q41" s="198"/>
      <c r="R41" s="206">
        <f>R16+R17</f>
        <v>43</v>
      </c>
      <c r="S41" s="198"/>
      <c r="T41" s="206">
        <f>ROUND(+R41*$D41,0)</f>
        <v>151</v>
      </c>
      <c r="U41" s="198"/>
      <c r="V41" s="206">
        <f>V16+V17</f>
        <v>7</v>
      </c>
      <c r="W41" s="198"/>
      <c r="X41" s="206">
        <f>ROUND(+V41*$D41,0)</f>
        <v>25</v>
      </c>
      <c r="Y41" s="198"/>
      <c r="Z41" s="206">
        <f>Fire!K17</f>
        <v>420</v>
      </c>
      <c r="AA41" s="198"/>
      <c r="AB41" s="206">
        <f>ROUND(+Z41*$D41,0)</f>
        <v>1470</v>
      </c>
      <c r="AC41" s="198"/>
      <c r="AD41" s="206">
        <f>F41+J41+N41+R41+V41+Z41</f>
        <v>513</v>
      </c>
      <c r="AE41" s="198"/>
      <c r="AF41" s="206">
        <f>H41+L41+P41+T41+X41+AB41</f>
        <v>1797</v>
      </c>
      <c r="AG41" s="281"/>
    </row>
    <row r="42" spans="1:33" ht="9.75" customHeight="1" x14ac:dyDescent="0.2">
      <c r="A42" s="284"/>
      <c r="B42" s="198"/>
      <c r="C42" s="198"/>
      <c r="D42" s="212"/>
      <c r="E42" s="198"/>
      <c r="F42" s="206"/>
      <c r="G42" s="198"/>
      <c r="H42" s="206"/>
      <c r="I42" s="198"/>
      <c r="J42" s="206"/>
      <c r="K42" s="198"/>
      <c r="L42" s="206"/>
      <c r="M42" s="198"/>
      <c r="N42" s="206"/>
      <c r="O42" s="198"/>
      <c r="P42" s="206"/>
      <c r="Q42" s="198"/>
      <c r="R42" s="206"/>
      <c r="S42" s="198"/>
      <c r="T42" s="206"/>
      <c r="U42" s="198"/>
      <c r="V42" s="206"/>
      <c r="W42" s="198"/>
      <c r="X42" s="206"/>
      <c r="Y42" s="198"/>
      <c r="Z42" s="206"/>
      <c r="AA42" s="198"/>
      <c r="AB42" s="206"/>
      <c r="AC42" s="198"/>
      <c r="AD42" s="206"/>
      <c r="AE42" s="198"/>
      <c r="AF42" s="198"/>
      <c r="AG42" s="281"/>
    </row>
    <row r="43" spans="1:33" ht="15" x14ac:dyDescent="0.2">
      <c r="A43" s="284"/>
      <c r="B43" s="198" t="s">
        <v>355</v>
      </c>
      <c r="C43" s="198"/>
      <c r="D43" s="212">
        <v>4</v>
      </c>
      <c r="E43" s="198"/>
      <c r="F43" s="206">
        <f>F18</f>
        <v>3</v>
      </c>
      <c r="G43" s="198"/>
      <c r="H43" s="206">
        <f>ROUND(+F43*$D43,0)</f>
        <v>12</v>
      </c>
      <c r="I43" s="198"/>
      <c r="J43" s="206">
        <f>J18</f>
        <v>13</v>
      </c>
      <c r="K43" s="198"/>
      <c r="L43" s="206">
        <f>ROUND(+J43*$D43,0)</f>
        <v>52</v>
      </c>
      <c r="M43" s="198"/>
      <c r="N43" s="206">
        <f>N18</f>
        <v>8</v>
      </c>
      <c r="O43" s="198"/>
      <c r="P43" s="206">
        <f>ROUND(+N43*$D43,0)</f>
        <v>32</v>
      </c>
      <c r="Q43" s="198"/>
      <c r="R43" s="206">
        <f>R18</f>
        <v>13</v>
      </c>
      <c r="S43" s="198"/>
      <c r="T43" s="206">
        <f>ROUND(+R43*$D43,0)</f>
        <v>52</v>
      </c>
      <c r="U43" s="198"/>
      <c r="V43" s="206">
        <f>V18</f>
        <v>5</v>
      </c>
      <c r="W43" s="198"/>
      <c r="X43" s="206">
        <f>ROUND(+V43*$D43,0)</f>
        <v>20</v>
      </c>
      <c r="Y43" s="198"/>
      <c r="Z43" s="206">
        <f>Fire!K18</f>
        <v>912</v>
      </c>
      <c r="AA43" s="198"/>
      <c r="AB43" s="206">
        <f>ROUND(+Z43*$D43,0)</f>
        <v>3648</v>
      </c>
      <c r="AC43" s="198"/>
      <c r="AD43" s="206">
        <f>F43+J43+N43+R43+V43+Z43</f>
        <v>954</v>
      </c>
      <c r="AE43" s="198"/>
      <c r="AF43" s="206">
        <f>H43+L43+P43+T43+X43+AB43</f>
        <v>3816</v>
      </c>
      <c r="AG43" s="281"/>
    </row>
    <row r="44" spans="1:33" ht="9.75" customHeight="1" x14ac:dyDescent="0.2">
      <c r="A44" s="284"/>
      <c r="B44" s="198"/>
      <c r="C44" s="198"/>
      <c r="D44" s="212"/>
      <c r="E44" s="198"/>
      <c r="F44" s="206"/>
      <c r="G44" s="198"/>
      <c r="H44" s="206"/>
      <c r="I44" s="198"/>
      <c r="J44" s="206"/>
      <c r="K44" s="198"/>
      <c r="L44" s="206"/>
      <c r="M44" s="198"/>
      <c r="N44" s="206"/>
      <c r="O44" s="198"/>
      <c r="P44" s="206"/>
      <c r="Q44" s="198"/>
      <c r="R44" s="206"/>
      <c r="S44" s="198"/>
      <c r="T44" s="206"/>
      <c r="U44" s="198"/>
      <c r="V44" s="206"/>
      <c r="W44" s="198"/>
      <c r="X44" s="206"/>
      <c r="Y44" s="198"/>
      <c r="Z44" s="206"/>
      <c r="AA44" s="198"/>
      <c r="AB44" s="206"/>
      <c r="AC44" s="198"/>
      <c r="AD44" s="206"/>
      <c r="AE44" s="198"/>
      <c r="AF44" s="198"/>
      <c r="AG44" s="281"/>
    </row>
    <row r="45" spans="1:33" ht="15" x14ac:dyDescent="0.2">
      <c r="A45" s="284"/>
      <c r="B45" s="198" t="s">
        <v>356</v>
      </c>
      <c r="C45" s="198"/>
      <c r="D45" s="212">
        <v>5.0999999999999996</v>
      </c>
      <c r="E45" s="198"/>
      <c r="F45" s="206">
        <f>F19</f>
        <v>1</v>
      </c>
      <c r="G45" s="198"/>
      <c r="H45" s="206">
        <f>ROUND(+F45*$D45,0)</f>
        <v>5</v>
      </c>
      <c r="I45" s="198"/>
      <c r="J45" s="206">
        <f>J19</f>
        <v>11</v>
      </c>
      <c r="K45" s="198"/>
      <c r="L45" s="206">
        <f>ROUND(+J45*$D45,0)</f>
        <v>56</v>
      </c>
      <c r="M45" s="198"/>
      <c r="N45" s="206">
        <f>N19</f>
        <v>0</v>
      </c>
      <c r="O45" s="198"/>
      <c r="P45" s="206">
        <f>ROUND(+N45*$D45,0)</f>
        <v>0</v>
      </c>
      <c r="Q45" s="198"/>
      <c r="R45" s="206">
        <f>R19</f>
        <v>2</v>
      </c>
      <c r="S45" s="198"/>
      <c r="T45" s="206">
        <f>ROUND(+R45*$D45,0)</f>
        <v>10</v>
      </c>
      <c r="U45" s="198"/>
      <c r="V45" s="206">
        <f>V19</f>
        <v>0</v>
      </c>
      <c r="W45" s="198"/>
      <c r="X45" s="206">
        <f>ROUND(+V45*$D45,0)</f>
        <v>0</v>
      </c>
      <c r="Y45" s="198"/>
      <c r="Z45" s="206">
        <f>Fire!K19</f>
        <v>285</v>
      </c>
      <c r="AA45" s="198"/>
      <c r="AB45" s="206">
        <f>ROUND(+Z45*$D45,0)</f>
        <v>1454</v>
      </c>
      <c r="AC45" s="198"/>
      <c r="AD45" s="206">
        <f>F45+J45+N45+R45+V45+Z45</f>
        <v>299</v>
      </c>
      <c r="AE45" s="198"/>
      <c r="AF45" s="206">
        <f>H45+L45+P45+T45+X45+AB45</f>
        <v>1525</v>
      </c>
      <c r="AG45" s="281"/>
    </row>
    <row r="46" spans="1:33" ht="9.75" customHeight="1" x14ac:dyDescent="0.2">
      <c r="A46" s="285"/>
      <c r="B46" s="198"/>
      <c r="C46" s="198"/>
      <c r="D46" s="212"/>
      <c r="E46" s="198"/>
      <c r="F46" s="206"/>
      <c r="G46" s="198"/>
      <c r="H46" s="206"/>
      <c r="I46" s="198"/>
      <c r="J46" s="206"/>
      <c r="K46" s="198"/>
      <c r="L46" s="206"/>
      <c r="M46" s="198"/>
      <c r="N46" s="206"/>
      <c r="O46" s="198"/>
      <c r="P46" s="206"/>
      <c r="Q46" s="198"/>
      <c r="R46" s="206"/>
      <c r="S46" s="198"/>
      <c r="T46" s="206"/>
      <c r="U46" s="198"/>
      <c r="V46" s="206"/>
      <c r="W46" s="198"/>
      <c r="X46" s="206"/>
      <c r="Y46" s="198"/>
      <c r="Z46" s="206"/>
      <c r="AA46" s="198"/>
      <c r="AB46" s="206"/>
      <c r="AC46" s="198"/>
      <c r="AD46" s="206"/>
      <c r="AE46" s="198"/>
      <c r="AF46" s="206"/>
      <c r="AG46" s="281"/>
    </row>
    <row r="47" spans="1:33" ht="15" x14ac:dyDescent="0.2">
      <c r="A47" s="284"/>
      <c r="B47" s="286">
        <v>10</v>
      </c>
      <c r="C47" s="198"/>
      <c r="D47" s="212">
        <v>8.9</v>
      </c>
      <c r="E47" s="198"/>
      <c r="F47" s="206">
        <v>0</v>
      </c>
      <c r="G47" s="198"/>
      <c r="H47" s="206">
        <v>0</v>
      </c>
      <c r="I47" s="198"/>
      <c r="J47" s="206">
        <v>0</v>
      </c>
      <c r="K47" s="198"/>
      <c r="L47" s="206">
        <v>0</v>
      </c>
      <c r="M47" s="198"/>
      <c r="N47" s="206">
        <v>0</v>
      </c>
      <c r="O47" s="198"/>
      <c r="P47" s="206">
        <v>0</v>
      </c>
      <c r="Q47" s="198"/>
      <c r="R47" s="206">
        <v>0</v>
      </c>
      <c r="S47" s="198"/>
      <c r="T47" s="206">
        <v>0</v>
      </c>
      <c r="U47" s="198"/>
      <c r="V47" s="206">
        <v>0</v>
      </c>
      <c r="W47" s="198"/>
      <c r="X47" s="206">
        <v>0</v>
      </c>
      <c r="Y47" s="198"/>
      <c r="Z47" s="206">
        <f>Fire!K20</f>
        <v>9</v>
      </c>
      <c r="AA47" s="198"/>
      <c r="AB47" s="206">
        <f>ROUND(+Z47*$D47,0)</f>
        <v>80</v>
      </c>
      <c r="AC47" s="198"/>
      <c r="AD47" s="206">
        <f>F47+J47+N47+R47+V47+Z47</f>
        <v>9</v>
      </c>
      <c r="AE47" s="198"/>
      <c r="AF47" s="206">
        <f>H47+L47+P47+T47+X47+AB47</f>
        <v>80</v>
      </c>
      <c r="AG47" s="281"/>
    </row>
    <row r="48" spans="1:33" ht="10.7" customHeight="1" x14ac:dyDescent="0.2">
      <c r="A48" s="284"/>
      <c r="B48" s="286"/>
      <c r="C48" s="198"/>
      <c r="D48" s="212"/>
      <c r="E48" s="198"/>
      <c r="F48" s="206"/>
      <c r="G48" s="198"/>
      <c r="H48" s="206"/>
      <c r="I48" s="198"/>
      <c r="J48" s="206"/>
      <c r="K48" s="198"/>
      <c r="L48" s="206"/>
      <c r="M48" s="198"/>
      <c r="N48" s="206"/>
      <c r="O48" s="198"/>
      <c r="P48" s="206"/>
      <c r="Q48" s="198"/>
      <c r="R48" s="206"/>
      <c r="S48" s="198"/>
      <c r="T48" s="206"/>
      <c r="U48" s="198"/>
      <c r="V48" s="206"/>
      <c r="W48" s="198"/>
      <c r="X48" s="206"/>
      <c r="Y48" s="198"/>
      <c r="Z48" s="206"/>
      <c r="AA48" s="198"/>
      <c r="AB48" s="206"/>
      <c r="AC48" s="198"/>
      <c r="AD48" s="206"/>
      <c r="AE48" s="198"/>
      <c r="AF48" s="206"/>
      <c r="AG48" s="281"/>
    </row>
    <row r="49" spans="1:33" ht="15" x14ac:dyDescent="0.2">
      <c r="A49" s="284"/>
      <c r="B49" s="286">
        <v>12</v>
      </c>
      <c r="C49" s="198"/>
      <c r="D49" s="212">
        <v>9.5</v>
      </c>
      <c r="E49" s="198"/>
      <c r="F49" s="206">
        <v>0</v>
      </c>
      <c r="G49" s="198"/>
      <c r="H49" s="206">
        <v>0</v>
      </c>
      <c r="I49" s="198"/>
      <c r="J49" s="206">
        <v>0</v>
      </c>
      <c r="K49" s="198"/>
      <c r="L49" s="206">
        <v>0</v>
      </c>
      <c r="M49" s="198"/>
      <c r="N49" s="206">
        <v>0</v>
      </c>
      <c r="O49" s="198"/>
      <c r="P49" s="206">
        <v>0</v>
      </c>
      <c r="Q49" s="198"/>
      <c r="R49" s="206">
        <v>0</v>
      </c>
      <c r="S49" s="198"/>
      <c r="T49" s="206">
        <v>0</v>
      </c>
      <c r="U49" s="198"/>
      <c r="V49" s="206">
        <v>0</v>
      </c>
      <c r="W49" s="198"/>
      <c r="X49" s="206">
        <v>0</v>
      </c>
      <c r="Y49" s="198"/>
      <c r="Z49" s="206">
        <f>Fire!K21</f>
        <v>5</v>
      </c>
      <c r="AA49" s="198"/>
      <c r="AB49" s="206">
        <f>ROUND(+Z49*$D49,0)</f>
        <v>48</v>
      </c>
      <c r="AC49" s="198"/>
      <c r="AD49" s="206">
        <f>F49+J49+N49+R49+V49+Z49</f>
        <v>5</v>
      </c>
      <c r="AE49" s="198"/>
      <c r="AF49" s="206">
        <f>H49+L49+P49+T49+X49+AB49</f>
        <v>48</v>
      </c>
      <c r="AG49" s="281"/>
    </row>
    <row r="50" spans="1:33" ht="10.7" customHeight="1" x14ac:dyDescent="0.2">
      <c r="A50" s="284"/>
      <c r="B50" s="286"/>
      <c r="C50" s="198"/>
      <c r="D50" s="212"/>
      <c r="E50" s="198"/>
      <c r="F50" s="206"/>
      <c r="G50" s="198"/>
      <c r="H50" s="206"/>
      <c r="I50" s="198"/>
      <c r="J50" s="206"/>
      <c r="K50" s="198"/>
      <c r="L50" s="206"/>
      <c r="M50" s="198"/>
      <c r="N50" s="206"/>
      <c r="O50" s="198"/>
      <c r="P50" s="206"/>
      <c r="Q50" s="198"/>
      <c r="R50" s="206"/>
      <c r="S50" s="198"/>
      <c r="T50" s="206"/>
      <c r="U50" s="198"/>
      <c r="V50" s="206"/>
      <c r="W50" s="198"/>
      <c r="X50" s="206"/>
      <c r="Y50" s="198"/>
      <c r="Z50" s="206"/>
      <c r="AA50" s="198"/>
      <c r="AB50" s="206"/>
      <c r="AC50" s="198"/>
      <c r="AD50" s="206"/>
      <c r="AE50" s="198"/>
      <c r="AF50" s="206"/>
      <c r="AG50" s="281"/>
    </row>
    <row r="51" spans="1:33" ht="15" x14ac:dyDescent="0.2">
      <c r="A51" s="284"/>
      <c r="B51" s="286" t="s">
        <v>91</v>
      </c>
      <c r="C51" s="198"/>
      <c r="D51" s="212">
        <v>12.7</v>
      </c>
      <c r="E51" s="198"/>
      <c r="F51" s="206">
        <v>0</v>
      </c>
      <c r="G51" s="198"/>
      <c r="H51" s="206">
        <v>0</v>
      </c>
      <c r="I51" s="198"/>
      <c r="J51" s="206">
        <v>0</v>
      </c>
      <c r="K51" s="198"/>
      <c r="L51" s="206">
        <v>0</v>
      </c>
      <c r="M51" s="198"/>
      <c r="N51" s="206">
        <v>0</v>
      </c>
      <c r="O51" s="198"/>
      <c r="P51" s="206">
        <v>0</v>
      </c>
      <c r="Q51" s="198"/>
      <c r="R51" s="206">
        <v>0</v>
      </c>
      <c r="S51" s="198"/>
      <c r="T51" s="206">
        <v>0</v>
      </c>
      <c r="U51" s="198"/>
      <c r="V51" s="206">
        <v>0</v>
      </c>
      <c r="W51" s="198"/>
      <c r="X51" s="206">
        <v>0</v>
      </c>
      <c r="Y51" s="198"/>
      <c r="Z51" s="206">
        <f>Fire!K23</f>
        <v>1</v>
      </c>
      <c r="AA51" s="198"/>
      <c r="AB51" s="206">
        <f>ROUND(+Z51*$D51,0)</f>
        <v>13</v>
      </c>
      <c r="AC51" s="198"/>
      <c r="AD51" s="206">
        <f>F51+J51+N51+R51+V51+Z51</f>
        <v>1</v>
      </c>
      <c r="AE51" s="198"/>
      <c r="AF51" s="206">
        <f>H51+L51+P51+T51+X51+AB51</f>
        <v>13</v>
      </c>
      <c r="AG51" s="281"/>
    </row>
    <row r="52" spans="1:33" ht="15" x14ac:dyDescent="0.2">
      <c r="B52" s="198"/>
      <c r="C52" s="198"/>
      <c r="D52" s="198"/>
      <c r="E52" s="198"/>
      <c r="F52" s="207"/>
      <c r="G52" s="198"/>
      <c r="H52" s="207"/>
      <c r="I52" s="198"/>
      <c r="J52" s="207"/>
      <c r="K52" s="198"/>
      <c r="L52" s="207"/>
      <c r="M52" s="198"/>
      <c r="N52" s="207"/>
      <c r="O52" s="198"/>
      <c r="P52" s="207"/>
      <c r="Q52" s="198"/>
      <c r="R52" s="207"/>
      <c r="S52" s="198"/>
      <c r="T52" s="207"/>
      <c r="U52" s="198"/>
      <c r="V52" s="207"/>
      <c r="W52" s="198"/>
      <c r="X52" s="207"/>
      <c r="Y52" s="198"/>
      <c r="Z52" s="207"/>
      <c r="AA52" s="198"/>
      <c r="AB52" s="207"/>
      <c r="AC52" s="198"/>
      <c r="AD52" s="207"/>
      <c r="AE52" s="198"/>
      <c r="AF52" s="207"/>
      <c r="AG52" s="281"/>
    </row>
    <row r="53" spans="1:33" ht="15.75" thickBot="1" x14ac:dyDescent="0.25">
      <c r="B53" s="198" t="s">
        <v>337</v>
      </c>
      <c r="C53" s="198"/>
      <c r="D53" s="198"/>
      <c r="E53" s="198"/>
      <c r="F53" s="206">
        <f>SUM(F33:F45)</f>
        <v>99378</v>
      </c>
      <c r="G53" s="198"/>
      <c r="H53" s="206">
        <f>SUM(H33:H45)</f>
        <v>118777</v>
      </c>
      <c r="I53" s="198"/>
      <c r="J53" s="206">
        <f>SUM(J33:J45)</f>
        <v>9135</v>
      </c>
      <c r="K53" s="198"/>
      <c r="L53" s="206">
        <f>SUM(L33:L45)</f>
        <v>16054</v>
      </c>
      <c r="M53" s="198"/>
      <c r="N53" s="206">
        <f>SUM(N33:N45)</f>
        <v>52</v>
      </c>
      <c r="O53" s="198"/>
      <c r="P53" s="206">
        <f>SUM(P33:P45)</f>
        <v>158</v>
      </c>
      <c r="Q53" s="198"/>
      <c r="R53" s="206">
        <f>SUM(R33:R45)</f>
        <v>765</v>
      </c>
      <c r="S53" s="198"/>
      <c r="T53" s="206">
        <f>SUM(T33:T45)</f>
        <v>1933</v>
      </c>
      <c r="U53" s="198"/>
      <c r="V53" s="206">
        <f>SUM(V33:V45)</f>
        <v>24</v>
      </c>
      <c r="W53" s="198"/>
      <c r="X53" s="206">
        <f>SUM(X33:X45)</f>
        <v>80</v>
      </c>
      <c r="Y53" s="198"/>
      <c r="Z53" s="208">
        <f>SUM(Z33:Z52)</f>
        <v>1701</v>
      </c>
      <c r="AA53" s="198"/>
      <c r="AB53" s="206">
        <f>SUM(AB33:AB52)</f>
        <v>6934</v>
      </c>
      <c r="AC53" s="198"/>
      <c r="AD53" s="206">
        <f>SUM(AD33:AD52)</f>
        <v>111055</v>
      </c>
      <c r="AE53" s="198"/>
      <c r="AF53" s="206">
        <f>SUM(AF33:AF52)</f>
        <v>143936</v>
      </c>
      <c r="AG53" s="281"/>
    </row>
    <row r="54" spans="1:33" ht="15.75" thickTop="1" x14ac:dyDescent="0.2">
      <c r="B54" s="198"/>
      <c r="C54" s="198"/>
      <c r="D54" s="198"/>
      <c r="E54" s="198"/>
      <c r="F54" s="209"/>
      <c r="G54" s="198"/>
      <c r="H54" s="209"/>
      <c r="I54" s="198"/>
      <c r="J54" s="209"/>
      <c r="K54" s="198"/>
      <c r="L54" s="209"/>
      <c r="M54" s="198"/>
      <c r="N54" s="209"/>
      <c r="O54" s="198"/>
      <c r="P54" s="209"/>
      <c r="Q54" s="198"/>
      <c r="R54" s="209"/>
      <c r="S54" s="198"/>
      <c r="T54" s="209"/>
      <c r="U54" s="198"/>
      <c r="V54" s="209"/>
      <c r="W54" s="198"/>
      <c r="X54" s="209"/>
      <c r="Y54" s="198"/>
      <c r="Z54" s="210"/>
      <c r="AA54" s="198"/>
      <c r="AB54" s="209"/>
      <c r="AC54" s="198"/>
      <c r="AD54" s="209"/>
      <c r="AE54" s="198"/>
      <c r="AF54" s="209"/>
      <c r="AG54" s="281"/>
    </row>
    <row r="55" spans="1:33" ht="15" x14ac:dyDescent="0.2">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4"/>
      <c r="AF55" s="214"/>
      <c r="AG55" s="281"/>
    </row>
    <row r="56" spans="1:33" ht="15" x14ac:dyDescent="0.2">
      <c r="B56" s="213"/>
      <c r="C56" s="213"/>
      <c r="D56" s="213"/>
      <c r="E56" s="213"/>
      <c r="F56" s="512" t="s">
        <v>946</v>
      </c>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197"/>
      <c r="AF56" s="197"/>
      <c r="AG56" s="281"/>
    </row>
    <row r="57" spans="1:33" ht="15" x14ac:dyDescent="0.2">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197"/>
      <c r="AF57" s="197"/>
      <c r="AG57" s="281"/>
    </row>
    <row r="58" spans="1:33" ht="15" x14ac:dyDescent="0.2">
      <c r="B58" s="213"/>
      <c r="C58" s="213"/>
      <c r="D58" s="213"/>
      <c r="E58" s="213"/>
      <c r="F58" s="287"/>
      <c r="G58" s="287"/>
      <c r="H58" s="287"/>
      <c r="I58" s="287"/>
      <c r="J58" s="288"/>
      <c r="K58" s="287"/>
      <c r="L58" s="287"/>
      <c r="M58" s="213"/>
      <c r="N58" s="213"/>
      <c r="O58" s="213"/>
      <c r="P58" s="213"/>
      <c r="Q58" s="213"/>
      <c r="R58" s="213"/>
      <c r="S58" s="213"/>
      <c r="T58" s="213"/>
      <c r="U58" s="213"/>
      <c r="V58" s="213"/>
      <c r="W58" s="213"/>
      <c r="X58" s="213"/>
      <c r="Y58" s="213"/>
      <c r="Z58" s="213"/>
      <c r="AA58" s="213"/>
      <c r="AB58" s="213"/>
      <c r="AC58" s="213"/>
      <c r="AD58" s="213"/>
      <c r="AE58" s="197"/>
      <c r="AF58" s="197"/>
      <c r="AG58" s="281"/>
    </row>
    <row r="59" spans="1:33" ht="15" x14ac:dyDescent="0.2">
      <c r="B59" s="213"/>
      <c r="C59" s="213"/>
      <c r="D59" s="213"/>
      <c r="E59" s="213"/>
      <c r="F59" s="289"/>
      <c r="G59" s="289"/>
      <c r="H59" s="289"/>
      <c r="I59" s="287"/>
      <c r="J59" s="290"/>
      <c r="K59" s="288"/>
      <c r="L59" s="290"/>
      <c r="M59" s="213"/>
      <c r="N59" s="213"/>
      <c r="O59" s="213"/>
      <c r="P59" s="213"/>
      <c r="Q59" s="213"/>
      <c r="R59" s="213"/>
      <c r="S59" s="213"/>
      <c r="T59" s="213"/>
      <c r="U59" s="213"/>
      <c r="V59" s="213"/>
      <c r="W59" s="213"/>
      <c r="X59" s="213"/>
      <c r="Y59" s="213"/>
      <c r="Z59" s="213"/>
      <c r="AA59" s="213"/>
      <c r="AB59" s="213"/>
      <c r="AC59" s="213"/>
      <c r="AD59" s="213"/>
      <c r="AE59" s="197"/>
      <c r="AF59" s="197"/>
      <c r="AG59" s="281"/>
    </row>
    <row r="60" spans="1:33" ht="15" x14ac:dyDescent="0.2">
      <c r="B60" s="213"/>
      <c r="C60" s="213"/>
      <c r="D60" s="213"/>
      <c r="E60" s="213"/>
      <c r="F60" s="289"/>
      <c r="G60" s="289"/>
      <c r="H60" s="289"/>
      <c r="I60" s="287"/>
      <c r="J60" s="290"/>
      <c r="K60" s="288"/>
      <c r="L60" s="290"/>
      <c r="M60" s="213"/>
      <c r="N60" s="213"/>
      <c r="O60" s="213"/>
      <c r="P60" s="213"/>
      <c r="Q60" s="213"/>
      <c r="R60" s="213"/>
      <c r="S60" s="213"/>
      <c r="T60" s="213"/>
      <c r="U60" s="213"/>
      <c r="V60" s="213"/>
      <c r="W60" s="213"/>
      <c r="X60" s="213"/>
      <c r="Y60" s="213"/>
      <c r="Z60" s="213"/>
      <c r="AA60" s="213"/>
      <c r="AB60" s="213"/>
      <c r="AC60" s="213"/>
      <c r="AD60" s="213"/>
      <c r="AE60" s="197"/>
      <c r="AF60" s="197"/>
      <c r="AG60" s="281"/>
    </row>
    <row r="61" spans="1:33" ht="15" x14ac:dyDescent="0.2">
      <c r="B61" s="213"/>
      <c r="C61" s="213"/>
      <c r="D61" s="313"/>
      <c r="E61" s="213"/>
      <c r="F61" s="287"/>
      <c r="G61" s="287"/>
      <c r="H61" s="287"/>
      <c r="I61" s="287"/>
      <c r="J61" s="287"/>
      <c r="K61" s="287"/>
      <c r="L61" s="287"/>
      <c r="M61" s="213"/>
      <c r="N61" s="213"/>
      <c r="O61" s="213"/>
      <c r="P61" s="213"/>
      <c r="Q61" s="213"/>
      <c r="R61" s="213"/>
      <c r="S61" s="213"/>
      <c r="T61" s="213"/>
      <c r="U61" s="213"/>
      <c r="V61" s="213"/>
      <c r="W61" s="213"/>
      <c r="X61" s="213"/>
      <c r="Y61" s="213"/>
      <c r="Z61" s="213"/>
      <c r="AA61" s="213"/>
      <c r="AB61" s="213"/>
      <c r="AC61" s="213"/>
      <c r="AD61" s="213"/>
      <c r="AE61" s="197"/>
      <c r="AF61" s="197"/>
      <c r="AG61" s="281"/>
    </row>
    <row r="62" spans="1:33" ht="15" x14ac:dyDescent="0.2">
      <c r="B62" s="213"/>
      <c r="C62" s="213"/>
      <c r="D62" s="539"/>
      <c r="E62" s="213"/>
      <c r="F62" s="199"/>
      <c r="G62" s="213"/>
      <c r="H62" s="198"/>
      <c r="I62" s="213"/>
      <c r="J62" s="198"/>
      <c r="K62" s="213"/>
      <c r="L62" s="212"/>
      <c r="M62" s="213"/>
      <c r="N62" s="213"/>
      <c r="O62" s="213"/>
      <c r="P62" s="198"/>
      <c r="Q62" s="213"/>
      <c r="R62" s="213"/>
      <c r="S62" s="213"/>
      <c r="T62" s="213"/>
      <c r="U62" s="213"/>
      <c r="V62" s="213"/>
      <c r="W62" s="213"/>
      <c r="X62" s="213"/>
      <c r="Y62" s="213"/>
      <c r="Z62" s="213"/>
      <c r="AA62" s="213"/>
      <c r="AB62" s="213"/>
      <c r="AC62" s="213"/>
      <c r="AD62" s="213"/>
      <c r="AE62" s="197"/>
      <c r="AF62" s="197"/>
      <c r="AG62" s="281"/>
    </row>
    <row r="63" spans="1:33" ht="15" x14ac:dyDescent="0.2">
      <c r="B63" s="213"/>
      <c r="C63" s="213"/>
      <c r="D63" s="213"/>
      <c r="E63" s="213"/>
      <c r="F63" s="537">
        <v>2010</v>
      </c>
      <c r="G63" s="213"/>
      <c r="H63" s="537">
        <v>2015</v>
      </c>
      <c r="I63" s="213"/>
      <c r="J63" s="198"/>
      <c r="K63" s="213"/>
      <c r="L63" s="212"/>
      <c r="M63" s="213"/>
      <c r="N63" s="213"/>
      <c r="O63" s="213"/>
      <c r="P63" s="198"/>
      <c r="Q63" s="213"/>
      <c r="R63" s="213"/>
      <c r="S63" s="213"/>
      <c r="T63" s="213"/>
      <c r="U63" s="213"/>
      <c r="V63" s="213"/>
      <c r="W63" s="213"/>
      <c r="X63" s="213"/>
      <c r="Y63" s="213"/>
      <c r="Z63" s="213"/>
      <c r="AA63" s="213"/>
      <c r="AB63" s="213"/>
      <c r="AC63" s="213"/>
      <c r="AD63" s="213"/>
      <c r="AE63" s="197"/>
      <c r="AF63" s="197"/>
      <c r="AG63" s="281"/>
    </row>
    <row r="64" spans="1:33" ht="15" x14ac:dyDescent="0.2">
      <c r="B64" s="213"/>
      <c r="C64" s="213"/>
      <c r="D64" s="213"/>
      <c r="E64" s="213"/>
      <c r="F64" s="538">
        <f>1153*2</f>
        <v>2306</v>
      </c>
      <c r="G64" s="213"/>
      <c r="H64" s="198"/>
      <c r="I64" s="213"/>
      <c r="J64" s="205"/>
      <c r="K64" s="213"/>
      <c r="L64" s="212"/>
      <c r="M64" s="213"/>
      <c r="N64" s="213"/>
      <c r="O64" s="213"/>
      <c r="P64" s="198"/>
      <c r="Q64" s="213"/>
      <c r="R64" s="213"/>
      <c r="S64" s="213"/>
      <c r="T64" s="213"/>
      <c r="U64" s="213"/>
      <c r="V64" s="213"/>
      <c r="W64" s="213"/>
      <c r="X64" s="213"/>
      <c r="Y64" s="213"/>
      <c r="Z64" s="213"/>
      <c r="AA64" s="213"/>
      <c r="AB64" s="213"/>
      <c r="AC64" s="213"/>
      <c r="AD64" s="213"/>
      <c r="AE64" s="197"/>
      <c r="AF64" s="197"/>
      <c r="AG64" s="281"/>
    </row>
    <row r="65" spans="2:33" ht="15" x14ac:dyDescent="0.2">
      <c r="B65" s="213"/>
      <c r="C65" s="213"/>
      <c r="D65" s="213"/>
      <c r="E65" s="213"/>
      <c r="F65" s="538">
        <v>32264</v>
      </c>
      <c r="G65" s="213"/>
      <c r="H65" s="198"/>
      <c r="I65" s="213"/>
      <c r="J65" s="205"/>
      <c r="K65" s="213"/>
      <c r="L65" s="212"/>
      <c r="M65" s="213"/>
      <c r="N65" s="213"/>
      <c r="O65" s="213"/>
      <c r="P65" s="198"/>
      <c r="Q65" s="213"/>
      <c r="R65" s="213"/>
      <c r="S65" s="213"/>
      <c r="T65" s="213"/>
      <c r="U65" s="213"/>
      <c r="V65" s="213"/>
      <c r="W65" s="213"/>
      <c r="X65" s="213"/>
      <c r="Y65" s="213"/>
      <c r="Z65" s="213"/>
      <c r="AA65" s="213"/>
      <c r="AB65" s="213"/>
      <c r="AC65" s="213"/>
      <c r="AD65" s="213"/>
      <c r="AE65" s="197"/>
      <c r="AF65" s="197"/>
      <c r="AG65" s="281"/>
    </row>
    <row r="66" spans="2:33" ht="15" x14ac:dyDescent="0.2">
      <c r="B66" s="291"/>
      <c r="C66" s="292"/>
      <c r="D66" s="293"/>
      <c r="E66" s="213"/>
      <c r="F66" s="538">
        <f>+F64+F65</f>
        <v>34570</v>
      </c>
      <c r="G66" s="213"/>
      <c r="H66" s="198">
        <v>34664</v>
      </c>
      <c r="I66" s="213"/>
      <c r="J66" s="198"/>
      <c r="K66" s="213"/>
      <c r="L66" s="212"/>
      <c r="M66" s="213"/>
      <c r="N66" s="213"/>
      <c r="O66" s="213"/>
      <c r="P66" s="198"/>
      <c r="Q66" s="213"/>
      <c r="R66" s="213"/>
      <c r="S66" s="213"/>
      <c r="T66" s="213"/>
      <c r="U66" s="213"/>
      <c r="V66" s="213"/>
      <c r="W66" s="213"/>
      <c r="X66" s="213"/>
      <c r="Y66" s="213"/>
      <c r="Z66" s="213"/>
      <c r="AA66" s="213"/>
      <c r="AB66" s="213"/>
      <c r="AC66" s="213"/>
      <c r="AD66" s="213"/>
      <c r="AE66" s="197"/>
      <c r="AF66" s="197"/>
      <c r="AG66" s="281"/>
    </row>
    <row r="67" spans="2:33" ht="15" x14ac:dyDescent="0.2">
      <c r="B67" s="291"/>
      <c r="C67" s="292"/>
      <c r="D67" s="292"/>
      <c r="E67" s="213"/>
      <c r="F67" s="199"/>
      <c r="G67" s="213"/>
      <c r="H67" s="198"/>
      <c r="I67" s="213"/>
      <c r="J67" s="198"/>
      <c r="K67" s="213"/>
      <c r="L67" s="212"/>
      <c r="M67" s="213"/>
      <c r="N67" s="213"/>
      <c r="O67" s="213"/>
      <c r="P67" s="198"/>
      <c r="Q67" s="213"/>
      <c r="R67" s="213"/>
      <c r="S67" s="213"/>
      <c r="T67" s="213"/>
      <c r="U67" s="213"/>
      <c r="V67" s="213"/>
      <c r="W67" s="213"/>
      <c r="X67" s="213"/>
      <c r="Y67" s="213"/>
      <c r="Z67" s="213"/>
      <c r="AA67" s="213"/>
      <c r="AB67" s="213"/>
      <c r="AC67" s="213"/>
      <c r="AD67" s="213"/>
      <c r="AE67" s="197"/>
      <c r="AF67" s="197"/>
      <c r="AG67" s="281"/>
    </row>
    <row r="68" spans="2:33" ht="15" x14ac:dyDescent="0.2">
      <c r="B68" s="291"/>
      <c r="C68" s="292"/>
      <c r="D68" s="292"/>
      <c r="E68" s="213"/>
      <c r="F68" s="199"/>
      <c r="G68" s="213"/>
      <c r="H68" s="198"/>
      <c r="I68" s="213"/>
      <c r="J68" s="198"/>
      <c r="K68" s="213"/>
      <c r="L68" s="212"/>
      <c r="M68" s="213"/>
      <c r="N68" s="213"/>
      <c r="O68" s="213"/>
      <c r="P68" s="198"/>
      <c r="Q68" s="213"/>
      <c r="R68" s="213"/>
      <c r="S68" s="213"/>
      <c r="T68" s="213"/>
      <c r="U68" s="213"/>
      <c r="V68" s="213"/>
      <c r="W68" s="213"/>
      <c r="X68" s="213"/>
      <c r="Y68" s="213"/>
      <c r="Z68" s="213"/>
      <c r="AA68" s="213"/>
      <c r="AB68" s="213"/>
      <c r="AC68" s="213"/>
      <c r="AD68" s="213"/>
      <c r="AE68" s="197"/>
      <c r="AF68" s="197"/>
      <c r="AG68" s="281"/>
    </row>
    <row r="69" spans="2:33" ht="15" x14ac:dyDescent="0.2">
      <c r="B69" s="291"/>
      <c r="C69" s="292"/>
      <c r="D69" s="293"/>
      <c r="E69" s="213"/>
      <c r="F69" s="199"/>
      <c r="G69" s="213"/>
      <c r="H69" s="198"/>
      <c r="I69" s="213"/>
      <c r="J69" s="198"/>
      <c r="K69" s="213"/>
      <c r="L69" s="212"/>
      <c r="M69" s="213"/>
      <c r="N69" s="213"/>
      <c r="O69" s="213"/>
      <c r="P69" s="198"/>
      <c r="Q69" s="213"/>
      <c r="R69" s="213"/>
      <c r="S69" s="213"/>
      <c r="T69" s="213"/>
      <c r="U69" s="213"/>
      <c r="V69" s="213"/>
      <c r="W69" s="213"/>
      <c r="X69" s="213"/>
      <c r="Y69" s="213"/>
      <c r="Z69" s="213"/>
      <c r="AA69" s="213"/>
      <c r="AB69" s="213"/>
      <c r="AC69" s="213"/>
      <c r="AD69" s="213"/>
      <c r="AE69" s="197"/>
      <c r="AF69" s="197"/>
      <c r="AG69" s="281"/>
    </row>
    <row r="70" spans="2:33" ht="15" x14ac:dyDescent="0.2">
      <c r="B70" s="291"/>
      <c r="C70" s="292"/>
      <c r="D70" s="292"/>
      <c r="E70" s="213"/>
      <c r="F70" s="199"/>
      <c r="G70" s="213"/>
      <c r="H70" s="198"/>
      <c r="I70" s="213"/>
      <c r="J70" s="198"/>
      <c r="K70" s="213"/>
      <c r="L70" s="212"/>
      <c r="M70" s="213"/>
      <c r="N70" s="213"/>
      <c r="O70" s="213"/>
      <c r="P70" s="198"/>
      <c r="Q70" s="213"/>
      <c r="R70" s="213"/>
      <c r="S70" s="213"/>
      <c r="T70" s="213"/>
      <c r="U70" s="213"/>
      <c r="V70" s="213"/>
      <c r="W70" s="213"/>
      <c r="X70" s="213"/>
      <c r="Y70" s="213"/>
      <c r="Z70" s="213"/>
      <c r="AA70" s="213"/>
      <c r="AB70" s="213"/>
      <c r="AC70" s="213"/>
      <c r="AD70" s="213"/>
      <c r="AE70" s="197"/>
      <c r="AF70" s="197"/>
      <c r="AG70" s="281"/>
    </row>
    <row r="71" spans="2:33" ht="15" x14ac:dyDescent="0.2">
      <c r="B71" s="291"/>
      <c r="C71" s="292"/>
      <c r="D71" s="292"/>
      <c r="E71" s="213"/>
      <c r="F71" s="199"/>
      <c r="G71" s="213"/>
      <c r="H71" s="198"/>
      <c r="I71" s="213"/>
      <c r="J71" s="294"/>
      <c r="K71" s="213"/>
      <c r="L71" s="212"/>
      <c r="M71" s="213"/>
      <c r="N71" s="213"/>
      <c r="O71" s="213"/>
      <c r="P71" s="213"/>
      <c r="Q71" s="213"/>
      <c r="R71" s="213"/>
      <c r="S71" s="213"/>
      <c r="T71" s="213"/>
      <c r="U71" s="213"/>
      <c r="V71" s="213"/>
      <c r="W71" s="213"/>
      <c r="X71" s="213"/>
      <c r="Y71" s="213"/>
      <c r="Z71" s="213"/>
      <c r="AA71" s="213"/>
      <c r="AB71" s="213"/>
      <c r="AC71" s="213"/>
      <c r="AD71" s="213"/>
      <c r="AE71" s="197"/>
      <c r="AF71" s="197"/>
      <c r="AG71" s="281"/>
    </row>
    <row r="72" spans="2:33" ht="15" x14ac:dyDescent="0.2">
      <c r="B72" s="291"/>
      <c r="C72" s="292"/>
      <c r="D72" s="29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197"/>
      <c r="AF72" s="197"/>
      <c r="AG72" s="281"/>
    </row>
    <row r="73" spans="2:33" ht="15" x14ac:dyDescent="0.2">
      <c r="B73" s="291"/>
      <c r="C73" s="292"/>
      <c r="D73" s="292"/>
      <c r="E73" s="213"/>
      <c r="F73" s="213"/>
      <c r="G73" s="213"/>
      <c r="H73" s="213"/>
      <c r="I73" s="213"/>
      <c r="J73" s="213"/>
      <c r="K73" s="213"/>
      <c r="L73" s="213"/>
      <c r="M73" s="213"/>
      <c r="N73" s="213"/>
      <c r="O73" s="213"/>
      <c r="P73" s="198"/>
      <c r="Q73" s="213"/>
      <c r="R73" s="213"/>
      <c r="S73" s="213"/>
      <c r="T73" s="213"/>
      <c r="U73" s="213"/>
      <c r="V73" s="213"/>
      <c r="W73" s="213"/>
      <c r="X73" s="213"/>
      <c r="Y73" s="213"/>
      <c r="Z73" s="213"/>
      <c r="AA73" s="213"/>
      <c r="AB73" s="213"/>
      <c r="AC73" s="213"/>
      <c r="AD73" s="213"/>
      <c r="AE73" s="197"/>
      <c r="AF73" s="197"/>
      <c r="AG73" s="281"/>
    </row>
    <row r="74" spans="2:33" ht="15" x14ac:dyDescent="0.2">
      <c r="B74" s="291"/>
      <c r="C74" s="292"/>
      <c r="D74" s="292"/>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197"/>
      <c r="AF74" s="197"/>
      <c r="AG74" s="281"/>
    </row>
    <row r="75" spans="2:33" ht="15" x14ac:dyDescent="0.2">
      <c r="B75" s="291"/>
      <c r="C75" s="292"/>
      <c r="D75" s="293"/>
      <c r="E75" s="213"/>
      <c r="F75" s="213"/>
      <c r="G75" s="213"/>
      <c r="H75" s="213"/>
      <c r="I75" s="213"/>
      <c r="J75" s="213"/>
      <c r="K75" s="213"/>
      <c r="L75" s="213"/>
      <c r="M75" s="213"/>
      <c r="N75" s="213"/>
      <c r="O75" s="213"/>
      <c r="P75" s="198"/>
      <c r="Q75" s="213"/>
      <c r="R75" s="213"/>
      <c r="S75" s="213"/>
      <c r="T75" s="213"/>
      <c r="U75" s="213"/>
      <c r="V75" s="213"/>
      <c r="W75" s="213"/>
      <c r="X75" s="213"/>
      <c r="Y75" s="213"/>
      <c r="Z75" s="213"/>
      <c r="AA75" s="213"/>
      <c r="AB75" s="213"/>
      <c r="AC75" s="213"/>
      <c r="AD75" s="213"/>
      <c r="AE75" s="197"/>
      <c r="AF75" s="197"/>
      <c r="AG75" s="281"/>
    </row>
    <row r="76" spans="2:33" ht="15" x14ac:dyDescent="0.2">
      <c r="B76" s="291"/>
      <c r="C76" s="292"/>
      <c r="D76" s="292"/>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197"/>
      <c r="AF76" s="197"/>
      <c r="AG76" s="281"/>
    </row>
    <row r="77" spans="2:33" ht="15" x14ac:dyDescent="0.2">
      <c r="B77" s="291"/>
      <c r="C77" s="292"/>
      <c r="D77" s="292"/>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197"/>
      <c r="AF77" s="197"/>
      <c r="AG77" s="281"/>
    </row>
    <row r="78" spans="2:33" x14ac:dyDescent="0.2">
      <c r="B78" s="291"/>
      <c r="C78" s="292"/>
      <c r="D78" s="293"/>
    </row>
  </sheetData>
  <mergeCells count="2">
    <mergeCell ref="AH9:AK9"/>
    <mergeCell ref="AM9:AP9"/>
  </mergeCells>
  <phoneticPr fontId="14" type="noConversion"/>
  <printOptions horizontalCentered="1"/>
  <pageMargins left="0.7" right="0.7" top="0.75" bottom="0.75" header="0.3" footer="0.3"/>
  <pageSetup fitToHeight="0" orientation="landscape" r:id="rId1"/>
  <headerFooter>
    <oddHeader>&amp;R&amp;9KAW_R_PSCDR1_NUM014_Attachment 1
Case No. 2015-00418
Page &amp;P of &amp;N</oddHeader>
  </headerFooter>
  <rowBreaks count="1" manualBreakCount="1">
    <brk id="22" min="1" max="31"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71"/>
  <sheetViews>
    <sheetView tabSelected="1" view="pageLayout" zoomScaleNormal="100" workbookViewId="0">
      <selection activeCell="M516" sqref="M516"/>
    </sheetView>
  </sheetViews>
  <sheetFormatPr defaultColWidth="9.77734375" defaultRowHeight="15" x14ac:dyDescent="0.2"/>
  <cols>
    <col min="1" max="1" width="11.77734375" style="16" customWidth="1"/>
    <col min="2" max="2" width="10.77734375" style="16" customWidth="1"/>
    <col min="3" max="3" width="12.77734375" style="16" customWidth="1"/>
    <col min="4" max="4" width="11.33203125" style="16" customWidth="1"/>
    <col min="5" max="5" width="13.77734375" style="16" customWidth="1"/>
    <col min="6" max="6" width="9.77734375" style="16" customWidth="1"/>
    <col min="7" max="16384" width="9.77734375" style="16"/>
  </cols>
  <sheetData>
    <row r="1" spans="1:18" x14ac:dyDescent="0.2">
      <c r="A1" s="864" t="s">
        <v>8</v>
      </c>
      <c r="B1" s="864"/>
      <c r="C1" s="864"/>
      <c r="D1" s="864"/>
      <c r="E1" s="864"/>
      <c r="F1" s="864"/>
    </row>
    <row r="2" spans="1:18" x14ac:dyDescent="0.2">
      <c r="A2" s="1"/>
      <c r="B2" s="1"/>
      <c r="C2" s="1"/>
      <c r="D2" s="1"/>
      <c r="E2" s="1"/>
      <c r="F2" s="1"/>
      <c r="H2" s="2"/>
    </row>
    <row r="3" spans="1:18" x14ac:dyDescent="0.2">
      <c r="A3" s="865" t="s">
        <v>234</v>
      </c>
      <c r="B3" s="865"/>
      <c r="C3" s="865"/>
      <c r="D3" s="865"/>
      <c r="E3" s="865"/>
      <c r="F3" s="865"/>
    </row>
    <row r="4" spans="1:18" x14ac:dyDescent="0.2">
      <c r="A4" s="544"/>
      <c r="B4" s="544"/>
      <c r="C4" s="544"/>
      <c r="D4" s="544"/>
      <c r="E4" s="544"/>
      <c r="F4" s="544"/>
    </row>
    <row r="5" spans="1:18" x14ac:dyDescent="0.2">
      <c r="A5" s="544" t="s">
        <v>951</v>
      </c>
      <c r="B5" s="544"/>
      <c r="C5" s="544"/>
      <c r="D5" s="544"/>
      <c r="E5" s="544"/>
      <c r="F5" s="544"/>
    </row>
    <row r="6" spans="1:18" x14ac:dyDescent="0.2">
      <c r="A6" s="544" t="s">
        <v>950</v>
      </c>
      <c r="B6" s="544"/>
      <c r="C6" s="544"/>
      <c r="D6" s="544"/>
      <c r="E6" s="544"/>
      <c r="F6" s="544"/>
    </row>
    <row r="7" spans="1:18" ht="9.1999999999999993" customHeight="1" x14ac:dyDescent="0.2">
      <c r="A7" s="544"/>
      <c r="B7" s="544"/>
      <c r="C7" s="544"/>
      <c r="D7" s="544"/>
      <c r="E7" s="544"/>
      <c r="F7" s="544"/>
    </row>
    <row r="8" spans="1:18" ht="27.6" customHeight="1" x14ac:dyDescent="0.2">
      <c r="A8" s="848" t="s">
        <v>364</v>
      </c>
      <c r="B8" s="848"/>
      <c r="C8" s="848"/>
      <c r="D8" s="848"/>
      <c r="E8" s="848"/>
      <c r="F8" s="848"/>
    </row>
    <row r="9" spans="1:18" ht="9.1999999999999993" customHeight="1" x14ac:dyDescent="0.2">
      <c r="A9" s="544"/>
      <c r="B9" s="544"/>
      <c r="C9" s="544"/>
      <c r="D9" s="544"/>
      <c r="E9" s="544"/>
      <c r="F9" s="544"/>
    </row>
    <row r="10" spans="1:18" ht="13.35" customHeight="1" x14ac:dyDescent="0.2">
      <c r="A10" s="544"/>
      <c r="B10" s="544"/>
      <c r="C10" s="544"/>
      <c r="D10" s="545" t="s">
        <v>365</v>
      </c>
      <c r="E10" s="544"/>
      <c r="F10" s="544"/>
    </row>
    <row r="11" spans="1:18" ht="13.35" customHeight="1" x14ac:dyDescent="0.2">
      <c r="A11" s="544"/>
      <c r="B11" s="544"/>
      <c r="C11" s="544"/>
      <c r="D11" s="545" t="s">
        <v>446</v>
      </c>
      <c r="E11" s="544"/>
      <c r="F11" s="544"/>
    </row>
    <row r="12" spans="1:18" ht="13.35" customHeight="1" x14ac:dyDescent="0.2">
      <c r="A12" s="543" t="s">
        <v>200</v>
      </c>
      <c r="B12" s="543"/>
      <c r="C12" s="544"/>
      <c r="D12" s="545" t="s">
        <v>368</v>
      </c>
      <c r="E12" s="544"/>
      <c r="F12" s="545" t="s">
        <v>202</v>
      </c>
    </row>
    <row r="13" spans="1:18" ht="13.35" customHeight="1" x14ac:dyDescent="0.2">
      <c r="A13" s="543" t="s">
        <v>203</v>
      </c>
      <c r="B13" s="543"/>
      <c r="C13" s="544"/>
      <c r="D13" s="545" t="s">
        <v>369</v>
      </c>
      <c r="E13" s="544"/>
      <c r="F13" s="545" t="s">
        <v>204</v>
      </c>
    </row>
    <row r="14" spans="1:18" x14ac:dyDescent="0.2">
      <c r="A14" s="546" t="s">
        <v>205</v>
      </c>
      <c r="B14" s="546"/>
      <c r="C14" s="544"/>
      <c r="D14" s="547" t="s">
        <v>227</v>
      </c>
      <c r="E14" s="544" t="s">
        <v>325</v>
      </c>
      <c r="F14" s="547" t="s">
        <v>207</v>
      </c>
    </row>
    <row r="15" spans="1:18" ht="7.9" customHeight="1" x14ac:dyDescent="0.2">
      <c r="A15" s="544"/>
      <c r="B15" s="548"/>
      <c r="C15" s="544"/>
      <c r="D15" s="544"/>
      <c r="E15" s="544"/>
      <c r="F15" s="549"/>
    </row>
    <row r="16" spans="1:18" ht="13.35" customHeight="1" x14ac:dyDescent="0.2">
      <c r="A16" s="544" t="s">
        <v>208</v>
      </c>
      <c r="B16" s="548"/>
      <c r="C16" s="544"/>
      <c r="D16" s="584">
        <f>+'COS 1'!L360</f>
        <v>767787.3910601309</v>
      </c>
      <c r="E16" s="544"/>
      <c r="F16" s="549">
        <f>+'COS 1'!L361</f>
        <v>0.79959999999999998</v>
      </c>
      <c r="G16" s="57"/>
      <c r="H16" s="57"/>
      <c r="I16" s="57"/>
      <c r="J16" s="57"/>
      <c r="L16" s="57"/>
      <c r="N16" s="57"/>
      <c r="P16" s="57"/>
      <c r="R16" s="57"/>
    </row>
    <row r="17" spans="1:7" ht="13.35" customHeight="1" x14ac:dyDescent="0.2">
      <c r="A17" s="544" t="s">
        <v>209</v>
      </c>
      <c r="B17" s="548"/>
      <c r="C17" s="544"/>
      <c r="D17" s="585">
        <f>+'COS 1'!N360</f>
        <v>136395.65005205976</v>
      </c>
      <c r="E17" s="544"/>
      <c r="F17" s="549">
        <f>+'COS 1'!N361</f>
        <v>0.14199999999999999</v>
      </c>
    </row>
    <row r="18" spans="1:7" ht="13.35" customHeight="1" x14ac:dyDescent="0.2">
      <c r="A18" s="544" t="s">
        <v>210</v>
      </c>
      <c r="B18" s="548"/>
      <c r="C18" s="544"/>
      <c r="D18" s="585">
        <f>+'COS 1'!P360</f>
        <v>6661.0751748797684</v>
      </c>
      <c r="E18" s="544"/>
      <c r="F18" s="549">
        <f>+'COS 1'!P361</f>
        <v>6.8999999999999999E-3</v>
      </c>
    </row>
    <row r="19" spans="1:7" ht="13.35" customHeight="1" x14ac:dyDescent="0.2">
      <c r="A19" s="544" t="s">
        <v>214</v>
      </c>
      <c r="B19" s="548"/>
      <c r="C19" s="544"/>
      <c r="D19" s="585">
        <f>+'COS 1'!R360</f>
        <v>26608.601529564017</v>
      </c>
      <c r="E19" s="544"/>
      <c r="F19" s="549">
        <f>+'COS 1'!R361</f>
        <v>2.7699999999999999E-2</v>
      </c>
    </row>
    <row r="20" spans="1:7" ht="13.35" customHeight="1" x14ac:dyDescent="0.2">
      <c r="A20" s="544" t="s">
        <v>333</v>
      </c>
      <c r="B20" s="548"/>
      <c r="C20" s="544"/>
      <c r="D20" s="585">
        <f>+'COS 1'!T360</f>
        <v>2496.2555478852837</v>
      </c>
      <c r="E20" s="544"/>
      <c r="F20" s="549">
        <f>+'COS 1'!T361</f>
        <v>2.5999999999999999E-3</v>
      </c>
    </row>
    <row r="21" spans="1:7" ht="13.35" customHeight="1" x14ac:dyDescent="0.2">
      <c r="A21" s="544" t="s">
        <v>216</v>
      </c>
      <c r="B21" s="548"/>
      <c r="C21" s="544"/>
      <c r="D21" s="585">
        <f>+'COS 1'!V360</f>
        <v>15030.397315188951</v>
      </c>
      <c r="E21" s="544"/>
      <c r="F21" s="549">
        <f>+'COS 1'!V361</f>
        <v>1.5699999999999999E-2</v>
      </c>
    </row>
    <row r="22" spans="1:7" ht="13.35" customHeight="1" x14ac:dyDescent="0.2">
      <c r="A22" s="544" t="s">
        <v>217</v>
      </c>
      <c r="B22" s="548"/>
      <c r="C22" s="544"/>
      <c r="D22" s="585">
        <f>+'COS 1'!X360</f>
        <v>5304.6640541734369</v>
      </c>
      <c r="E22" s="544"/>
      <c r="F22" s="549">
        <f>+'COS 1'!X361</f>
        <v>5.4999999999999997E-3</v>
      </c>
    </row>
    <row r="23" spans="1:7" ht="8.25" customHeight="1" x14ac:dyDescent="0.2">
      <c r="A23" s="544"/>
      <c r="B23" s="548"/>
      <c r="C23" s="544"/>
      <c r="D23" s="586"/>
      <c r="E23" s="544"/>
      <c r="F23" s="554"/>
    </row>
    <row r="24" spans="1:7" ht="15.75" thickBot="1" x14ac:dyDescent="0.25">
      <c r="A24" s="544" t="s">
        <v>218</v>
      </c>
      <c r="B24" s="548"/>
      <c r="C24" s="544"/>
      <c r="D24" s="587">
        <f>SUM(D16:D23)</f>
        <v>960284.03473388206</v>
      </c>
      <c r="E24" s="544"/>
      <c r="F24" s="588">
        <f>SUM(F16:F23)</f>
        <v>1</v>
      </c>
    </row>
    <row r="25" spans="1:7" ht="11.85" customHeight="1" thickTop="1" x14ac:dyDescent="0.2">
      <c r="A25" s="544"/>
      <c r="B25" s="544"/>
      <c r="C25" s="548"/>
      <c r="D25" s="548"/>
      <c r="E25" s="548"/>
      <c r="F25" s="548"/>
      <c r="G25"/>
    </row>
    <row r="26" spans="1:7" ht="15" hidden="1" customHeight="1" x14ac:dyDescent="0.2">
      <c r="A26" s="544"/>
      <c r="B26" s="544"/>
      <c r="C26" s="548"/>
      <c r="D26" s="548"/>
      <c r="E26" s="548"/>
      <c r="F26" s="548"/>
      <c r="G26"/>
    </row>
    <row r="27" spans="1:7" ht="15" hidden="1" customHeight="1" x14ac:dyDescent="0.2">
      <c r="A27" s="589" t="s">
        <v>370</v>
      </c>
      <c r="B27" s="544"/>
      <c r="C27" s="548"/>
      <c r="D27" s="548"/>
      <c r="E27" s="548"/>
      <c r="F27" s="548"/>
      <c r="G27"/>
    </row>
    <row r="28" spans="1:7" ht="15" hidden="1" customHeight="1" x14ac:dyDescent="0.2">
      <c r="A28" s="589" t="s">
        <v>371</v>
      </c>
      <c r="B28" s="544"/>
      <c r="C28" s="548"/>
      <c r="D28" s="548"/>
      <c r="E28" s="548"/>
      <c r="F28" s="548"/>
      <c r="G28"/>
    </row>
    <row r="29" spans="1:7" ht="15" hidden="1" customHeight="1" x14ac:dyDescent="0.2">
      <c r="A29" s="544"/>
      <c r="B29" s="544"/>
      <c r="C29" s="548"/>
      <c r="D29" s="548"/>
      <c r="E29" s="548"/>
      <c r="F29" s="548"/>
      <c r="G29"/>
    </row>
    <row r="30" spans="1:7" ht="15" hidden="1" customHeight="1" x14ac:dyDescent="0.2">
      <c r="A30" s="544"/>
      <c r="B30" s="544" t="s">
        <v>372</v>
      </c>
      <c r="C30" s="548"/>
      <c r="D30" s="548"/>
      <c r="E30" s="548"/>
      <c r="F30" s="548"/>
      <c r="G30"/>
    </row>
    <row r="31" spans="1:7" ht="15" hidden="1" customHeight="1" x14ac:dyDescent="0.2">
      <c r="A31" s="544" t="s">
        <v>373</v>
      </c>
      <c r="B31" s="544"/>
      <c r="C31" s="548"/>
      <c r="D31" s="548"/>
      <c r="E31" s="548"/>
      <c r="F31" s="548"/>
      <c r="G31"/>
    </row>
    <row r="32" spans="1:7" ht="15" hidden="1" customHeight="1" x14ac:dyDescent="0.2">
      <c r="A32" s="544"/>
      <c r="B32" s="544"/>
      <c r="C32" s="548"/>
      <c r="D32" s="548"/>
      <c r="E32" s="548"/>
      <c r="F32" s="548"/>
      <c r="G32"/>
    </row>
    <row r="33" spans="1:7" ht="12.75" hidden="1" customHeight="1" x14ac:dyDescent="0.2">
      <c r="A33" s="544"/>
      <c r="B33" s="544"/>
      <c r="C33" s="548"/>
      <c r="D33" s="548" t="s">
        <v>365</v>
      </c>
      <c r="E33" s="548"/>
      <c r="F33" s="548"/>
      <c r="G33"/>
    </row>
    <row r="34" spans="1:7" ht="12.75" hidden="1" customHeight="1" x14ac:dyDescent="0.2">
      <c r="A34" s="544"/>
      <c r="B34" s="544"/>
      <c r="C34" s="548"/>
      <c r="D34" s="548" t="s">
        <v>366</v>
      </c>
      <c r="E34" s="548"/>
      <c r="F34" s="548"/>
      <c r="G34"/>
    </row>
    <row r="35" spans="1:7" ht="12.75" hidden="1" customHeight="1" x14ac:dyDescent="0.2">
      <c r="A35" s="544"/>
      <c r="B35" s="544"/>
      <c r="C35" s="548"/>
      <c r="D35" s="548" t="s">
        <v>367</v>
      </c>
      <c r="E35" s="548"/>
      <c r="F35" s="548"/>
      <c r="G35"/>
    </row>
    <row r="36" spans="1:7" ht="12.75" hidden="1" customHeight="1" x14ac:dyDescent="0.2">
      <c r="A36" s="543" t="s">
        <v>200</v>
      </c>
      <c r="B36" s="543"/>
      <c r="C36" s="548"/>
      <c r="D36" s="548" t="s">
        <v>374</v>
      </c>
      <c r="E36" s="548"/>
      <c r="F36" s="548" t="s">
        <v>202</v>
      </c>
      <c r="G36"/>
    </row>
    <row r="37" spans="1:7" ht="12.75" hidden="1" customHeight="1" x14ac:dyDescent="0.2">
      <c r="A37" s="543" t="s">
        <v>203</v>
      </c>
      <c r="B37" s="543"/>
      <c r="C37" s="548"/>
      <c r="D37" s="548" t="s">
        <v>369</v>
      </c>
      <c r="E37" s="548"/>
      <c r="F37" s="548" t="s">
        <v>204</v>
      </c>
      <c r="G37"/>
    </row>
    <row r="38" spans="1:7" ht="15" hidden="1" customHeight="1" x14ac:dyDescent="0.2">
      <c r="A38" s="546" t="s">
        <v>205</v>
      </c>
      <c r="B38" s="546"/>
      <c r="C38" s="548"/>
      <c r="D38" s="548" t="s">
        <v>227</v>
      </c>
      <c r="E38" s="548" t="s">
        <v>325</v>
      </c>
      <c r="F38" s="548" t="s">
        <v>207</v>
      </c>
      <c r="G38"/>
    </row>
    <row r="39" spans="1:7" ht="12.75" hidden="1" customHeight="1" x14ac:dyDescent="0.2">
      <c r="A39" s="544"/>
      <c r="B39" s="548"/>
      <c r="C39" s="548"/>
      <c r="D39" s="548"/>
      <c r="E39" s="548"/>
      <c r="F39" s="548"/>
      <c r="G39"/>
    </row>
    <row r="40" spans="1:7" ht="12.75" hidden="1" customHeight="1" x14ac:dyDescent="0.2">
      <c r="A40" s="544" t="s">
        <v>208</v>
      </c>
      <c r="B40" s="548"/>
      <c r="C40" s="548"/>
      <c r="D40" s="548">
        <v>3511291</v>
      </c>
      <c r="E40" s="548"/>
      <c r="F40" s="548">
        <f t="shared" ref="F40:F46" si="0">ROUND(D40/D$48,4)</f>
        <v>0.5907</v>
      </c>
      <c r="G40"/>
    </row>
    <row r="41" spans="1:7" ht="12.75" hidden="1" customHeight="1" x14ac:dyDescent="0.2">
      <c r="A41" s="544" t="s">
        <v>209</v>
      </c>
      <c r="B41" s="548"/>
      <c r="C41" s="548"/>
      <c r="D41" s="548">
        <v>941329</v>
      </c>
      <c r="E41" s="548"/>
      <c r="F41" s="548">
        <f t="shared" si="0"/>
        <v>0.1583</v>
      </c>
      <c r="G41"/>
    </row>
    <row r="42" spans="1:7" ht="12.75" hidden="1" customHeight="1" x14ac:dyDescent="0.2">
      <c r="A42" s="544" t="s">
        <v>210</v>
      </c>
      <c r="B42" s="548"/>
      <c r="C42" s="548"/>
      <c r="D42" s="548">
        <v>191461</v>
      </c>
      <c r="E42" s="548"/>
      <c r="F42" s="548">
        <f t="shared" si="0"/>
        <v>3.2199999999999999E-2</v>
      </c>
      <c r="G42"/>
    </row>
    <row r="43" spans="1:7" ht="12.75" hidden="1" customHeight="1" x14ac:dyDescent="0.2">
      <c r="A43" s="544" t="s">
        <v>375</v>
      </c>
      <c r="B43" s="548"/>
      <c r="C43" s="548"/>
      <c r="D43" s="548">
        <v>42532</v>
      </c>
      <c r="E43" s="548"/>
      <c r="F43" s="548">
        <f t="shared" si="0"/>
        <v>7.1999999999999998E-3</v>
      </c>
      <c r="G43"/>
    </row>
    <row r="44" spans="1:7" ht="12.75" hidden="1" customHeight="1" x14ac:dyDescent="0.2">
      <c r="A44" s="544" t="s">
        <v>215</v>
      </c>
      <c r="B44" s="548"/>
      <c r="C44" s="548"/>
      <c r="D44" s="548">
        <v>62932</v>
      </c>
      <c r="E44" s="548"/>
      <c r="F44" s="548">
        <f t="shared" si="0"/>
        <v>1.06E-2</v>
      </c>
      <c r="G44"/>
    </row>
    <row r="45" spans="1:7" ht="12.75" hidden="1" customHeight="1" x14ac:dyDescent="0.2">
      <c r="A45" s="544" t="s">
        <v>216</v>
      </c>
      <c r="B45" s="548"/>
      <c r="C45" s="548"/>
      <c r="D45" s="548">
        <v>229566</v>
      </c>
      <c r="E45" s="548"/>
      <c r="F45" s="548">
        <f t="shared" si="0"/>
        <v>3.8600000000000002E-2</v>
      </c>
      <c r="G45"/>
    </row>
    <row r="46" spans="1:7" ht="12.75" hidden="1" customHeight="1" x14ac:dyDescent="0.2">
      <c r="A46" s="544" t="s">
        <v>217</v>
      </c>
      <c r="B46" s="548"/>
      <c r="C46" s="548"/>
      <c r="D46" s="548">
        <v>965510</v>
      </c>
      <c r="E46" s="548"/>
      <c r="F46" s="548">
        <f t="shared" si="0"/>
        <v>0.16239999999999999</v>
      </c>
      <c r="G46"/>
    </row>
    <row r="47" spans="1:7" ht="15" hidden="1" customHeight="1" x14ac:dyDescent="0.2">
      <c r="A47" s="544"/>
      <c r="B47" s="548"/>
      <c r="C47" s="548"/>
      <c r="D47" s="548"/>
      <c r="E47" s="548"/>
      <c r="F47" s="548"/>
      <c r="G47"/>
    </row>
    <row r="48" spans="1:7" ht="15" hidden="1" customHeight="1" x14ac:dyDescent="0.2">
      <c r="A48" s="544" t="s">
        <v>218</v>
      </c>
      <c r="B48" s="548"/>
      <c r="C48" s="548"/>
      <c r="D48" s="548">
        <f>SUM(D40:D47)</f>
        <v>5944621</v>
      </c>
      <c r="E48" s="548"/>
      <c r="F48" s="548">
        <f>SUM(F40:F47)</f>
        <v>1</v>
      </c>
      <c r="G48"/>
    </row>
    <row r="49" spans="1:7" x14ac:dyDescent="0.2">
      <c r="A49" s="544"/>
      <c r="B49" s="544"/>
      <c r="C49" s="548"/>
      <c r="D49" s="548"/>
      <c r="E49" s="548"/>
      <c r="F49" s="548"/>
      <c r="G49"/>
    </row>
    <row r="50" spans="1:7" x14ac:dyDescent="0.2">
      <c r="A50" s="544" t="s">
        <v>952</v>
      </c>
      <c r="B50" s="544"/>
      <c r="C50" s="544"/>
      <c r="D50" s="544"/>
      <c r="E50" s="544"/>
      <c r="F50" s="544"/>
    </row>
    <row r="51" spans="1:7" x14ac:dyDescent="0.2">
      <c r="A51" s="544" t="s">
        <v>953</v>
      </c>
      <c r="B51" s="544"/>
      <c r="C51" s="544"/>
      <c r="D51" s="544"/>
      <c r="E51" s="544"/>
      <c r="F51" s="544"/>
    </row>
    <row r="52" spans="1:7" x14ac:dyDescent="0.2">
      <c r="A52" s="544" t="s">
        <v>954</v>
      </c>
      <c r="B52" s="544"/>
      <c r="C52" s="544"/>
      <c r="D52" s="544"/>
      <c r="E52" s="544"/>
      <c r="F52" s="544"/>
    </row>
    <row r="53" spans="1:7" x14ac:dyDescent="0.2">
      <c r="A53" s="544"/>
      <c r="B53" s="544"/>
      <c r="C53" s="544"/>
      <c r="D53" s="544"/>
      <c r="E53" s="544"/>
      <c r="F53" s="544"/>
    </row>
    <row r="54" spans="1:7" ht="33" customHeight="1" x14ac:dyDescent="0.2">
      <c r="A54" s="848" t="s">
        <v>376</v>
      </c>
      <c r="B54" s="848"/>
      <c r="C54" s="848"/>
      <c r="D54" s="848"/>
      <c r="E54" s="848"/>
      <c r="F54" s="848"/>
    </row>
    <row r="55" spans="1:7" ht="9.75" customHeight="1" x14ac:dyDescent="0.2">
      <c r="A55" s="544"/>
      <c r="B55" s="544"/>
      <c r="C55" s="544"/>
      <c r="D55" s="544"/>
      <c r="E55" s="544"/>
      <c r="F55" s="544"/>
    </row>
    <row r="56" spans="1:7" x14ac:dyDescent="0.2">
      <c r="A56" s="544"/>
      <c r="B56" s="544"/>
      <c r="C56" s="544"/>
      <c r="D56" s="545" t="s">
        <v>365</v>
      </c>
      <c r="E56" s="544"/>
      <c r="F56" s="544"/>
    </row>
    <row r="57" spans="1:7" x14ac:dyDescent="0.2">
      <c r="A57" s="544"/>
      <c r="B57" s="544"/>
      <c r="C57" s="544"/>
      <c r="D57" s="545" t="s">
        <v>446</v>
      </c>
      <c r="E57" s="544"/>
      <c r="F57" s="544"/>
    </row>
    <row r="58" spans="1:7" x14ac:dyDescent="0.2">
      <c r="A58" s="543" t="s">
        <v>200</v>
      </c>
      <c r="B58" s="543"/>
      <c r="C58" s="544"/>
      <c r="D58" s="545" t="s">
        <v>374</v>
      </c>
      <c r="E58" s="544"/>
      <c r="F58" s="545" t="s">
        <v>202</v>
      </c>
    </row>
    <row r="59" spans="1:7" x14ac:dyDescent="0.2">
      <c r="A59" s="543" t="s">
        <v>203</v>
      </c>
      <c r="B59" s="543"/>
      <c r="C59" s="544"/>
      <c r="D59" s="545" t="s">
        <v>369</v>
      </c>
      <c r="E59" s="544"/>
      <c r="F59" s="545" t="s">
        <v>204</v>
      </c>
    </row>
    <row r="60" spans="1:7" x14ac:dyDescent="0.2">
      <c r="A60" s="546" t="s">
        <v>205</v>
      </c>
      <c r="B60" s="546"/>
      <c r="C60" s="544"/>
      <c r="D60" s="547" t="s">
        <v>227</v>
      </c>
      <c r="E60" s="544" t="s">
        <v>325</v>
      </c>
      <c r="F60" s="547" t="s">
        <v>207</v>
      </c>
    </row>
    <row r="61" spans="1:7" ht="10.7" customHeight="1" x14ac:dyDescent="0.2">
      <c r="A61" s="544"/>
      <c r="B61" s="548"/>
      <c r="C61" s="544"/>
      <c r="D61" s="544"/>
      <c r="E61" s="544"/>
      <c r="F61" s="549"/>
    </row>
    <row r="62" spans="1:7" x14ac:dyDescent="0.2">
      <c r="A62" s="544" t="s">
        <v>208</v>
      </c>
      <c r="B62" s="548"/>
      <c r="C62" s="544"/>
      <c r="D62" s="584">
        <f>+'COS 1'!L362</f>
        <v>439609.41552021337</v>
      </c>
      <c r="E62" s="544"/>
      <c r="F62" s="549">
        <f>+'COS 1'!L363</f>
        <v>0.60470000000000002</v>
      </c>
    </row>
    <row r="63" spans="1:7" x14ac:dyDescent="0.2">
      <c r="A63" s="544" t="s">
        <v>209</v>
      </c>
      <c r="B63" s="548"/>
      <c r="C63" s="544"/>
      <c r="D63" s="585">
        <f>+'COS 1'!N362</f>
        <v>116585.6672638052</v>
      </c>
      <c r="E63" s="544"/>
      <c r="F63" s="549">
        <f>+'COS 1'!N363</f>
        <v>0.1603</v>
      </c>
    </row>
    <row r="64" spans="1:7" x14ac:dyDescent="0.2">
      <c r="A64" s="544" t="s">
        <v>210</v>
      </c>
      <c r="B64" s="548"/>
      <c r="C64" s="544"/>
      <c r="D64" s="585">
        <f>+'COS 1'!P362</f>
        <v>10887.416191711582</v>
      </c>
      <c r="E64" s="544"/>
      <c r="F64" s="549">
        <f>+'COS 1'!P363</f>
        <v>1.4999999999999999E-2</v>
      </c>
    </row>
    <row r="65" spans="1:6" x14ac:dyDescent="0.2">
      <c r="A65" s="544" t="s">
        <v>214</v>
      </c>
      <c r="B65" s="548"/>
      <c r="C65" s="544"/>
      <c r="D65" s="585">
        <f>+'COS 1'!R362</f>
        <v>25756.491190315646</v>
      </c>
      <c r="E65" s="544"/>
      <c r="F65" s="549">
        <f>+'COS 1'!R363</f>
        <v>3.5400000000000001E-2</v>
      </c>
    </row>
    <row r="66" spans="1:6" x14ac:dyDescent="0.2">
      <c r="A66" s="544" t="s">
        <v>333</v>
      </c>
      <c r="B66" s="548"/>
      <c r="C66" s="544"/>
      <c r="D66" s="585">
        <f>+'COS 1'!T362</f>
        <v>1906.9798408093775</v>
      </c>
      <c r="E66" s="544"/>
      <c r="F66" s="549">
        <f>+'COS 1'!T363</f>
        <v>2.5999999999999999E-3</v>
      </c>
    </row>
    <row r="67" spans="1:6" x14ac:dyDescent="0.2">
      <c r="A67" s="544" t="s">
        <v>216</v>
      </c>
      <c r="B67" s="548"/>
      <c r="C67" s="544"/>
      <c r="D67" s="585">
        <f>+'COS 1'!V362</f>
        <v>28973.118785156152</v>
      </c>
      <c r="E67" s="544"/>
      <c r="F67" s="549">
        <f>+'COS 1'!V363</f>
        <v>3.9800000000000002E-2</v>
      </c>
    </row>
    <row r="68" spans="1:6" x14ac:dyDescent="0.2">
      <c r="A68" s="544" t="s">
        <v>217</v>
      </c>
      <c r="B68" s="548"/>
      <c r="C68" s="544"/>
      <c r="D68" s="585">
        <f>+'COS 1'!X362</f>
        <v>103436.95930460458</v>
      </c>
      <c r="E68" s="544"/>
      <c r="F68" s="549">
        <f>+'COS 1'!X363</f>
        <v>0.14219999999999999</v>
      </c>
    </row>
    <row r="69" spans="1:6" ht="7.9" customHeight="1" x14ac:dyDescent="0.2">
      <c r="A69" s="544"/>
      <c r="B69" s="548"/>
      <c r="C69" s="544"/>
      <c r="D69" s="553"/>
      <c r="E69" s="544"/>
      <c r="F69" s="554"/>
    </row>
    <row r="70" spans="1:6" ht="15.75" thickBot="1" x14ac:dyDescent="0.25">
      <c r="A70" s="544" t="s">
        <v>218</v>
      </c>
      <c r="B70" s="548"/>
      <c r="C70" s="544"/>
      <c r="D70" s="555">
        <f>SUM(D62:D69)</f>
        <v>727156.04809661594</v>
      </c>
      <c r="E70" s="544"/>
      <c r="F70" s="588">
        <f>SUM(F62:F69)</f>
        <v>1</v>
      </c>
    </row>
    <row r="71" spans="1:6" ht="15.75" thickTop="1" x14ac:dyDescent="0.2">
      <c r="A71" s="544"/>
      <c r="B71" s="544"/>
      <c r="C71" s="544"/>
      <c r="D71" s="556"/>
      <c r="E71" s="557"/>
      <c r="F71" s="581"/>
    </row>
  </sheetData>
  <mergeCells count="4">
    <mergeCell ref="A54:F54"/>
    <mergeCell ref="A8:F8"/>
    <mergeCell ref="A1:F1"/>
    <mergeCell ref="A3:F3"/>
  </mergeCells>
  <phoneticPr fontId="14" type="noConversion"/>
  <printOptions horizontalCentered="1"/>
  <pageMargins left="0.7" right="0.7" top="0.75" bottom="0.75" header="0.3" footer="0.3"/>
  <pageSetup fitToHeight="0" orientation="portrait" r:id="rId1"/>
  <headerFooter>
    <oddHeader>&amp;R&amp;9KAW_R_PSCDR1_NUM014_Attachment 1
Case No. 2015-00418
Page &amp;P of &amp;N</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7"/>
  <sheetViews>
    <sheetView tabSelected="1" view="pageLayout" zoomScaleNormal="100" workbookViewId="0">
      <selection activeCell="M516" sqref="M516"/>
    </sheetView>
  </sheetViews>
  <sheetFormatPr defaultColWidth="9.77734375" defaultRowHeight="15" x14ac:dyDescent="0.2"/>
  <cols>
    <col min="1" max="1" width="12.77734375" style="16" customWidth="1"/>
    <col min="2" max="2" width="10.33203125" style="16" customWidth="1"/>
    <col min="3" max="3" width="12.6640625" style="16" customWidth="1"/>
    <col min="4" max="4" width="12.33203125" style="16" customWidth="1"/>
    <col min="5" max="5" width="13.21875" style="16" customWidth="1"/>
    <col min="6" max="6" width="9.88671875" style="16" customWidth="1"/>
    <col min="7" max="16384" width="9.77734375" style="16"/>
  </cols>
  <sheetData>
    <row r="1" spans="1:8" x14ac:dyDescent="0.2">
      <c r="A1" s="15" t="s">
        <v>8</v>
      </c>
      <c r="B1" s="15"/>
      <c r="C1" s="15"/>
      <c r="D1" s="15"/>
      <c r="E1" s="15"/>
      <c r="F1" s="15"/>
      <c r="H1" s="2"/>
    </row>
    <row r="2" spans="1:8" x14ac:dyDescent="0.2">
      <c r="A2" s="1"/>
      <c r="B2" s="1"/>
      <c r="C2" s="15"/>
      <c r="D2" s="15"/>
      <c r="E2" s="15"/>
      <c r="F2" s="15"/>
    </row>
    <row r="3" spans="1:8" x14ac:dyDescent="0.2">
      <c r="A3" s="543" t="s">
        <v>234</v>
      </c>
      <c r="B3" s="543"/>
      <c r="C3" s="543"/>
      <c r="D3" s="543"/>
      <c r="E3" s="543"/>
      <c r="F3" s="543"/>
    </row>
    <row r="4" spans="1:8" x14ac:dyDescent="0.2">
      <c r="A4" s="544"/>
      <c r="B4" s="544"/>
      <c r="C4" s="548"/>
      <c r="D4" s="548"/>
      <c r="E4" s="548"/>
      <c r="F4" s="548"/>
    </row>
    <row r="5" spans="1:8" x14ac:dyDescent="0.2">
      <c r="A5" s="544" t="s">
        <v>162</v>
      </c>
      <c r="B5" s="544"/>
      <c r="C5" s="548"/>
      <c r="D5" s="548"/>
      <c r="E5" s="548"/>
      <c r="F5" s="548"/>
    </row>
    <row r="6" spans="1:8" x14ac:dyDescent="0.2">
      <c r="A6" s="544"/>
      <c r="B6" s="544"/>
      <c r="C6" s="548"/>
      <c r="D6" s="548"/>
      <c r="E6" s="548"/>
      <c r="F6" s="548"/>
    </row>
    <row r="7" spans="1:8" ht="15" customHeight="1" x14ac:dyDescent="0.2">
      <c r="A7" s="848" t="s">
        <v>360</v>
      </c>
      <c r="B7" s="848"/>
      <c r="C7" s="848"/>
      <c r="D7" s="848"/>
      <c r="E7" s="848"/>
      <c r="F7" s="575"/>
    </row>
    <row r="8" spans="1:8" x14ac:dyDescent="0.2">
      <c r="A8" s="544"/>
      <c r="B8" s="544"/>
      <c r="C8" s="548"/>
      <c r="D8" s="548"/>
      <c r="E8" s="548"/>
      <c r="F8" s="548"/>
    </row>
    <row r="9" spans="1:8" x14ac:dyDescent="0.2">
      <c r="A9" s="543" t="s">
        <v>252</v>
      </c>
      <c r="B9" s="543"/>
      <c r="D9" s="545" t="s">
        <v>337</v>
      </c>
      <c r="F9" s="545" t="s">
        <v>202</v>
      </c>
    </row>
    <row r="10" spans="1:8" x14ac:dyDescent="0.2">
      <c r="A10" s="543" t="s">
        <v>203</v>
      </c>
      <c r="B10" s="543"/>
      <c r="D10" s="545" t="s">
        <v>361</v>
      </c>
      <c r="F10" s="545" t="s">
        <v>204</v>
      </c>
    </row>
    <row r="11" spans="1:8" x14ac:dyDescent="0.2">
      <c r="A11" s="546" t="s">
        <v>205</v>
      </c>
      <c r="B11" s="546"/>
      <c r="D11" s="576" t="s">
        <v>227</v>
      </c>
      <c r="F11" s="576" t="s">
        <v>207</v>
      </c>
    </row>
    <row r="12" spans="1:8" ht="12.75" customHeight="1" x14ac:dyDescent="0.2">
      <c r="A12" s="544"/>
      <c r="B12" s="544"/>
      <c r="D12" s="544"/>
      <c r="F12" s="551"/>
    </row>
    <row r="13" spans="1:8" ht="13.35" customHeight="1" x14ac:dyDescent="0.2">
      <c r="A13" s="544" t="s">
        <v>208</v>
      </c>
      <c r="B13" s="544"/>
      <c r="D13" s="552">
        <f>+'Meters &amp; Services'!F21</f>
        <v>116710</v>
      </c>
      <c r="F13" s="551">
        <f t="shared" ref="F13:F19" si="0">ROUND(D13/$D$21,4)</f>
        <v>0.90080000000000005</v>
      </c>
    </row>
    <row r="14" spans="1:8" ht="13.35" customHeight="1" x14ac:dyDescent="0.2">
      <c r="A14" s="544" t="s">
        <v>209</v>
      </c>
      <c r="B14" s="544"/>
      <c r="D14" s="552">
        <f>+'Meters &amp; Services'!J21</f>
        <v>9136</v>
      </c>
      <c r="F14" s="551">
        <f t="shared" si="0"/>
        <v>7.0499999999999993E-2</v>
      </c>
    </row>
    <row r="15" spans="1:8" ht="13.35" customHeight="1" x14ac:dyDescent="0.2">
      <c r="A15" s="544" t="s">
        <v>210</v>
      </c>
      <c r="B15" s="544"/>
      <c r="D15" s="552">
        <f>'Meters &amp; Services'!N21</f>
        <v>52</v>
      </c>
      <c r="F15" s="551">
        <f t="shared" si="0"/>
        <v>4.0000000000000002E-4</v>
      </c>
    </row>
    <row r="16" spans="1:8" ht="13.35" customHeight="1" x14ac:dyDescent="0.2">
      <c r="A16" s="544" t="s">
        <v>214</v>
      </c>
      <c r="B16" s="544"/>
      <c r="D16" s="552">
        <f>'Meters &amp; Services'!R21</f>
        <v>765</v>
      </c>
      <c r="F16" s="551">
        <f t="shared" si="0"/>
        <v>5.8999999999999999E-3</v>
      </c>
    </row>
    <row r="17" spans="1:8" ht="13.35" customHeight="1" x14ac:dyDescent="0.2">
      <c r="A17" s="544" t="s">
        <v>333</v>
      </c>
      <c r="B17" s="544"/>
      <c r="D17" s="552">
        <f>'Meters &amp; Services'!V21</f>
        <v>24</v>
      </c>
      <c r="F17" s="551">
        <f t="shared" si="0"/>
        <v>2.0000000000000001E-4</v>
      </c>
      <c r="G17" s="2"/>
    </row>
    <row r="18" spans="1:8" ht="13.35" customHeight="1" x14ac:dyDescent="0.2">
      <c r="A18" s="544" t="s">
        <v>216</v>
      </c>
      <c r="B18" s="544"/>
      <c r="D18" s="552">
        <f>+Fire!K26</f>
        <v>2836</v>
      </c>
      <c r="F18" s="551">
        <f t="shared" si="0"/>
        <v>2.1899999999999999E-2</v>
      </c>
      <c r="G18" s="2"/>
    </row>
    <row r="19" spans="1:8" ht="13.35" customHeight="1" x14ac:dyDescent="0.2">
      <c r="A19" s="544" t="s">
        <v>217</v>
      </c>
      <c r="B19" s="544"/>
      <c r="D19" s="577">
        <v>38</v>
      </c>
      <c r="F19" s="578">
        <f t="shared" si="0"/>
        <v>2.9999999999999997E-4</v>
      </c>
      <c r="G19" s="55"/>
      <c r="H19" s="54"/>
    </row>
    <row r="20" spans="1:8" x14ac:dyDescent="0.2">
      <c r="A20" s="544"/>
      <c r="B20" s="544"/>
      <c r="D20" s="553"/>
      <c r="F20" s="554"/>
      <c r="G20" s="2"/>
    </row>
    <row r="21" spans="1:8" ht="15.75" thickBot="1" x14ac:dyDescent="0.25">
      <c r="A21" s="544" t="s">
        <v>218</v>
      </c>
      <c r="B21" s="544"/>
      <c r="D21" s="552">
        <f>SUM(D13:D20)</f>
        <v>129561</v>
      </c>
      <c r="F21" s="579">
        <f>SUM(F13:F20)</f>
        <v>1</v>
      </c>
      <c r="G21" s="2"/>
    </row>
    <row r="22" spans="1:8" ht="15.75" thickTop="1" x14ac:dyDescent="0.2">
      <c r="A22" s="544"/>
      <c r="B22" s="544"/>
      <c r="D22" s="580"/>
      <c r="F22" s="581"/>
      <c r="G22" s="2"/>
    </row>
    <row r="23" spans="1:8" x14ac:dyDescent="0.2">
      <c r="A23" s="544"/>
      <c r="B23" s="544"/>
      <c r="C23" s="544"/>
      <c r="D23" s="544"/>
      <c r="E23" s="544"/>
      <c r="F23" s="548"/>
      <c r="G23" s="2"/>
    </row>
    <row r="24" spans="1:8" x14ac:dyDescent="0.2">
      <c r="A24" s="544"/>
      <c r="B24" s="544"/>
      <c r="C24" s="552"/>
      <c r="D24" s="552"/>
      <c r="E24" s="544"/>
      <c r="F24" s="548"/>
      <c r="G24" s="2"/>
    </row>
    <row r="25" spans="1:8" x14ac:dyDescent="0.2">
      <c r="A25" s="544" t="s">
        <v>163</v>
      </c>
      <c r="B25" s="544"/>
      <c r="C25" s="544"/>
      <c r="D25" s="544"/>
      <c r="E25" s="544"/>
      <c r="F25" s="548"/>
      <c r="G25" s="2"/>
    </row>
    <row r="26" spans="1:8" x14ac:dyDescent="0.2">
      <c r="A26" s="544"/>
      <c r="B26" s="544"/>
      <c r="C26" s="544"/>
      <c r="D26" s="544"/>
      <c r="E26" s="544"/>
      <c r="F26" s="548"/>
      <c r="G26" s="2"/>
    </row>
    <row r="27" spans="1:8" x14ac:dyDescent="0.2">
      <c r="A27" s="544" t="s">
        <v>362</v>
      </c>
      <c r="B27" s="544"/>
      <c r="C27" s="544"/>
      <c r="D27" s="544"/>
      <c r="E27" s="544"/>
      <c r="F27" s="548"/>
      <c r="G27" s="2"/>
    </row>
    <row r="28" spans="1:8" x14ac:dyDescent="0.2">
      <c r="A28" s="544"/>
      <c r="B28" s="544"/>
      <c r="C28" s="544"/>
      <c r="D28" s="544"/>
      <c r="E28" s="544"/>
      <c r="F28" s="548"/>
      <c r="G28" s="2"/>
    </row>
    <row r="29" spans="1:8" x14ac:dyDescent="0.2">
      <c r="A29" s="543" t="s">
        <v>252</v>
      </c>
      <c r="B29" s="543"/>
      <c r="D29" s="545" t="s">
        <v>363</v>
      </c>
      <c r="F29" s="545" t="s">
        <v>202</v>
      </c>
      <c r="G29" s="2"/>
    </row>
    <row r="30" spans="1:8" x14ac:dyDescent="0.2">
      <c r="A30" s="543" t="s">
        <v>203</v>
      </c>
      <c r="B30" s="543"/>
      <c r="D30" s="545" t="s">
        <v>361</v>
      </c>
      <c r="F30" s="545" t="s">
        <v>204</v>
      </c>
      <c r="G30" s="2"/>
    </row>
    <row r="31" spans="1:8" x14ac:dyDescent="0.2">
      <c r="A31" s="546" t="s">
        <v>205</v>
      </c>
      <c r="B31" s="546"/>
      <c r="D31" s="576" t="s">
        <v>227</v>
      </c>
      <c r="F31" s="576" t="s">
        <v>207</v>
      </c>
      <c r="G31" s="2"/>
    </row>
    <row r="32" spans="1:8" ht="12.75" customHeight="1" x14ac:dyDescent="0.2">
      <c r="A32" s="544"/>
      <c r="B32" s="544"/>
      <c r="D32" s="544"/>
      <c r="F32" s="544"/>
      <c r="G32" s="2"/>
    </row>
    <row r="33" spans="1:7" ht="13.35" customHeight="1" x14ac:dyDescent="0.2">
      <c r="A33" s="544" t="s">
        <v>208</v>
      </c>
      <c r="B33" s="544"/>
      <c r="D33" s="552">
        <f>D13</f>
        <v>116710</v>
      </c>
      <c r="F33" s="551">
        <f t="shared" ref="F33:F38" si="1">ROUND(D33/$D$40,4)</f>
        <v>0.90900000000000003</v>
      </c>
      <c r="G33" s="2"/>
    </row>
    <row r="34" spans="1:7" ht="13.35" customHeight="1" x14ac:dyDescent="0.2">
      <c r="A34" s="544" t="s">
        <v>209</v>
      </c>
      <c r="B34" s="544"/>
      <c r="D34" s="552">
        <f>D14</f>
        <v>9136</v>
      </c>
      <c r="F34" s="551">
        <f t="shared" si="1"/>
        <v>7.1199999999999999E-2</v>
      </c>
      <c r="G34" s="2"/>
    </row>
    <row r="35" spans="1:7" ht="13.35" customHeight="1" x14ac:dyDescent="0.2">
      <c r="A35" s="544" t="s">
        <v>210</v>
      </c>
      <c r="B35" s="544"/>
      <c r="D35" s="552">
        <f>D15</f>
        <v>52</v>
      </c>
      <c r="F35" s="551">
        <f t="shared" si="1"/>
        <v>4.0000000000000002E-4</v>
      </c>
      <c r="G35" s="2"/>
    </row>
    <row r="36" spans="1:7" ht="13.35" customHeight="1" x14ac:dyDescent="0.2">
      <c r="A36" s="544" t="s">
        <v>214</v>
      </c>
      <c r="B36" s="544"/>
      <c r="D36" s="552">
        <f>D16</f>
        <v>765</v>
      </c>
      <c r="F36" s="551">
        <f t="shared" si="1"/>
        <v>6.0000000000000001E-3</v>
      </c>
      <c r="G36" s="2"/>
    </row>
    <row r="37" spans="1:7" ht="13.35" customHeight="1" x14ac:dyDescent="0.2">
      <c r="A37" s="544" t="s">
        <v>333</v>
      </c>
      <c r="B37" s="544"/>
      <c r="D37" s="552">
        <f>D17</f>
        <v>24</v>
      </c>
      <c r="F37" s="551">
        <f t="shared" si="1"/>
        <v>2.0000000000000001E-4</v>
      </c>
      <c r="G37" s="2"/>
    </row>
    <row r="38" spans="1:7" ht="13.35" customHeight="1" x14ac:dyDescent="0.2">
      <c r="A38" s="544" t="s">
        <v>216</v>
      </c>
      <c r="B38" s="544"/>
      <c r="D38" s="552">
        <f>+SUM(Fire!K15:K23)</f>
        <v>1701</v>
      </c>
      <c r="F38" s="551">
        <f t="shared" si="1"/>
        <v>1.32E-2</v>
      </c>
      <c r="G38" s="2"/>
    </row>
    <row r="39" spans="1:7" x14ac:dyDescent="0.2">
      <c r="A39" s="544"/>
      <c r="B39" s="544"/>
      <c r="D39" s="553"/>
      <c r="F39" s="554"/>
      <c r="G39" s="2"/>
    </row>
    <row r="40" spans="1:7" ht="15.75" thickBot="1" x14ac:dyDescent="0.25">
      <c r="A40" s="544" t="s">
        <v>218</v>
      </c>
      <c r="B40" s="544"/>
      <c r="D40" s="582">
        <f>SUM(D33:D39)</f>
        <v>128388</v>
      </c>
      <c r="F40" s="579">
        <f>SUM(F33:F39)</f>
        <v>1</v>
      </c>
      <c r="G40" s="2"/>
    </row>
    <row r="41" spans="1:7" ht="15.75" thickTop="1" x14ac:dyDescent="0.2">
      <c r="A41" s="548"/>
      <c r="B41" s="548"/>
      <c r="D41" s="583"/>
      <c r="F41" s="581"/>
    </row>
    <row r="42" spans="1:7" x14ac:dyDescent="0.2">
      <c r="A42" s="548"/>
      <c r="B42" s="548"/>
      <c r="C42" s="548"/>
      <c r="D42" s="548"/>
      <c r="E42" s="548"/>
      <c r="F42" s="548"/>
    </row>
    <row r="43" spans="1:7" x14ac:dyDescent="0.2">
      <c r="A43" s="548"/>
      <c r="B43" s="548"/>
      <c r="C43" s="548"/>
      <c r="D43" s="548"/>
      <c r="E43" s="548"/>
      <c r="F43" s="548"/>
    </row>
    <row r="44" spans="1:7" x14ac:dyDescent="0.2">
      <c r="A44" s="548"/>
      <c r="B44" s="548"/>
      <c r="C44" s="548"/>
      <c r="D44" s="548"/>
      <c r="E44" s="548"/>
      <c r="F44" s="548"/>
    </row>
    <row r="45" spans="1:7" x14ac:dyDescent="0.2">
      <c r="A45" s="548"/>
      <c r="B45" s="548"/>
      <c r="C45" s="548"/>
      <c r="D45" s="548"/>
      <c r="E45" s="548"/>
      <c r="F45" s="548"/>
    </row>
    <row r="46" spans="1:7" x14ac:dyDescent="0.2">
      <c r="A46" s="548"/>
      <c r="B46" s="548"/>
      <c r="C46" s="548"/>
      <c r="D46" s="548"/>
      <c r="E46" s="548"/>
      <c r="F46" s="548"/>
    </row>
    <row r="47" spans="1:7" x14ac:dyDescent="0.2">
      <c r="A47" s="548"/>
      <c r="B47" s="548"/>
      <c r="C47" s="548"/>
      <c r="D47" s="548"/>
      <c r="E47" s="548"/>
      <c r="F47" s="548"/>
    </row>
    <row r="48" spans="1:7" x14ac:dyDescent="0.2">
      <c r="A48" s="548"/>
      <c r="B48" s="548"/>
      <c r="C48" s="548"/>
      <c r="D48" s="548"/>
      <c r="E48" s="548"/>
      <c r="F48" s="548"/>
    </row>
    <row r="49" spans="1:6" x14ac:dyDescent="0.2">
      <c r="A49" s="548"/>
      <c r="B49" s="548"/>
      <c r="C49" s="548"/>
      <c r="D49" s="548"/>
      <c r="E49" s="548"/>
      <c r="F49" s="548"/>
    </row>
    <row r="50" spans="1:6" x14ac:dyDescent="0.2">
      <c r="A50" s="548"/>
      <c r="B50" s="548"/>
      <c r="C50" s="548"/>
      <c r="D50" s="548"/>
      <c r="E50" s="548"/>
      <c r="F50" s="548"/>
    </row>
    <row r="51" spans="1:6" x14ac:dyDescent="0.2">
      <c r="A51" s="548"/>
      <c r="B51" s="548"/>
      <c r="C51" s="548"/>
      <c r="D51" s="548"/>
      <c r="E51" s="548"/>
      <c r="F51" s="548"/>
    </row>
    <row r="52" spans="1:6" x14ac:dyDescent="0.2">
      <c r="A52" s="548"/>
      <c r="B52" s="548"/>
      <c r="C52" s="548"/>
      <c r="D52" s="548"/>
      <c r="E52" s="548"/>
      <c r="F52" s="548"/>
    </row>
    <row r="53" spans="1:6" x14ac:dyDescent="0.2">
      <c r="A53" s="548"/>
      <c r="B53" s="548"/>
      <c r="C53" s="548"/>
      <c r="D53" s="548"/>
      <c r="E53" s="548"/>
      <c r="F53" s="548"/>
    </row>
    <row r="54" spans="1:6" x14ac:dyDescent="0.2">
      <c r="A54" s="548"/>
      <c r="B54" s="548"/>
      <c r="C54" s="548"/>
      <c r="D54" s="548"/>
      <c r="E54" s="548"/>
      <c r="F54" s="548"/>
    </row>
    <row r="55" spans="1:6" x14ac:dyDescent="0.2">
      <c r="A55" s="548"/>
      <c r="B55" s="548"/>
      <c r="C55" s="548"/>
      <c r="D55" s="548"/>
      <c r="E55" s="548"/>
      <c r="F55" s="548"/>
    </row>
    <row r="56" spans="1:6" x14ac:dyDescent="0.2">
      <c r="A56" s="548"/>
      <c r="B56" s="548"/>
      <c r="C56" s="548"/>
      <c r="D56" s="548"/>
      <c r="E56" s="548"/>
      <c r="F56" s="548"/>
    </row>
    <row r="57" spans="1:6" x14ac:dyDescent="0.2">
      <c r="A57" s="548"/>
      <c r="B57" s="548"/>
      <c r="C57" s="548"/>
      <c r="D57" s="548"/>
      <c r="E57" s="548"/>
      <c r="F57" s="548"/>
    </row>
    <row r="58" spans="1:6" x14ac:dyDescent="0.2">
      <c r="A58" s="548"/>
      <c r="B58" s="548"/>
      <c r="C58" s="548"/>
      <c r="D58" s="548"/>
      <c r="E58" s="548"/>
      <c r="F58" s="548"/>
    </row>
    <row r="59" spans="1:6" x14ac:dyDescent="0.2">
      <c r="A59" s="548"/>
      <c r="B59" s="548"/>
      <c r="C59" s="548"/>
      <c r="D59" s="548"/>
      <c r="E59" s="548"/>
      <c r="F59" s="548"/>
    </row>
    <row r="60" spans="1:6" x14ac:dyDescent="0.2">
      <c r="A60" s="548"/>
      <c r="B60" s="548"/>
      <c r="C60" s="548"/>
      <c r="D60" s="548"/>
      <c r="E60" s="548"/>
      <c r="F60" s="548"/>
    </row>
    <row r="61" spans="1:6" x14ac:dyDescent="0.2">
      <c r="A61" s="548"/>
      <c r="B61" s="548"/>
      <c r="C61" s="548"/>
      <c r="D61" s="548"/>
      <c r="E61" s="548"/>
      <c r="F61" s="548"/>
    </row>
    <row r="62" spans="1:6" x14ac:dyDescent="0.2">
      <c r="A62" s="548"/>
      <c r="B62" s="548"/>
      <c r="C62" s="548"/>
      <c r="D62" s="548"/>
      <c r="E62" s="548"/>
      <c r="F62" s="548"/>
    </row>
    <row r="63" spans="1:6" x14ac:dyDescent="0.2">
      <c r="A63" s="548"/>
      <c r="B63" s="548"/>
      <c r="C63" s="548"/>
      <c r="D63" s="548"/>
      <c r="E63" s="548"/>
      <c r="F63" s="548"/>
    </row>
    <row r="64" spans="1:6" x14ac:dyDescent="0.2">
      <c r="A64" s="548"/>
      <c r="B64" s="548"/>
      <c r="C64" s="548"/>
      <c r="D64" s="548"/>
      <c r="E64" s="548"/>
      <c r="F64" s="548"/>
    </row>
    <row r="65" spans="1:6" x14ac:dyDescent="0.2">
      <c r="A65" s="548"/>
      <c r="B65" s="548"/>
      <c r="C65" s="548"/>
      <c r="D65" s="548"/>
      <c r="E65" s="548"/>
      <c r="F65" s="548"/>
    </row>
    <row r="66" spans="1:6" x14ac:dyDescent="0.2">
      <c r="A66" s="548"/>
      <c r="B66" s="548"/>
      <c r="C66" s="548"/>
      <c r="D66" s="548"/>
      <c r="E66" s="548"/>
      <c r="F66" s="548"/>
    </row>
    <row r="67" spans="1:6" x14ac:dyDescent="0.2">
      <c r="A67" s="548"/>
      <c r="B67" s="548"/>
      <c r="C67" s="548"/>
      <c r="D67" s="548"/>
      <c r="E67" s="548"/>
      <c r="F67" s="548"/>
    </row>
    <row r="68" spans="1:6" x14ac:dyDescent="0.2">
      <c r="A68" s="548"/>
      <c r="B68" s="548"/>
      <c r="C68" s="548"/>
      <c r="D68" s="548"/>
      <c r="E68" s="548"/>
      <c r="F68" s="548"/>
    </row>
    <row r="69" spans="1:6" x14ac:dyDescent="0.2">
      <c r="A69" s="548"/>
      <c r="B69" s="548"/>
      <c r="C69" s="548"/>
      <c r="D69" s="548"/>
      <c r="E69" s="548"/>
      <c r="F69" s="548"/>
    </row>
    <row r="70" spans="1:6" x14ac:dyDescent="0.2">
      <c r="A70" s="548"/>
      <c r="B70" s="548"/>
      <c r="C70" s="548"/>
      <c r="D70" s="548"/>
      <c r="E70" s="548"/>
      <c r="F70" s="548"/>
    </row>
    <row r="71" spans="1:6" x14ac:dyDescent="0.2">
      <c r="A71" s="548"/>
      <c r="B71" s="548"/>
      <c r="C71" s="548"/>
      <c r="D71" s="548"/>
      <c r="E71" s="548"/>
      <c r="F71" s="548"/>
    </row>
    <row r="72" spans="1:6" x14ac:dyDescent="0.2">
      <c r="A72" s="548"/>
      <c r="B72" s="548"/>
      <c r="C72" s="548"/>
      <c r="D72" s="548"/>
      <c r="E72" s="548"/>
      <c r="F72" s="548"/>
    </row>
    <row r="73" spans="1:6" x14ac:dyDescent="0.2">
      <c r="A73" s="548"/>
      <c r="B73" s="548"/>
      <c r="C73" s="548"/>
      <c r="D73" s="548"/>
      <c r="E73" s="548"/>
      <c r="F73" s="548"/>
    </row>
    <row r="74" spans="1:6" x14ac:dyDescent="0.2">
      <c r="A74" s="548"/>
      <c r="B74" s="548"/>
      <c r="C74" s="548"/>
      <c r="D74" s="548"/>
      <c r="E74" s="548"/>
      <c r="F74" s="548"/>
    </row>
    <row r="75" spans="1:6" x14ac:dyDescent="0.2">
      <c r="A75" s="548"/>
      <c r="B75" s="548"/>
      <c r="C75" s="548"/>
      <c r="D75" s="548"/>
      <c r="E75" s="548"/>
      <c r="F75" s="548"/>
    </row>
    <row r="76" spans="1:6" x14ac:dyDescent="0.2">
      <c r="A76" s="548"/>
      <c r="B76" s="548"/>
      <c r="C76" s="548"/>
      <c r="D76" s="548"/>
      <c r="E76" s="548"/>
      <c r="F76" s="548"/>
    </row>
    <row r="77" spans="1:6" x14ac:dyDescent="0.2">
      <c r="A77" s="548"/>
      <c r="B77" s="548"/>
      <c r="C77" s="548"/>
      <c r="D77" s="548"/>
      <c r="E77" s="548"/>
      <c r="F77" s="548"/>
    </row>
    <row r="78" spans="1:6" x14ac:dyDescent="0.2">
      <c r="A78" s="548"/>
      <c r="B78" s="548"/>
      <c r="C78" s="548"/>
      <c r="D78" s="548"/>
      <c r="E78" s="548"/>
      <c r="F78" s="548"/>
    </row>
    <row r="79" spans="1:6" x14ac:dyDescent="0.2">
      <c r="A79" s="548"/>
      <c r="B79" s="548"/>
      <c r="C79" s="548"/>
      <c r="D79" s="548"/>
      <c r="E79" s="548"/>
      <c r="F79" s="548"/>
    </row>
    <row r="80" spans="1:6" x14ac:dyDescent="0.2">
      <c r="A80" s="548"/>
      <c r="B80" s="548"/>
      <c r="C80" s="548"/>
      <c r="D80" s="548"/>
      <c r="E80" s="548"/>
      <c r="F80" s="548"/>
    </row>
    <row r="81" spans="1:6" x14ac:dyDescent="0.2">
      <c r="A81" s="548"/>
      <c r="B81" s="548"/>
      <c r="C81" s="548"/>
      <c r="D81" s="548"/>
      <c r="E81" s="548"/>
      <c r="F81" s="548"/>
    </row>
    <row r="82" spans="1:6" x14ac:dyDescent="0.2">
      <c r="A82" s="548"/>
      <c r="B82" s="548"/>
      <c r="C82" s="548"/>
      <c r="D82" s="548"/>
      <c r="E82" s="548"/>
      <c r="F82" s="548"/>
    </row>
    <row r="83" spans="1:6" x14ac:dyDescent="0.2">
      <c r="A83" s="548"/>
      <c r="B83" s="548"/>
      <c r="C83" s="548"/>
      <c r="D83" s="548"/>
      <c r="E83" s="548"/>
      <c r="F83" s="548"/>
    </row>
    <row r="84" spans="1:6" x14ac:dyDescent="0.2">
      <c r="A84" s="548"/>
      <c r="B84" s="548"/>
      <c r="C84" s="548"/>
      <c r="D84" s="548"/>
      <c r="E84" s="548"/>
      <c r="F84" s="548"/>
    </row>
    <row r="85" spans="1:6" x14ac:dyDescent="0.2">
      <c r="A85" s="548"/>
      <c r="B85" s="548"/>
      <c r="C85" s="548"/>
      <c r="D85" s="548"/>
      <c r="E85" s="548"/>
      <c r="F85" s="548"/>
    </row>
    <row r="86" spans="1:6" x14ac:dyDescent="0.2">
      <c r="A86" s="548"/>
      <c r="B86" s="548"/>
      <c r="C86" s="548"/>
      <c r="D86" s="548"/>
      <c r="E86" s="548"/>
      <c r="F86" s="548"/>
    </row>
    <row r="87" spans="1:6" x14ac:dyDescent="0.2">
      <c r="A87" s="548"/>
      <c r="B87" s="548"/>
      <c r="C87" s="548"/>
      <c r="D87" s="548"/>
      <c r="E87" s="548"/>
      <c r="F87" s="548"/>
    </row>
    <row r="88" spans="1:6" x14ac:dyDescent="0.2">
      <c r="A88" s="548"/>
      <c r="B88" s="548"/>
      <c r="C88" s="548"/>
      <c r="D88" s="548"/>
      <c r="E88" s="548"/>
      <c r="F88" s="548"/>
    </row>
    <row r="89" spans="1:6" x14ac:dyDescent="0.2">
      <c r="A89" s="548"/>
      <c r="B89" s="548"/>
      <c r="C89" s="548"/>
      <c r="D89" s="548"/>
      <c r="E89" s="548"/>
      <c r="F89" s="548"/>
    </row>
    <row r="90" spans="1:6" x14ac:dyDescent="0.2">
      <c r="A90" s="548"/>
      <c r="B90" s="548"/>
      <c r="C90" s="548"/>
      <c r="D90" s="548"/>
      <c r="E90" s="548"/>
      <c r="F90" s="548"/>
    </row>
    <row r="91" spans="1:6" x14ac:dyDescent="0.2">
      <c r="A91" s="548"/>
      <c r="B91" s="548"/>
      <c r="C91" s="548"/>
      <c r="D91" s="548"/>
      <c r="E91" s="548"/>
      <c r="F91" s="548"/>
    </row>
    <row r="92" spans="1:6" x14ac:dyDescent="0.2">
      <c r="A92" s="548"/>
      <c r="B92" s="548"/>
      <c r="C92" s="548"/>
      <c r="D92" s="548"/>
      <c r="E92" s="548"/>
      <c r="F92" s="548"/>
    </row>
    <row r="93" spans="1:6" x14ac:dyDescent="0.2">
      <c r="A93" s="548"/>
      <c r="B93" s="548"/>
      <c r="C93" s="548"/>
      <c r="D93" s="548"/>
      <c r="E93" s="548"/>
      <c r="F93" s="548"/>
    </row>
    <row r="94" spans="1:6" x14ac:dyDescent="0.2">
      <c r="A94" s="548"/>
      <c r="B94" s="548"/>
      <c r="C94" s="548"/>
      <c r="D94" s="548"/>
      <c r="E94" s="548"/>
      <c r="F94" s="548"/>
    </row>
    <row r="95" spans="1:6" x14ac:dyDescent="0.2">
      <c r="A95" s="548"/>
      <c r="B95" s="548"/>
      <c r="C95" s="548"/>
      <c r="D95" s="548"/>
      <c r="E95" s="548"/>
      <c r="F95" s="548"/>
    </row>
    <row r="96" spans="1:6" x14ac:dyDescent="0.2">
      <c r="A96" s="548"/>
      <c r="B96" s="548"/>
      <c r="C96" s="548"/>
      <c r="D96" s="548"/>
      <c r="E96" s="548"/>
      <c r="F96" s="548"/>
    </row>
    <row r="97" spans="1:6" x14ac:dyDescent="0.2">
      <c r="A97" s="548"/>
      <c r="B97" s="548"/>
      <c r="C97" s="548"/>
      <c r="D97" s="548"/>
      <c r="E97" s="548"/>
      <c r="F97" s="548"/>
    </row>
    <row r="98" spans="1:6" x14ac:dyDescent="0.2">
      <c r="A98" s="548"/>
      <c r="B98" s="548"/>
      <c r="C98" s="548"/>
      <c r="D98" s="548"/>
      <c r="E98" s="548"/>
      <c r="F98" s="548"/>
    </row>
    <row r="99" spans="1:6" x14ac:dyDescent="0.2">
      <c r="A99" s="548"/>
      <c r="B99" s="548"/>
      <c r="C99" s="548"/>
      <c r="D99" s="548"/>
      <c r="E99" s="548"/>
      <c r="F99" s="548"/>
    </row>
    <row r="100" spans="1:6" x14ac:dyDescent="0.2">
      <c r="A100" s="548"/>
      <c r="B100" s="548"/>
      <c r="C100" s="548"/>
      <c r="D100" s="548"/>
      <c r="E100" s="548"/>
      <c r="F100" s="548"/>
    </row>
    <row r="101" spans="1:6" x14ac:dyDescent="0.2">
      <c r="A101" s="548"/>
      <c r="B101" s="548"/>
      <c r="C101" s="548"/>
      <c r="D101" s="548"/>
      <c r="E101" s="548"/>
      <c r="F101" s="548"/>
    </row>
    <row r="102" spans="1:6" x14ac:dyDescent="0.2">
      <c r="A102" s="548"/>
      <c r="B102" s="548"/>
      <c r="C102" s="548"/>
      <c r="D102" s="548"/>
      <c r="E102" s="548"/>
      <c r="F102" s="548"/>
    </row>
    <row r="103" spans="1:6" x14ac:dyDescent="0.2">
      <c r="A103" s="548"/>
      <c r="B103" s="548"/>
      <c r="C103" s="548"/>
      <c r="D103" s="548"/>
      <c r="E103" s="548"/>
      <c r="F103" s="548"/>
    </row>
    <row r="104" spans="1:6" x14ac:dyDescent="0.2">
      <c r="A104" s="548"/>
      <c r="B104" s="548"/>
      <c r="C104" s="548"/>
      <c r="D104" s="548"/>
      <c r="E104" s="548"/>
      <c r="F104" s="548"/>
    </row>
    <row r="105" spans="1:6" x14ac:dyDescent="0.2">
      <c r="A105" s="548"/>
      <c r="B105" s="548"/>
      <c r="C105" s="548"/>
      <c r="D105" s="548"/>
      <c r="E105" s="548"/>
      <c r="F105" s="548"/>
    </row>
    <row r="106" spans="1:6" x14ac:dyDescent="0.2">
      <c r="A106" s="548"/>
      <c r="B106" s="548"/>
      <c r="C106" s="548"/>
      <c r="D106" s="548"/>
      <c r="E106" s="548"/>
      <c r="F106" s="548"/>
    </row>
    <row r="107" spans="1:6" x14ac:dyDescent="0.2">
      <c r="A107" s="548"/>
      <c r="B107" s="548"/>
      <c r="C107" s="548"/>
      <c r="D107" s="548"/>
      <c r="E107" s="548"/>
      <c r="F107" s="548"/>
    </row>
    <row r="108" spans="1:6" x14ac:dyDescent="0.2">
      <c r="A108" s="548"/>
      <c r="B108" s="548"/>
      <c r="C108" s="548"/>
      <c r="D108" s="548"/>
      <c r="E108" s="548"/>
      <c r="F108" s="548"/>
    </row>
    <row r="109" spans="1:6" x14ac:dyDescent="0.2">
      <c r="A109" s="548"/>
      <c r="B109" s="548"/>
      <c r="C109" s="548"/>
      <c r="D109" s="548"/>
      <c r="E109" s="548"/>
      <c r="F109" s="548"/>
    </row>
    <row r="110" spans="1:6" x14ac:dyDescent="0.2">
      <c r="A110" s="548"/>
      <c r="B110" s="548"/>
      <c r="C110" s="548"/>
      <c r="D110" s="548"/>
      <c r="E110" s="548"/>
      <c r="F110" s="548"/>
    </row>
    <row r="111" spans="1:6" x14ac:dyDescent="0.2">
      <c r="A111" s="548"/>
      <c r="B111" s="548"/>
      <c r="C111" s="548"/>
      <c r="D111" s="548"/>
      <c r="E111" s="548"/>
      <c r="F111" s="548"/>
    </row>
    <row r="112" spans="1:6" x14ac:dyDescent="0.2">
      <c r="A112" s="548"/>
      <c r="B112" s="548"/>
      <c r="C112" s="548"/>
      <c r="D112" s="548"/>
      <c r="E112" s="548"/>
      <c r="F112" s="548"/>
    </row>
    <row r="113" spans="1:6" x14ac:dyDescent="0.2">
      <c r="A113" s="548"/>
      <c r="B113" s="548"/>
      <c r="C113" s="548"/>
      <c r="D113" s="548"/>
      <c r="E113" s="548"/>
      <c r="F113" s="548"/>
    </row>
    <row r="114" spans="1:6" x14ac:dyDescent="0.2">
      <c r="A114" s="548"/>
      <c r="B114" s="548"/>
      <c r="C114" s="548"/>
      <c r="D114" s="548"/>
      <c r="E114" s="548"/>
      <c r="F114" s="548"/>
    </row>
    <row r="115" spans="1:6" x14ac:dyDescent="0.2">
      <c r="A115" s="548"/>
      <c r="B115" s="548"/>
      <c r="C115" s="548"/>
      <c r="D115" s="548"/>
      <c r="E115" s="548"/>
      <c r="F115" s="548"/>
    </row>
    <row r="116" spans="1:6" x14ac:dyDescent="0.2">
      <c r="A116" s="548"/>
      <c r="B116" s="548"/>
      <c r="C116" s="548"/>
      <c r="D116" s="548"/>
      <c r="E116" s="548"/>
      <c r="F116" s="548"/>
    </row>
    <row r="117" spans="1:6" x14ac:dyDescent="0.2">
      <c r="A117" s="548"/>
      <c r="B117" s="548"/>
      <c r="C117" s="548"/>
      <c r="D117" s="548"/>
      <c r="E117" s="548"/>
      <c r="F117" s="548"/>
    </row>
  </sheetData>
  <mergeCells count="1">
    <mergeCell ref="A7:E7"/>
  </mergeCells>
  <phoneticPr fontId="14" type="noConversion"/>
  <printOptions horizontalCentered="1"/>
  <pageMargins left="0.7" right="0.7" top="0.75" bottom="0.75" header="0.3" footer="0.3"/>
  <pageSetup fitToHeight="0" orientation="portrait" r:id="rId1"/>
  <headerFooter>
    <oddHeader>&amp;R&amp;9KAW_R_PSCDR1_NUM014_Attachment 1
Case No. 2015-00418
Page &amp;P of &amp;N</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152"/>
  <sheetViews>
    <sheetView tabSelected="1" view="pageLayout" zoomScaleNormal="100" workbookViewId="0">
      <selection activeCell="M516" sqref="M516"/>
    </sheetView>
  </sheetViews>
  <sheetFormatPr defaultColWidth="9.77734375" defaultRowHeight="15" x14ac:dyDescent="0.2"/>
  <cols>
    <col min="1" max="1" width="7.77734375" style="16" customWidth="1"/>
    <col min="2" max="2" width="12.21875" style="16" customWidth="1"/>
    <col min="3" max="3" width="14" style="16" customWidth="1"/>
    <col min="4" max="4" width="11.77734375" style="16" customWidth="1"/>
    <col min="5" max="5" width="13" style="16" customWidth="1"/>
    <col min="6" max="6" width="11.77734375" style="16" customWidth="1"/>
    <col min="7" max="7" width="9.77734375" style="16" customWidth="1"/>
    <col min="8" max="9" width="7.77734375" style="16" customWidth="1"/>
    <col min="10" max="10" width="14.77734375" style="16" customWidth="1"/>
    <col min="11" max="11" width="10.77734375" style="16" customWidth="1"/>
    <col min="12" max="12" width="14.77734375" style="16" customWidth="1"/>
    <col min="13" max="13" width="8.77734375" style="16" customWidth="1"/>
    <col min="14" max="14" width="6.77734375" style="16" customWidth="1"/>
    <col min="15" max="15" width="9.77734375" style="16" customWidth="1"/>
    <col min="16" max="17" width="7.77734375" style="16" customWidth="1"/>
    <col min="18" max="18" width="14.77734375" style="16" customWidth="1"/>
    <col min="19" max="19" width="10.77734375" style="16" customWidth="1"/>
    <col min="20" max="20" width="14.77734375" style="16" customWidth="1"/>
    <col min="21" max="21" width="8.77734375" style="16" customWidth="1"/>
    <col min="22" max="22" width="5.77734375" style="16" customWidth="1"/>
    <col min="23" max="16384" width="9.77734375" style="16"/>
  </cols>
  <sheetData>
    <row r="1" spans="1:23" x14ac:dyDescent="0.2">
      <c r="A1" s="15" t="s">
        <v>8</v>
      </c>
      <c r="B1" s="1"/>
      <c r="C1" s="1"/>
      <c r="D1" s="1"/>
      <c r="E1" s="1"/>
      <c r="F1" s="1"/>
      <c r="G1" s="2"/>
      <c r="H1" s="2"/>
      <c r="I1" s="2"/>
      <c r="J1" s="2"/>
      <c r="K1" s="2"/>
      <c r="L1" s="2"/>
      <c r="M1" s="2"/>
      <c r="N1" s="2"/>
      <c r="O1" s="2"/>
      <c r="P1" s="2"/>
      <c r="Q1" s="2"/>
      <c r="R1" s="2"/>
      <c r="S1" s="2"/>
      <c r="T1" s="2"/>
      <c r="U1" s="2"/>
      <c r="V1" s="2"/>
      <c r="W1" s="2"/>
    </row>
    <row r="2" spans="1:23" x14ac:dyDescent="0.2">
      <c r="A2" s="1"/>
      <c r="B2" s="1"/>
      <c r="C2" s="1"/>
      <c r="D2" s="1"/>
      <c r="E2" s="1"/>
      <c r="F2" s="1"/>
      <c r="G2" s="2"/>
      <c r="H2" s="2"/>
      <c r="I2" s="2"/>
      <c r="J2" s="2"/>
      <c r="K2" s="2"/>
      <c r="L2" s="2"/>
      <c r="M2" s="2"/>
      <c r="N2" s="2"/>
      <c r="O2" s="2"/>
      <c r="P2" s="2"/>
      <c r="Q2" s="2"/>
      <c r="R2" s="2"/>
      <c r="S2" s="2"/>
      <c r="T2" s="2"/>
      <c r="U2" s="2"/>
      <c r="V2" s="2"/>
      <c r="W2" s="2"/>
    </row>
    <row r="3" spans="1:23" x14ac:dyDescent="0.2">
      <c r="A3" s="543" t="s">
        <v>234</v>
      </c>
      <c r="B3" s="543"/>
      <c r="C3" s="543"/>
      <c r="D3" s="543"/>
      <c r="E3" s="543"/>
      <c r="F3" s="543"/>
      <c r="G3" s="2"/>
      <c r="H3" s="2"/>
      <c r="I3" s="2"/>
      <c r="J3" s="2"/>
      <c r="K3" s="2"/>
      <c r="L3" s="2"/>
      <c r="M3" s="2"/>
      <c r="N3" s="2"/>
      <c r="O3" s="2"/>
      <c r="P3" s="2"/>
      <c r="Q3" s="2"/>
      <c r="R3" s="2"/>
      <c r="S3" s="2"/>
      <c r="T3" s="2"/>
      <c r="U3" s="2"/>
      <c r="V3" s="2"/>
      <c r="W3" s="2"/>
    </row>
    <row r="4" spans="1:23" x14ac:dyDescent="0.2">
      <c r="A4" s="544"/>
      <c r="B4" s="544"/>
      <c r="C4" s="544"/>
      <c r="D4" s="544"/>
      <c r="E4" s="544"/>
      <c r="F4" s="544"/>
      <c r="G4" s="2"/>
      <c r="H4" s="2"/>
      <c r="I4" s="2"/>
      <c r="J4" s="2"/>
      <c r="K4" s="2"/>
      <c r="L4" s="2"/>
      <c r="M4" s="2"/>
      <c r="N4" s="2"/>
      <c r="O4" s="2"/>
      <c r="P4" s="2"/>
      <c r="Q4" s="2"/>
      <c r="R4" s="2"/>
      <c r="S4" s="2"/>
      <c r="T4" s="2"/>
      <c r="U4" s="2"/>
      <c r="V4" s="2"/>
      <c r="W4" s="2"/>
    </row>
    <row r="5" spans="1:23" x14ac:dyDescent="0.2">
      <c r="A5" s="544" t="s">
        <v>3</v>
      </c>
      <c r="B5" s="544"/>
      <c r="C5" s="544"/>
      <c r="D5" s="544"/>
      <c r="E5" s="544"/>
      <c r="F5" s="544"/>
      <c r="G5" s="2"/>
      <c r="H5" s="2"/>
      <c r="I5" s="2"/>
      <c r="J5" s="2"/>
      <c r="K5" s="2"/>
      <c r="L5" s="2"/>
      <c r="M5" s="2"/>
      <c r="N5" s="2"/>
      <c r="O5" s="2"/>
      <c r="P5" s="2"/>
      <c r="Q5" s="2"/>
      <c r="R5" s="2"/>
      <c r="S5" s="2"/>
      <c r="T5" s="2"/>
      <c r="U5" s="2"/>
      <c r="V5" s="2"/>
      <c r="W5" s="2"/>
    </row>
    <row r="6" spans="1:23" x14ac:dyDescent="0.2">
      <c r="A6" s="544"/>
      <c r="B6" s="544"/>
      <c r="C6" s="544"/>
      <c r="D6" s="544"/>
      <c r="E6" s="544"/>
      <c r="F6" s="544"/>
      <c r="G6" s="2"/>
      <c r="H6" s="2"/>
      <c r="I6" s="2"/>
      <c r="J6" s="2"/>
      <c r="K6" s="2"/>
      <c r="L6" s="2"/>
      <c r="M6" s="2"/>
      <c r="N6" s="2"/>
      <c r="O6" s="2"/>
      <c r="P6" s="2"/>
      <c r="Q6" s="2"/>
      <c r="R6" s="2"/>
      <c r="S6" s="2"/>
      <c r="T6" s="2"/>
      <c r="U6" s="2"/>
      <c r="V6" s="2"/>
      <c r="W6" s="2"/>
    </row>
    <row r="7" spans="1:23" ht="29.25" customHeight="1" x14ac:dyDescent="0.2">
      <c r="A7" s="848" t="s">
        <v>447</v>
      </c>
      <c r="B7" s="848"/>
      <c r="C7" s="848"/>
      <c r="D7" s="848"/>
      <c r="E7" s="848"/>
      <c r="F7" s="848"/>
      <c r="G7" s="2"/>
      <c r="H7" s="2"/>
      <c r="I7" s="2"/>
      <c r="J7" s="2"/>
      <c r="K7" s="2"/>
      <c r="L7" s="2"/>
      <c r="M7" s="2"/>
      <c r="N7" s="2"/>
      <c r="O7" s="2"/>
      <c r="P7" s="2"/>
      <c r="Q7" s="2"/>
      <c r="R7" s="2"/>
      <c r="S7" s="2"/>
      <c r="T7" s="2"/>
      <c r="U7" s="2"/>
      <c r="V7" s="2"/>
      <c r="W7" s="2"/>
    </row>
    <row r="8" spans="1:23" x14ac:dyDescent="0.2">
      <c r="A8" s="544"/>
      <c r="B8" s="544"/>
      <c r="C8" s="544"/>
      <c r="D8" s="544"/>
      <c r="E8" s="544"/>
      <c r="F8" s="544"/>
      <c r="G8" s="2"/>
      <c r="H8" s="2"/>
      <c r="I8" s="2"/>
      <c r="J8" s="2"/>
      <c r="K8" s="2"/>
      <c r="L8" s="2"/>
      <c r="M8" s="2"/>
      <c r="N8" s="2"/>
      <c r="O8" s="2"/>
      <c r="P8" s="2"/>
      <c r="Q8" s="2"/>
      <c r="R8" s="2"/>
      <c r="S8" s="2"/>
      <c r="T8" s="2"/>
      <c r="U8" s="2"/>
      <c r="V8" s="2"/>
      <c r="W8" s="2"/>
    </row>
    <row r="9" spans="1:23" x14ac:dyDescent="0.2">
      <c r="A9" s="544"/>
      <c r="B9" s="544"/>
      <c r="C9" s="544"/>
      <c r="D9" s="545" t="s">
        <v>378</v>
      </c>
      <c r="E9" s="545"/>
      <c r="F9" s="545"/>
      <c r="G9" s="2"/>
      <c r="H9" s="2"/>
      <c r="I9" s="2"/>
      <c r="J9" s="2"/>
      <c r="K9" s="2"/>
      <c r="L9" s="2"/>
      <c r="M9" s="2"/>
      <c r="N9" s="2"/>
      <c r="O9" s="2"/>
      <c r="P9" s="2"/>
      <c r="Q9" s="2"/>
      <c r="R9" s="2"/>
      <c r="S9" s="2"/>
      <c r="T9" s="2"/>
      <c r="U9" s="2"/>
      <c r="V9" s="2"/>
      <c r="W9" s="2"/>
    </row>
    <row r="10" spans="1:23" x14ac:dyDescent="0.2">
      <c r="A10" s="543" t="s">
        <v>200</v>
      </c>
      <c r="B10" s="543"/>
      <c r="C10" s="544"/>
      <c r="D10" s="545" t="s">
        <v>374</v>
      </c>
      <c r="E10" s="545"/>
      <c r="F10" s="545" t="s">
        <v>202</v>
      </c>
      <c r="G10" s="2"/>
      <c r="H10" s="2"/>
      <c r="I10" s="2"/>
      <c r="J10" s="2"/>
      <c r="K10" s="2"/>
      <c r="L10" s="2"/>
      <c r="M10" s="2"/>
      <c r="N10" s="2"/>
      <c r="O10" s="2"/>
      <c r="P10" s="2"/>
      <c r="Q10" s="2"/>
      <c r="R10" s="2"/>
      <c r="S10" s="2"/>
      <c r="T10" s="2"/>
      <c r="U10" s="2"/>
      <c r="V10" s="2"/>
      <c r="W10" s="2"/>
    </row>
    <row r="11" spans="1:23" x14ac:dyDescent="0.2">
      <c r="A11" s="543" t="s">
        <v>203</v>
      </c>
      <c r="B11" s="543"/>
      <c r="C11" s="544"/>
      <c r="D11" s="545" t="s">
        <v>369</v>
      </c>
      <c r="E11" s="545"/>
      <c r="F11" s="545" t="s">
        <v>204</v>
      </c>
      <c r="G11" s="2"/>
      <c r="H11" s="2"/>
      <c r="I11" s="2"/>
      <c r="J11" s="2"/>
      <c r="K11" s="2"/>
      <c r="L11" s="2"/>
      <c r="M11" s="2"/>
      <c r="N11" s="2"/>
      <c r="O11" s="2"/>
      <c r="P11" s="2"/>
      <c r="Q11" s="2"/>
      <c r="R11" s="2"/>
      <c r="S11" s="2"/>
      <c r="T11" s="2"/>
      <c r="U11" s="2"/>
      <c r="V11" s="2"/>
      <c r="W11" s="2"/>
    </row>
    <row r="12" spans="1:23" x14ac:dyDescent="0.2">
      <c r="A12" s="546" t="s">
        <v>205</v>
      </c>
      <c r="B12" s="546"/>
      <c r="C12" s="544"/>
      <c r="D12" s="547" t="s">
        <v>227</v>
      </c>
      <c r="E12" s="545" t="s">
        <v>325</v>
      </c>
      <c r="F12" s="547" t="s">
        <v>207</v>
      </c>
      <c r="G12" s="2"/>
      <c r="H12" s="2"/>
      <c r="I12" s="2"/>
      <c r="J12" s="2"/>
      <c r="K12" s="2"/>
      <c r="L12" s="2"/>
      <c r="M12" s="2"/>
      <c r="N12" s="2"/>
      <c r="O12" s="2"/>
      <c r="P12" s="2"/>
      <c r="Q12" s="2"/>
      <c r="R12" s="2"/>
      <c r="S12" s="2"/>
      <c r="T12" s="2"/>
      <c r="U12" s="2"/>
      <c r="V12" s="2"/>
      <c r="W12" s="2"/>
    </row>
    <row r="13" spans="1:23" ht="12.75" customHeight="1" x14ac:dyDescent="0.2">
      <c r="A13" s="544"/>
      <c r="B13" s="548"/>
      <c r="C13" s="544"/>
      <c r="D13" s="544"/>
      <c r="E13" s="544"/>
      <c r="F13" s="549"/>
      <c r="G13" s="2"/>
      <c r="H13" s="2"/>
      <c r="I13" s="2"/>
      <c r="J13" s="2"/>
      <c r="K13" s="2"/>
      <c r="L13" s="2"/>
      <c r="M13" s="2"/>
      <c r="N13" s="2"/>
      <c r="O13" s="2"/>
      <c r="P13" s="2"/>
      <c r="Q13" s="2"/>
      <c r="R13" s="2"/>
      <c r="S13" s="2"/>
      <c r="T13" s="2"/>
      <c r="U13" s="2"/>
      <c r="V13" s="2"/>
      <c r="W13" s="2"/>
    </row>
    <row r="14" spans="1:23" ht="13.35" customHeight="1" x14ac:dyDescent="0.2">
      <c r="A14" s="544" t="s">
        <v>208</v>
      </c>
      <c r="B14" s="548"/>
      <c r="C14" s="544"/>
      <c r="D14" s="550">
        <f>+'COS 1'!L364</f>
        <v>7384255.9617905635</v>
      </c>
      <c r="E14" s="544"/>
      <c r="F14" s="551">
        <f>+'COS 1'!L365</f>
        <v>0.68430000000000002</v>
      </c>
      <c r="G14" s="2"/>
      <c r="H14" s="2"/>
      <c r="I14" s="2"/>
      <c r="J14" s="2"/>
      <c r="K14" s="2"/>
      <c r="L14" s="2"/>
      <c r="M14" s="2"/>
      <c r="N14" s="2"/>
      <c r="O14" s="2"/>
      <c r="P14" s="2"/>
      <c r="Q14" s="2"/>
      <c r="R14" s="2"/>
      <c r="S14" s="2"/>
      <c r="T14" s="2"/>
      <c r="U14" s="2"/>
      <c r="V14" s="2"/>
      <c r="W14" s="2"/>
    </row>
    <row r="15" spans="1:23" ht="13.35" customHeight="1" x14ac:dyDescent="0.2">
      <c r="A15" s="544" t="s">
        <v>209</v>
      </c>
      <c r="B15" s="548"/>
      <c r="C15" s="544"/>
      <c r="D15" s="552">
        <f>+'COS 1'!N364</f>
        <v>1994458.977125067</v>
      </c>
      <c r="E15" s="544"/>
      <c r="F15" s="549">
        <f>+'COS 1'!N365</f>
        <v>0.18490000000000001</v>
      </c>
      <c r="G15" s="2"/>
      <c r="H15" s="2"/>
      <c r="I15" s="2"/>
      <c r="J15" s="2"/>
      <c r="K15" s="2"/>
      <c r="L15" s="2"/>
      <c r="M15" s="2"/>
      <c r="N15" s="2"/>
      <c r="O15" s="2"/>
      <c r="P15" s="2"/>
      <c r="Q15" s="2"/>
      <c r="R15" s="2"/>
      <c r="S15" s="2"/>
      <c r="T15" s="2"/>
      <c r="U15" s="2"/>
      <c r="V15" s="2"/>
      <c r="W15" s="2"/>
    </row>
    <row r="16" spans="1:23" ht="13.35" customHeight="1" x14ac:dyDescent="0.2">
      <c r="A16" s="544" t="s">
        <v>210</v>
      </c>
      <c r="B16" s="548"/>
      <c r="C16" s="544"/>
      <c r="D16" s="552">
        <f>+'COS 1'!P364</f>
        <v>249416.02335752815</v>
      </c>
      <c r="E16" s="544"/>
      <c r="F16" s="549">
        <f>+'COS 1'!P365</f>
        <v>2.3099999999999999E-2</v>
      </c>
      <c r="G16" s="2"/>
      <c r="H16" s="2"/>
      <c r="I16" s="2"/>
      <c r="J16" s="2"/>
      <c r="K16" s="2"/>
      <c r="L16" s="2"/>
      <c r="M16" s="2"/>
      <c r="N16" s="2"/>
      <c r="O16" s="2"/>
      <c r="P16" s="2"/>
      <c r="Q16" s="2"/>
      <c r="R16" s="2"/>
      <c r="S16" s="2"/>
      <c r="T16" s="2"/>
      <c r="U16" s="2"/>
      <c r="V16" s="2"/>
      <c r="W16" s="2"/>
    </row>
    <row r="17" spans="1:23" ht="13.35" customHeight="1" x14ac:dyDescent="0.2">
      <c r="A17" s="544" t="s">
        <v>214</v>
      </c>
      <c r="B17" s="548"/>
      <c r="C17" s="544"/>
      <c r="D17" s="552">
        <f>+'COS 1'!R364</f>
        <v>541499.26887183671</v>
      </c>
      <c r="E17" s="544"/>
      <c r="F17" s="549">
        <f>+'COS 1'!R365</f>
        <v>5.0200000000000002E-2</v>
      </c>
      <c r="G17" s="2"/>
      <c r="H17" s="2"/>
      <c r="I17" s="2"/>
      <c r="J17" s="2"/>
      <c r="K17" s="2"/>
      <c r="L17" s="2"/>
      <c r="M17" s="2"/>
      <c r="N17" s="2"/>
      <c r="O17" s="2"/>
      <c r="P17" s="2"/>
      <c r="Q17" s="2"/>
      <c r="R17" s="2"/>
      <c r="S17" s="2"/>
      <c r="T17" s="2"/>
      <c r="U17" s="2"/>
      <c r="V17" s="2"/>
      <c r="W17" s="2"/>
    </row>
    <row r="18" spans="1:23" ht="13.35" customHeight="1" x14ac:dyDescent="0.2">
      <c r="A18" s="544" t="s">
        <v>333</v>
      </c>
      <c r="B18" s="548"/>
      <c r="C18" s="544"/>
      <c r="D18" s="552">
        <f>+'COS 1'!T364</f>
        <v>139894.74815115388</v>
      </c>
      <c r="E18" s="544"/>
      <c r="F18" s="549">
        <f>+'COS 1'!T365</f>
        <v>1.2999999999999999E-2</v>
      </c>
      <c r="G18" s="2"/>
      <c r="H18" s="2"/>
      <c r="I18" s="2"/>
      <c r="J18" s="2"/>
      <c r="K18" s="2"/>
      <c r="L18" s="2"/>
      <c r="M18" s="2"/>
      <c r="N18" s="2"/>
      <c r="O18" s="2"/>
      <c r="P18" s="2"/>
      <c r="Q18" s="2"/>
      <c r="R18" s="2"/>
      <c r="S18" s="2"/>
      <c r="T18" s="2"/>
      <c r="U18" s="2"/>
      <c r="V18" s="2"/>
      <c r="W18" s="2"/>
    </row>
    <row r="19" spans="1:23" ht="13.35" customHeight="1" x14ac:dyDescent="0.2">
      <c r="A19" s="544" t="s">
        <v>216</v>
      </c>
      <c r="B19" s="548"/>
      <c r="C19" s="544"/>
      <c r="D19" s="552">
        <f>+'COS 1'!V364</f>
        <v>173534.62213794517</v>
      </c>
      <c r="E19" s="544"/>
      <c r="F19" s="549">
        <f>+'COS 1'!V365</f>
        <v>1.61E-2</v>
      </c>
      <c r="G19" s="2"/>
      <c r="H19" s="2"/>
      <c r="I19" s="2"/>
      <c r="J19" s="2"/>
      <c r="K19" s="2"/>
      <c r="L19" s="2"/>
      <c r="M19" s="2"/>
      <c r="N19" s="2"/>
      <c r="O19" s="2"/>
      <c r="P19" s="2"/>
      <c r="Q19" s="2"/>
      <c r="R19" s="2"/>
      <c r="S19" s="2"/>
      <c r="T19" s="2"/>
      <c r="U19" s="2"/>
      <c r="V19" s="2"/>
      <c r="W19" s="2"/>
    </row>
    <row r="20" spans="1:23" ht="13.35" customHeight="1" x14ac:dyDescent="0.2">
      <c r="A20" s="544" t="s">
        <v>217</v>
      </c>
      <c r="B20" s="548"/>
      <c r="C20" s="544"/>
      <c r="D20" s="552">
        <f>+'COS 1'!X364</f>
        <v>305986.96223757992</v>
      </c>
      <c r="E20" s="544"/>
      <c r="F20" s="549">
        <f>+'COS 1'!X365</f>
        <v>2.8400000000000002E-2</v>
      </c>
      <c r="G20" s="2"/>
      <c r="H20" s="2"/>
      <c r="I20" s="2"/>
      <c r="J20" s="2"/>
      <c r="K20" s="2"/>
      <c r="L20" s="2"/>
      <c r="M20" s="2"/>
      <c r="N20" s="2"/>
      <c r="O20" s="2"/>
      <c r="P20" s="2"/>
      <c r="Q20" s="2"/>
      <c r="R20" s="2"/>
      <c r="S20" s="2"/>
      <c r="T20" s="2"/>
      <c r="U20" s="2"/>
      <c r="V20" s="2"/>
      <c r="W20" s="2"/>
    </row>
    <row r="21" spans="1:23" x14ac:dyDescent="0.2">
      <c r="A21" s="544"/>
      <c r="B21" s="548"/>
      <c r="C21" s="544"/>
      <c r="D21" s="553"/>
      <c r="E21" s="544"/>
      <c r="F21" s="554"/>
      <c r="G21" s="2"/>
      <c r="H21" s="2"/>
      <c r="I21" s="2"/>
      <c r="J21" s="2"/>
      <c r="K21" s="2"/>
      <c r="L21" s="2"/>
      <c r="M21" s="2"/>
      <c r="N21" s="2"/>
      <c r="O21" s="2"/>
      <c r="P21" s="2"/>
      <c r="Q21" s="2"/>
      <c r="R21" s="2"/>
      <c r="S21" s="2"/>
      <c r="T21" s="2"/>
      <c r="U21" s="2"/>
      <c r="V21" s="2"/>
      <c r="W21" s="2"/>
    </row>
    <row r="22" spans="1:23" ht="15.75" thickBot="1" x14ac:dyDescent="0.25">
      <c r="A22" s="544" t="s">
        <v>218</v>
      </c>
      <c r="B22" s="548"/>
      <c r="C22" s="544"/>
      <c r="D22" s="555">
        <f>SUM(D14:D21)</f>
        <v>10789046.563671673</v>
      </c>
      <c r="E22" s="544"/>
      <c r="F22" s="549">
        <f>SUM(F14:F21)</f>
        <v>1</v>
      </c>
      <c r="G22" s="2"/>
      <c r="H22" s="2"/>
      <c r="I22" s="2"/>
      <c r="J22" s="2"/>
      <c r="K22" s="2"/>
      <c r="L22" s="2"/>
      <c r="M22" s="2"/>
      <c r="N22" s="2"/>
      <c r="O22" s="2"/>
      <c r="P22" s="2"/>
      <c r="Q22" s="2"/>
      <c r="R22" s="2"/>
      <c r="S22" s="2"/>
      <c r="T22" s="2"/>
      <c r="U22" s="2"/>
      <c r="V22" s="2"/>
      <c r="W22" s="2"/>
    </row>
    <row r="23" spans="1:23" ht="15.75" thickTop="1" x14ac:dyDescent="0.2">
      <c r="A23" s="2"/>
      <c r="B23" s="2"/>
      <c r="C23" s="2"/>
      <c r="D23" s="88"/>
      <c r="E23" s="11"/>
      <c r="F23" s="6"/>
      <c r="G23" s="2"/>
      <c r="H23" s="2"/>
      <c r="I23" s="2"/>
      <c r="J23" s="2"/>
      <c r="K23" s="2"/>
      <c r="L23" s="2"/>
      <c r="M23" s="2"/>
      <c r="N23" s="2"/>
      <c r="O23" s="2"/>
      <c r="P23" s="2"/>
      <c r="Q23" s="2"/>
      <c r="R23" s="2"/>
      <c r="S23" s="2"/>
      <c r="T23" s="2"/>
      <c r="U23" s="2"/>
      <c r="V23" s="2"/>
      <c r="W23" s="2"/>
    </row>
    <row r="24" spans="1:23" x14ac:dyDescent="0.2">
      <c r="A24" s="544" t="s">
        <v>2</v>
      </c>
      <c r="B24" s="544"/>
      <c r="C24" s="544"/>
      <c r="D24" s="544"/>
      <c r="E24" s="544"/>
      <c r="F24" s="544"/>
      <c r="G24" s="2"/>
      <c r="H24" s="2"/>
      <c r="I24" s="2"/>
      <c r="J24" s="2"/>
      <c r="K24" s="2"/>
      <c r="L24" s="2"/>
      <c r="M24" s="2"/>
      <c r="N24" s="2"/>
      <c r="O24" s="2"/>
      <c r="P24" s="2"/>
      <c r="Q24" s="2"/>
      <c r="R24" s="2"/>
      <c r="S24" s="2"/>
      <c r="T24" s="2"/>
      <c r="U24" s="2"/>
      <c r="V24" s="2"/>
      <c r="W24" s="2"/>
    </row>
    <row r="25" spans="1:23" x14ac:dyDescent="0.2">
      <c r="A25" s="544"/>
      <c r="B25" s="544"/>
      <c r="C25" s="544"/>
      <c r="D25" s="544"/>
      <c r="E25" s="544"/>
      <c r="F25" s="544"/>
      <c r="G25" s="2"/>
      <c r="H25" s="2"/>
      <c r="I25" s="2"/>
      <c r="J25" s="2"/>
      <c r="K25" s="2"/>
      <c r="L25" s="2"/>
      <c r="M25" s="2"/>
      <c r="N25" s="2"/>
      <c r="O25" s="2"/>
      <c r="P25" s="2"/>
      <c r="Q25" s="2"/>
      <c r="R25" s="2"/>
      <c r="S25" s="2"/>
      <c r="T25" s="2"/>
      <c r="U25" s="2"/>
      <c r="V25" s="2"/>
      <c r="W25" s="2"/>
    </row>
    <row r="26" spans="1:23" ht="29.25" customHeight="1" x14ac:dyDescent="0.2">
      <c r="A26" s="848" t="s">
        <v>523</v>
      </c>
      <c r="B26" s="848"/>
      <c r="C26" s="848"/>
      <c r="D26" s="848"/>
      <c r="E26" s="848"/>
      <c r="F26" s="848"/>
      <c r="G26" s="2"/>
      <c r="H26" s="2"/>
      <c r="I26" s="2"/>
      <c r="J26" s="2"/>
      <c r="K26" s="2"/>
      <c r="L26" s="2"/>
      <c r="M26" s="2"/>
      <c r="N26" s="2"/>
      <c r="O26" s="2"/>
      <c r="P26" s="2"/>
      <c r="Q26" s="2"/>
      <c r="R26" s="2"/>
      <c r="S26" s="2"/>
      <c r="T26" s="2"/>
      <c r="U26" s="2"/>
      <c r="V26" s="2"/>
      <c r="W26" s="2"/>
    </row>
    <row r="27" spans="1:23" x14ac:dyDescent="0.2">
      <c r="A27" s="544"/>
      <c r="B27" s="544"/>
      <c r="C27" s="544"/>
      <c r="D27" s="544"/>
      <c r="E27" s="544"/>
      <c r="F27" s="544"/>
      <c r="G27" s="2"/>
      <c r="H27" s="2"/>
      <c r="I27" s="2"/>
      <c r="J27" s="2"/>
      <c r="K27" s="2"/>
      <c r="L27" s="2"/>
      <c r="M27" s="2"/>
      <c r="N27" s="2"/>
      <c r="O27" s="2"/>
      <c r="P27" s="2"/>
      <c r="Q27" s="2"/>
      <c r="R27" s="2"/>
      <c r="S27" s="2"/>
      <c r="T27" s="2"/>
      <c r="U27" s="2"/>
      <c r="V27" s="2"/>
      <c r="W27" s="2"/>
    </row>
    <row r="28" spans="1:23" x14ac:dyDescent="0.2">
      <c r="A28" s="544"/>
      <c r="B28" s="544"/>
      <c r="C28" s="544"/>
      <c r="D28" s="545" t="s">
        <v>378</v>
      </c>
      <c r="E28" s="545"/>
      <c r="F28" s="545"/>
      <c r="G28" s="2"/>
      <c r="H28" s="2"/>
      <c r="I28" s="2"/>
      <c r="J28" s="2"/>
      <c r="K28" s="2"/>
      <c r="L28" s="2"/>
      <c r="M28" s="2"/>
      <c r="N28" s="2"/>
      <c r="O28" s="2"/>
      <c r="P28" s="2"/>
      <c r="Q28" s="2"/>
      <c r="R28" s="2"/>
      <c r="S28" s="2"/>
      <c r="T28" s="2"/>
      <c r="U28" s="2"/>
      <c r="V28" s="2"/>
      <c r="W28" s="2"/>
    </row>
    <row r="29" spans="1:23" x14ac:dyDescent="0.2">
      <c r="A29" s="543" t="s">
        <v>200</v>
      </c>
      <c r="B29" s="543"/>
      <c r="C29" s="544"/>
      <c r="D29" s="545" t="s">
        <v>374</v>
      </c>
      <c r="E29" s="545"/>
      <c r="F29" s="545" t="s">
        <v>202</v>
      </c>
      <c r="G29" s="2"/>
      <c r="H29" s="2"/>
      <c r="I29" s="2"/>
      <c r="J29" s="2"/>
      <c r="K29" s="2"/>
      <c r="L29" s="2"/>
      <c r="M29" s="2"/>
      <c r="N29" s="2"/>
      <c r="O29" s="2"/>
      <c r="P29" s="2"/>
      <c r="Q29" s="2"/>
      <c r="R29" s="2"/>
      <c r="S29" s="2"/>
      <c r="T29" s="2"/>
      <c r="U29" s="2"/>
      <c r="V29" s="2"/>
      <c r="W29" s="2"/>
    </row>
    <row r="30" spans="1:23" x14ac:dyDescent="0.2">
      <c r="A30" s="543" t="s">
        <v>203</v>
      </c>
      <c r="B30" s="543"/>
      <c r="C30" s="544"/>
      <c r="D30" s="545" t="s">
        <v>369</v>
      </c>
      <c r="E30" s="545"/>
      <c r="F30" s="545" t="s">
        <v>204</v>
      </c>
      <c r="G30" s="2"/>
      <c r="H30" s="2"/>
      <c r="I30" s="2"/>
      <c r="J30" s="2"/>
      <c r="K30" s="2"/>
      <c r="L30" s="2"/>
      <c r="M30" s="2"/>
      <c r="N30" s="2"/>
      <c r="O30" s="2"/>
      <c r="P30" s="2"/>
      <c r="Q30" s="2"/>
      <c r="R30" s="2"/>
      <c r="S30" s="2"/>
      <c r="T30" s="2"/>
      <c r="U30" s="2"/>
      <c r="V30" s="2"/>
      <c r="W30" s="2"/>
    </row>
    <row r="31" spans="1:23" x14ac:dyDescent="0.2">
      <c r="A31" s="546" t="s">
        <v>205</v>
      </c>
      <c r="B31" s="546"/>
      <c r="C31" s="544"/>
      <c r="D31" s="547" t="s">
        <v>227</v>
      </c>
      <c r="E31" s="545" t="s">
        <v>325</v>
      </c>
      <c r="F31" s="547" t="s">
        <v>207</v>
      </c>
      <c r="G31" s="2"/>
      <c r="H31" s="2"/>
      <c r="I31" s="2"/>
      <c r="J31" s="2"/>
      <c r="K31" s="2"/>
      <c r="L31" s="2"/>
      <c r="M31" s="2"/>
      <c r="N31" s="2"/>
      <c r="O31" s="2"/>
      <c r="P31" s="2"/>
      <c r="Q31" s="2"/>
      <c r="R31" s="2"/>
      <c r="S31" s="2"/>
      <c r="T31" s="2"/>
      <c r="U31" s="2"/>
      <c r="V31" s="2"/>
      <c r="W31" s="2"/>
    </row>
    <row r="32" spans="1:23" ht="12.75" customHeight="1" x14ac:dyDescent="0.2">
      <c r="A32" s="544"/>
      <c r="B32" s="548"/>
      <c r="C32" s="544"/>
      <c r="D32" s="544"/>
      <c r="E32" s="544"/>
      <c r="F32" s="549"/>
      <c r="G32" s="2"/>
      <c r="H32" s="2"/>
      <c r="I32" s="2"/>
      <c r="J32" s="2"/>
      <c r="K32" s="2"/>
      <c r="L32" s="2"/>
      <c r="M32" s="2"/>
      <c r="N32" s="2"/>
      <c r="O32" s="2"/>
      <c r="P32" s="2"/>
      <c r="Q32" s="2"/>
      <c r="R32" s="2"/>
      <c r="S32" s="2"/>
      <c r="T32" s="2"/>
      <c r="U32" s="2"/>
      <c r="V32" s="2"/>
      <c r="W32" s="2"/>
    </row>
    <row r="33" spans="1:23" ht="13.35" customHeight="1" x14ac:dyDescent="0.2">
      <c r="A33" s="544" t="s">
        <v>208</v>
      </c>
      <c r="B33" s="548"/>
      <c r="C33" s="544"/>
      <c r="D33" s="550">
        <f ca="1">+'COS 1'!L366</f>
        <v>22548156.177911002</v>
      </c>
      <c r="E33" s="544"/>
      <c r="F33" s="551">
        <f ca="1">+'COS 1'!L367</f>
        <v>0.65580000000000005</v>
      </c>
      <c r="G33" s="2"/>
      <c r="H33" s="2"/>
      <c r="I33" s="2"/>
      <c r="J33" s="2"/>
      <c r="K33" s="2"/>
      <c r="L33" s="2"/>
      <c r="M33" s="2"/>
      <c r="N33" s="2"/>
      <c r="O33" s="2"/>
      <c r="P33" s="2"/>
      <c r="Q33" s="2"/>
      <c r="R33" s="2"/>
      <c r="S33" s="2"/>
      <c r="T33" s="2"/>
      <c r="U33" s="2"/>
      <c r="V33" s="2"/>
      <c r="W33" s="2"/>
    </row>
    <row r="34" spans="1:23" ht="13.35" customHeight="1" x14ac:dyDescent="0.2">
      <c r="A34" s="544" t="s">
        <v>209</v>
      </c>
      <c r="B34" s="548"/>
      <c r="C34" s="544"/>
      <c r="D34" s="552">
        <f ca="1">+'COS 1'!N366</f>
        <v>7014722.3728229757</v>
      </c>
      <c r="E34" s="544"/>
      <c r="F34" s="549">
        <f ca="1">+'COS 1'!N367</f>
        <v>0.20399999999999999</v>
      </c>
      <c r="G34" s="2"/>
      <c r="H34" s="2"/>
      <c r="I34" s="2"/>
      <c r="J34" s="2"/>
      <c r="K34" s="2"/>
      <c r="L34" s="2"/>
      <c r="M34" s="2"/>
      <c r="N34" s="2"/>
      <c r="O34" s="2"/>
      <c r="P34" s="2"/>
      <c r="Q34" s="2"/>
      <c r="R34" s="2"/>
      <c r="S34" s="2"/>
      <c r="T34" s="2"/>
      <c r="U34" s="2"/>
      <c r="V34" s="2"/>
      <c r="W34" s="2"/>
    </row>
    <row r="35" spans="1:23" ht="13.35" customHeight="1" x14ac:dyDescent="0.2">
      <c r="A35" s="544" t="s">
        <v>210</v>
      </c>
      <c r="B35" s="548"/>
      <c r="C35" s="544"/>
      <c r="D35" s="552">
        <f ca="1">+'COS 1'!P366</f>
        <v>964534.21600263251</v>
      </c>
      <c r="E35" s="544"/>
      <c r="F35" s="549">
        <f ca="1">+'COS 1'!P367</f>
        <v>2.81E-2</v>
      </c>
      <c r="G35" s="2"/>
      <c r="H35" s="2"/>
      <c r="I35" s="2"/>
      <c r="J35" s="2"/>
      <c r="K35" s="2"/>
      <c r="L35" s="2"/>
      <c r="M35" s="2"/>
      <c r="N35" s="2"/>
      <c r="O35" s="2"/>
      <c r="P35" s="2"/>
      <c r="Q35" s="2"/>
      <c r="R35" s="2"/>
      <c r="S35" s="2"/>
      <c r="T35" s="2"/>
      <c r="U35" s="2"/>
      <c r="V35" s="2"/>
      <c r="W35" s="2"/>
    </row>
    <row r="36" spans="1:23" ht="13.35" customHeight="1" x14ac:dyDescent="0.2">
      <c r="A36" s="544" t="s">
        <v>214</v>
      </c>
      <c r="B36" s="548"/>
      <c r="C36" s="544"/>
      <c r="D36" s="552">
        <f ca="1">+'COS 1'!R366</f>
        <v>2021242.3379745414</v>
      </c>
      <c r="E36" s="544"/>
      <c r="F36" s="549">
        <f ca="1">+'COS 1'!R367</f>
        <v>5.8799999999999998E-2</v>
      </c>
      <c r="G36" s="2"/>
      <c r="H36" s="2"/>
      <c r="I36" s="2"/>
      <c r="J36" s="2"/>
      <c r="K36" s="2"/>
      <c r="L36" s="2"/>
      <c r="M36" s="2"/>
      <c r="N36" s="2"/>
      <c r="O36" s="2"/>
      <c r="P36" s="2"/>
      <c r="Q36" s="2"/>
      <c r="R36" s="2"/>
      <c r="S36" s="2"/>
      <c r="T36" s="2"/>
      <c r="U36" s="2"/>
      <c r="V36" s="2"/>
      <c r="W36" s="2"/>
    </row>
    <row r="37" spans="1:23" ht="13.35" customHeight="1" x14ac:dyDescent="0.2">
      <c r="A37" s="544" t="s">
        <v>333</v>
      </c>
      <c r="B37" s="548"/>
      <c r="C37" s="544"/>
      <c r="D37" s="552">
        <f ca="1">+'COS 1'!T366</f>
        <v>575420.8031307261</v>
      </c>
      <c r="E37" s="544"/>
      <c r="F37" s="549">
        <f ca="1">+'COS 1'!T367</f>
        <v>1.67E-2</v>
      </c>
      <c r="G37" s="2"/>
      <c r="H37" s="2"/>
      <c r="I37" s="2"/>
      <c r="J37" s="2"/>
      <c r="K37" s="2"/>
      <c r="L37" s="2"/>
      <c r="M37" s="2"/>
      <c r="N37" s="2"/>
      <c r="O37" s="2"/>
      <c r="P37" s="2"/>
      <c r="Q37" s="2"/>
      <c r="R37" s="2"/>
      <c r="S37" s="2"/>
      <c r="T37" s="2"/>
      <c r="U37" s="2"/>
      <c r="V37" s="2"/>
      <c r="W37" s="2"/>
    </row>
    <row r="38" spans="1:23" ht="13.35" customHeight="1" x14ac:dyDescent="0.2">
      <c r="A38" s="544" t="s">
        <v>216</v>
      </c>
      <c r="B38" s="548"/>
      <c r="C38" s="544"/>
      <c r="D38" s="552">
        <f ca="1">+'COS 1'!V366</f>
        <v>473940.52185554354</v>
      </c>
      <c r="E38" s="544"/>
      <c r="F38" s="549">
        <f ca="1">+'COS 1'!V367</f>
        <v>1.38E-2</v>
      </c>
      <c r="G38" s="2"/>
      <c r="H38" s="2"/>
      <c r="I38" s="2"/>
      <c r="J38" s="2"/>
      <c r="K38" s="2"/>
      <c r="L38" s="2"/>
      <c r="M38" s="2"/>
      <c r="N38" s="2"/>
      <c r="O38" s="2"/>
      <c r="P38" s="2"/>
      <c r="Q38" s="2"/>
      <c r="R38" s="2"/>
      <c r="S38" s="2"/>
      <c r="T38" s="2"/>
      <c r="U38" s="2"/>
      <c r="V38" s="2"/>
      <c r="W38" s="2"/>
    </row>
    <row r="39" spans="1:23" ht="13.35" customHeight="1" x14ac:dyDescent="0.2">
      <c r="A39" s="544" t="s">
        <v>217</v>
      </c>
      <c r="B39" s="548"/>
      <c r="C39" s="544"/>
      <c r="D39" s="552">
        <f ca="1">+'COS 1'!X366</f>
        <v>783898.71751936967</v>
      </c>
      <c r="E39" s="544"/>
      <c r="F39" s="549">
        <f ca="1">+'COS 1'!X367</f>
        <v>2.2800000000000001E-2</v>
      </c>
      <c r="G39" s="2"/>
      <c r="H39" s="2"/>
      <c r="I39" s="2"/>
      <c r="J39" s="2"/>
      <c r="K39" s="2"/>
      <c r="L39" s="2"/>
      <c r="M39" s="2"/>
      <c r="N39" s="2"/>
      <c r="O39" s="2"/>
      <c r="P39" s="2"/>
      <c r="Q39" s="2"/>
      <c r="R39" s="2"/>
      <c r="S39" s="2"/>
      <c r="T39" s="2"/>
      <c r="U39" s="2"/>
      <c r="V39" s="2"/>
      <c r="W39" s="2"/>
    </row>
    <row r="40" spans="1:23" x14ac:dyDescent="0.2">
      <c r="A40" s="544"/>
      <c r="B40" s="548"/>
      <c r="C40" s="544"/>
      <c r="D40" s="553"/>
      <c r="E40" s="544"/>
      <c r="F40" s="554"/>
      <c r="G40" s="2"/>
      <c r="H40" s="2"/>
      <c r="I40" s="2"/>
      <c r="J40" s="2"/>
      <c r="K40" s="2"/>
      <c r="L40" s="2"/>
      <c r="M40" s="2"/>
      <c r="N40" s="2"/>
      <c r="O40" s="2"/>
      <c r="P40" s="2"/>
      <c r="Q40" s="2"/>
      <c r="R40" s="2"/>
      <c r="S40" s="2"/>
      <c r="T40" s="2"/>
      <c r="U40" s="2"/>
      <c r="V40" s="2"/>
      <c r="W40" s="2"/>
    </row>
    <row r="41" spans="1:23" ht="15.75" thickBot="1" x14ac:dyDescent="0.25">
      <c r="A41" s="544" t="s">
        <v>218</v>
      </c>
      <c r="B41" s="548"/>
      <c r="C41" s="544"/>
      <c r="D41" s="555">
        <f ca="1">SUM(D33:D40)</f>
        <v>34381915.147216789</v>
      </c>
      <c r="E41" s="544"/>
      <c r="F41" s="549">
        <f ca="1">SUM(F33:F40)</f>
        <v>1</v>
      </c>
      <c r="G41" s="2"/>
      <c r="H41" s="2"/>
      <c r="I41" s="2"/>
      <c r="J41" s="2"/>
      <c r="K41" s="2"/>
      <c r="L41" s="2"/>
      <c r="M41" s="2"/>
      <c r="N41" s="2"/>
      <c r="O41" s="2"/>
      <c r="P41" s="2"/>
      <c r="Q41" s="2"/>
      <c r="R41" s="2"/>
      <c r="S41" s="2"/>
      <c r="T41" s="2"/>
      <c r="U41" s="2"/>
      <c r="V41" s="2"/>
      <c r="W41" s="2"/>
    </row>
    <row r="42" spans="1:23" ht="15.75" thickTop="1" x14ac:dyDescent="0.2">
      <c r="A42" s="2"/>
      <c r="B42" s="2"/>
      <c r="C42" s="2"/>
      <c r="D42" s="2"/>
      <c r="E42" s="2"/>
      <c r="F42" s="2"/>
      <c r="G42" s="2"/>
      <c r="H42" s="2"/>
      <c r="I42" s="2"/>
      <c r="J42" s="2"/>
      <c r="K42" s="2"/>
      <c r="L42" s="2"/>
      <c r="M42" s="2"/>
      <c r="N42" s="2"/>
      <c r="O42" s="2"/>
      <c r="P42" s="2"/>
      <c r="Q42" s="2"/>
      <c r="R42" s="2"/>
      <c r="S42" s="2"/>
      <c r="T42" s="2"/>
      <c r="U42" s="2"/>
      <c r="V42" s="2"/>
      <c r="W42" s="2"/>
    </row>
    <row r="43" spans="1:23" x14ac:dyDescent="0.2">
      <c r="A43" s="2"/>
      <c r="B43" s="2"/>
      <c r="C43" s="2"/>
      <c r="D43" s="2"/>
      <c r="E43" s="2"/>
      <c r="F43" s="2"/>
      <c r="G43" s="2"/>
      <c r="H43" s="2"/>
      <c r="I43" s="2"/>
      <c r="J43" s="2"/>
      <c r="K43" s="2"/>
      <c r="L43" s="2"/>
      <c r="M43" s="2"/>
      <c r="N43" s="2"/>
      <c r="O43" s="2"/>
      <c r="P43" s="2"/>
      <c r="Q43" s="2"/>
      <c r="R43" s="2"/>
      <c r="S43" s="2"/>
      <c r="T43" s="2"/>
      <c r="U43" s="2"/>
      <c r="V43" s="2"/>
      <c r="W43" s="2"/>
    </row>
    <row r="44" spans="1:23" x14ac:dyDescent="0.2">
      <c r="A44" s="15" t="s">
        <v>8</v>
      </c>
      <c r="B44" s="1"/>
      <c r="C44" s="15"/>
      <c r="D44" s="1"/>
      <c r="E44" s="1"/>
      <c r="F44" s="1"/>
      <c r="G44" s="2"/>
      <c r="H44" s="2"/>
      <c r="I44" s="2"/>
      <c r="J44" s="2"/>
      <c r="K44" s="2"/>
      <c r="L44" s="2"/>
      <c r="M44" s="2"/>
      <c r="N44" s="2"/>
      <c r="O44" s="2"/>
      <c r="P44" s="2"/>
      <c r="Q44" s="2"/>
      <c r="R44" s="2"/>
      <c r="S44" s="2"/>
      <c r="T44" s="2"/>
      <c r="U44" s="2"/>
      <c r="V44" s="2"/>
      <c r="W44" s="2"/>
    </row>
    <row r="45" spans="1:23" x14ac:dyDescent="0.2">
      <c r="A45" s="1"/>
      <c r="B45" s="1"/>
      <c r="C45" s="1"/>
      <c r="D45" s="1"/>
      <c r="E45" s="1"/>
      <c r="F45" s="1"/>
      <c r="G45" s="2"/>
      <c r="H45" s="2"/>
      <c r="I45" s="2"/>
      <c r="J45" s="2"/>
      <c r="K45" s="2"/>
      <c r="L45" s="2"/>
      <c r="M45" s="2"/>
      <c r="N45" s="2"/>
      <c r="O45" s="2"/>
      <c r="P45" s="2"/>
      <c r="Q45" s="2"/>
      <c r="R45" s="2"/>
      <c r="S45" s="2"/>
      <c r="T45" s="2"/>
      <c r="U45" s="2"/>
      <c r="V45" s="2"/>
      <c r="W45" s="2"/>
    </row>
    <row r="46" spans="1:23" x14ac:dyDescent="0.2">
      <c r="A46" s="543" t="s">
        <v>234</v>
      </c>
      <c r="B46" s="543"/>
      <c r="C46" s="543"/>
      <c r="D46" s="543"/>
      <c r="E46" s="543"/>
      <c r="F46" s="543"/>
      <c r="G46" s="2"/>
      <c r="H46" s="2"/>
      <c r="I46" s="2"/>
      <c r="J46" s="2"/>
      <c r="K46" s="2"/>
      <c r="L46" s="2"/>
      <c r="M46" s="2"/>
      <c r="N46" s="2"/>
      <c r="O46" s="2"/>
      <c r="P46" s="2"/>
      <c r="Q46" s="2"/>
      <c r="R46" s="2"/>
      <c r="S46" s="2"/>
      <c r="T46" s="2"/>
      <c r="U46" s="2"/>
      <c r="V46" s="2"/>
      <c r="W46" s="2"/>
    </row>
    <row r="47" spans="1:23" x14ac:dyDescent="0.2">
      <c r="A47" s="544"/>
      <c r="B47" s="544"/>
      <c r="C47" s="544"/>
      <c r="D47" s="544"/>
      <c r="E47" s="544"/>
      <c r="F47" s="544"/>
      <c r="G47" s="2"/>
      <c r="H47" s="2"/>
      <c r="I47" s="2"/>
      <c r="J47" s="2"/>
      <c r="K47" s="2"/>
      <c r="L47" s="2"/>
      <c r="M47" s="2"/>
      <c r="N47" s="2"/>
      <c r="O47" s="57"/>
      <c r="P47" s="2"/>
      <c r="Q47" s="2"/>
      <c r="R47" s="2"/>
      <c r="S47" s="2"/>
      <c r="T47" s="2"/>
      <c r="U47" s="2"/>
      <c r="V47" s="2"/>
      <c r="W47" s="2"/>
    </row>
    <row r="48" spans="1:23" x14ac:dyDescent="0.2">
      <c r="A48" s="544" t="s">
        <v>379</v>
      </c>
      <c r="B48" s="544"/>
      <c r="C48" s="544"/>
      <c r="D48" s="544"/>
      <c r="E48" s="544"/>
      <c r="F48" s="544"/>
      <c r="G48" s="2"/>
      <c r="O48" s="57"/>
      <c r="P48" s="2"/>
      <c r="Q48" s="2"/>
      <c r="R48" s="2"/>
      <c r="S48" s="2"/>
      <c r="T48" s="2"/>
      <c r="U48" s="2"/>
      <c r="V48" s="2"/>
      <c r="W48" s="2"/>
    </row>
    <row r="49" spans="1:23" x14ac:dyDescent="0.2">
      <c r="A49" s="544"/>
      <c r="B49" s="544"/>
      <c r="C49" s="544"/>
      <c r="D49" s="544"/>
      <c r="E49" s="544"/>
      <c r="F49" s="544"/>
      <c r="G49" s="2"/>
      <c r="O49" s="57"/>
      <c r="P49" s="2"/>
      <c r="Q49" s="2"/>
      <c r="R49" s="2"/>
      <c r="S49" s="2"/>
      <c r="T49" s="2"/>
      <c r="U49" s="2"/>
      <c r="V49" s="2"/>
      <c r="W49" s="2"/>
    </row>
    <row r="50" spans="1:23" ht="14.65" customHeight="1" x14ac:dyDescent="0.2">
      <c r="A50" s="848" t="s">
        <v>183</v>
      </c>
      <c r="B50" s="848"/>
      <c r="C50" s="848"/>
      <c r="D50" s="848"/>
      <c r="E50" s="848"/>
      <c r="F50" s="848"/>
      <c r="G50" s="2"/>
      <c r="O50" s="57"/>
      <c r="P50" s="2"/>
      <c r="Q50" s="2"/>
      <c r="R50" s="2"/>
      <c r="S50" s="2"/>
      <c r="T50" s="2"/>
      <c r="U50" s="2"/>
      <c r="V50" s="2"/>
      <c r="W50" s="2"/>
    </row>
    <row r="51" spans="1:23" x14ac:dyDescent="0.2">
      <c r="A51" s="544"/>
      <c r="B51" s="544"/>
      <c r="C51" s="544"/>
      <c r="D51" s="544"/>
      <c r="E51" s="544"/>
      <c r="F51" s="544"/>
      <c r="G51" s="2"/>
      <c r="O51" s="2"/>
      <c r="P51" s="2"/>
      <c r="Q51" s="2"/>
      <c r="R51" s="2"/>
      <c r="S51" s="2"/>
      <c r="T51" s="2"/>
      <c r="U51" s="2"/>
      <c r="V51" s="2"/>
      <c r="W51" s="2"/>
    </row>
    <row r="52" spans="1:23" x14ac:dyDescent="0.2">
      <c r="A52" s="543" t="s">
        <v>200</v>
      </c>
      <c r="B52" s="543"/>
      <c r="C52" s="544"/>
      <c r="D52" s="545" t="s">
        <v>380</v>
      </c>
      <c r="E52" s="545"/>
      <c r="F52" s="545" t="s">
        <v>202</v>
      </c>
      <c r="G52" s="2"/>
      <c r="O52" s="2"/>
      <c r="P52" s="2"/>
      <c r="Q52" s="2"/>
      <c r="R52" s="2"/>
      <c r="S52" s="2"/>
      <c r="T52" s="2"/>
      <c r="U52" s="2"/>
      <c r="V52" s="2"/>
      <c r="W52" s="2"/>
    </row>
    <row r="53" spans="1:23" x14ac:dyDescent="0.2">
      <c r="A53" s="543" t="s">
        <v>203</v>
      </c>
      <c r="B53" s="543"/>
      <c r="C53" s="544"/>
      <c r="D53" s="545" t="s">
        <v>381</v>
      </c>
      <c r="E53" s="545"/>
      <c r="F53" s="545" t="s">
        <v>204</v>
      </c>
      <c r="G53" s="2"/>
      <c r="O53" s="2"/>
      <c r="P53" s="2"/>
      <c r="Q53" s="2"/>
      <c r="R53" s="2"/>
      <c r="S53" s="2"/>
      <c r="T53" s="2"/>
      <c r="U53" s="2"/>
      <c r="V53" s="2"/>
      <c r="W53" s="2"/>
    </row>
    <row r="54" spans="1:23" x14ac:dyDescent="0.2">
      <c r="A54" s="546" t="s">
        <v>205</v>
      </c>
      <c r="B54" s="546"/>
      <c r="C54" s="544"/>
      <c r="D54" s="547" t="s">
        <v>227</v>
      </c>
      <c r="E54" s="545" t="s">
        <v>325</v>
      </c>
      <c r="F54" s="547" t="s">
        <v>207</v>
      </c>
      <c r="G54" s="2"/>
      <c r="O54" s="2"/>
      <c r="P54" s="2"/>
      <c r="Q54" s="2"/>
      <c r="R54" s="2"/>
      <c r="S54" s="2"/>
      <c r="T54" s="2"/>
      <c r="U54" s="2"/>
      <c r="V54" s="2"/>
      <c r="W54" s="2"/>
    </row>
    <row r="55" spans="1:23" x14ac:dyDescent="0.2">
      <c r="A55" s="544"/>
      <c r="B55" s="548"/>
      <c r="C55" s="544"/>
      <c r="D55" s="544"/>
      <c r="E55" s="544"/>
      <c r="F55" s="549"/>
      <c r="G55" s="2"/>
      <c r="O55" s="2"/>
      <c r="P55" s="2"/>
      <c r="Q55" s="2"/>
      <c r="R55" s="2"/>
      <c r="S55" s="2"/>
      <c r="T55" s="2"/>
      <c r="U55" s="2"/>
      <c r="V55" s="2"/>
      <c r="W55" s="2"/>
    </row>
    <row r="56" spans="1:23" x14ac:dyDescent="0.2">
      <c r="A56" s="544" t="s">
        <v>208</v>
      </c>
      <c r="B56" s="548"/>
      <c r="C56" s="544"/>
      <c r="D56" s="550">
        <f>+'COS 1'!L368</f>
        <v>4778960.4330627518</v>
      </c>
      <c r="E56" s="544"/>
      <c r="F56" s="551">
        <f>+'COS 1'!L369</f>
        <v>0.65</v>
      </c>
      <c r="G56" s="2"/>
      <c r="O56" s="2"/>
      <c r="P56" s="2"/>
      <c r="Q56" s="2"/>
      <c r="R56" s="2"/>
      <c r="S56" s="2"/>
      <c r="T56" s="2"/>
      <c r="U56" s="2"/>
      <c r="V56" s="2"/>
      <c r="W56" s="2"/>
    </row>
    <row r="57" spans="1:23" x14ac:dyDescent="0.2">
      <c r="A57" s="544" t="s">
        <v>209</v>
      </c>
      <c r="B57" s="548"/>
      <c r="C57" s="544"/>
      <c r="D57" s="552">
        <f>+'COS 1'!N368</f>
        <v>1516893.4866306172</v>
      </c>
      <c r="E57" s="544"/>
      <c r="F57" s="549">
        <f>+'COS 1'!N369</f>
        <v>0.20630000000000001</v>
      </c>
      <c r="G57" s="2"/>
      <c r="O57" s="2"/>
      <c r="P57" s="2"/>
      <c r="Q57" s="2"/>
      <c r="R57" s="2"/>
      <c r="S57" s="2"/>
      <c r="T57" s="2"/>
      <c r="U57" s="2"/>
      <c r="V57" s="2"/>
      <c r="W57" s="2"/>
    </row>
    <row r="58" spans="1:23" x14ac:dyDescent="0.2">
      <c r="A58" s="544" t="s">
        <v>210</v>
      </c>
      <c r="B58" s="548"/>
      <c r="C58" s="544"/>
      <c r="D58" s="552">
        <f>+'COS 1'!P368</f>
        <v>190824.39500439743</v>
      </c>
      <c r="E58" s="544"/>
      <c r="F58" s="549">
        <f>+'COS 1'!P369</f>
        <v>2.5999999999999999E-2</v>
      </c>
      <c r="G58" s="2"/>
      <c r="O58" s="2"/>
      <c r="P58" s="2"/>
      <c r="Q58" s="2"/>
      <c r="R58" s="2"/>
      <c r="S58" s="2"/>
      <c r="T58" s="2"/>
      <c r="U58" s="2"/>
      <c r="V58" s="2"/>
      <c r="W58" s="2"/>
    </row>
    <row r="59" spans="1:23" x14ac:dyDescent="0.2">
      <c r="A59" s="544" t="s">
        <v>214</v>
      </c>
      <c r="B59" s="548"/>
      <c r="C59" s="544"/>
      <c r="D59" s="552">
        <f>+'COS 1'!R368</f>
        <v>416300.93735839659</v>
      </c>
      <c r="E59" s="544"/>
      <c r="F59" s="549">
        <f>+'COS 1'!R369</f>
        <v>5.6599999999999998E-2</v>
      </c>
      <c r="G59" s="2"/>
      <c r="O59" s="2"/>
      <c r="P59" s="2"/>
      <c r="Q59" s="2"/>
      <c r="R59" s="2"/>
      <c r="S59" s="2"/>
      <c r="T59" s="2"/>
      <c r="U59" s="2"/>
      <c r="V59" s="2"/>
      <c r="W59" s="2"/>
    </row>
    <row r="60" spans="1:23" ht="13.9" customHeight="1" x14ac:dyDescent="0.2">
      <c r="A60" s="544" t="s">
        <v>333</v>
      </c>
      <c r="B60" s="548"/>
      <c r="C60" s="544"/>
      <c r="D60" s="552">
        <f>+'COS 1'!T368</f>
        <v>112168.89071891659</v>
      </c>
      <c r="E60" s="544"/>
      <c r="F60" s="549">
        <f>+'COS 1'!T369</f>
        <v>1.5299999999999999E-2</v>
      </c>
      <c r="G60" s="2"/>
      <c r="O60" s="2"/>
      <c r="P60" s="2"/>
      <c r="Q60" s="2"/>
      <c r="R60" s="2"/>
      <c r="S60" s="2"/>
      <c r="T60" s="2"/>
      <c r="U60" s="2"/>
      <c r="V60" s="2"/>
      <c r="W60" s="2"/>
    </row>
    <row r="61" spans="1:23" ht="13.35" customHeight="1" x14ac:dyDescent="0.2">
      <c r="A61" s="544" t="s">
        <v>216</v>
      </c>
      <c r="B61" s="548"/>
      <c r="C61" s="544"/>
      <c r="D61" s="552">
        <f>+'COS 1'!V368</f>
        <v>104335.77720558604</v>
      </c>
      <c r="E61" s="544"/>
      <c r="F61" s="549">
        <f>+'COS 1'!V369</f>
        <v>1.4200000000000001E-2</v>
      </c>
      <c r="G61" s="2"/>
      <c r="O61" s="2"/>
      <c r="P61" s="2"/>
      <c r="Q61" s="2"/>
      <c r="R61" s="2"/>
      <c r="S61" s="2"/>
      <c r="T61" s="2"/>
      <c r="U61" s="2"/>
      <c r="V61" s="2"/>
      <c r="W61" s="2"/>
    </row>
    <row r="62" spans="1:23" ht="13.35" customHeight="1" x14ac:dyDescent="0.2">
      <c r="A62" s="544" t="s">
        <v>217</v>
      </c>
      <c r="B62" s="548"/>
      <c r="C62" s="544"/>
      <c r="D62" s="552">
        <f>+'COS 1'!X368</f>
        <v>232646.52414755221</v>
      </c>
      <c r="E62" s="544"/>
      <c r="F62" s="549">
        <f>+'COS 1'!X369</f>
        <v>3.1600000000000003E-2</v>
      </c>
      <c r="G62" s="2"/>
      <c r="O62" s="2"/>
      <c r="P62" s="2"/>
      <c r="Q62" s="2"/>
      <c r="R62" s="2"/>
      <c r="S62" s="2"/>
      <c r="T62" s="2"/>
      <c r="U62" s="2"/>
      <c r="V62" s="2"/>
      <c r="W62" s="2"/>
    </row>
    <row r="63" spans="1:23" ht="13.35" customHeight="1" x14ac:dyDescent="0.2">
      <c r="A63" s="544"/>
      <c r="B63" s="548"/>
      <c r="C63" s="544"/>
      <c r="D63" s="553"/>
      <c r="E63" s="544"/>
      <c r="F63" s="554"/>
      <c r="G63" s="2"/>
      <c r="O63" s="2"/>
      <c r="P63" s="2"/>
      <c r="Q63" s="2"/>
      <c r="R63" s="2"/>
      <c r="S63" s="2"/>
      <c r="T63" s="2"/>
      <c r="U63" s="2"/>
      <c r="V63" s="2"/>
      <c r="W63" s="2"/>
    </row>
    <row r="64" spans="1:23" ht="13.35" customHeight="1" thickBot="1" x14ac:dyDescent="0.25">
      <c r="A64" s="544" t="s">
        <v>218</v>
      </c>
      <c r="B64" s="548"/>
      <c r="C64" s="544"/>
      <c r="D64" s="555">
        <f>SUM(D56:D63)</f>
        <v>7352130.4441282181</v>
      </c>
      <c r="E64" s="544"/>
      <c r="F64" s="549">
        <f>SUM(F56:F63)</f>
        <v>1</v>
      </c>
      <c r="G64" s="2"/>
      <c r="O64" s="2"/>
      <c r="P64" s="2"/>
      <c r="Q64" s="2"/>
      <c r="R64" s="2"/>
      <c r="S64" s="2"/>
      <c r="T64" s="2"/>
      <c r="U64" s="2"/>
      <c r="V64" s="2"/>
      <c r="W64" s="2"/>
    </row>
    <row r="65" spans="1:23" ht="13.35" customHeight="1" thickTop="1" x14ac:dyDescent="0.2">
      <c r="A65" s="544"/>
      <c r="B65" s="544"/>
      <c r="C65" s="544"/>
      <c r="D65" s="556"/>
      <c r="E65" s="557"/>
      <c r="F65" s="558"/>
      <c r="G65" s="2"/>
      <c r="O65" s="2"/>
      <c r="P65" s="2"/>
      <c r="Q65" s="2"/>
      <c r="R65" s="2"/>
      <c r="S65" s="2"/>
      <c r="T65" s="2"/>
      <c r="U65" s="2"/>
      <c r="V65" s="2"/>
      <c r="W65" s="2"/>
    </row>
    <row r="66" spans="1:23" ht="13.35" customHeight="1" x14ac:dyDescent="0.2">
      <c r="A66" s="544"/>
      <c r="B66" s="544"/>
      <c r="C66" s="544"/>
      <c r="D66" s="544"/>
      <c r="E66" s="544"/>
      <c r="F66" s="544"/>
      <c r="G66" s="2"/>
      <c r="O66" s="2"/>
      <c r="P66" s="2"/>
      <c r="Q66" s="2"/>
      <c r="R66" s="2"/>
      <c r="S66" s="2"/>
      <c r="T66" s="2"/>
      <c r="U66" s="2"/>
      <c r="V66" s="2"/>
      <c r="W66" s="2"/>
    </row>
    <row r="67" spans="1:23" ht="13.35" customHeight="1" x14ac:dyDescent="0.2">
      <c r="A67" s="544"/>
      <c r="B67" s="544"/>
      <c r="C67" s="544"/>
      <c r="D67" s="544"/>
      <c r="E67" s="544"/>
      <c r="F67" s="544"/>
      <c r="G67" s="2"/>
      <c r="O67" s="2"/>
      <c r="P67" s="2"/>
      <c r="Q67" s="2"/>
      <c r="R67" s="2"/>
      <c r="S67" s="2"/>
      <c r="T67" s="2"/>
      <c r="U67" s="2"/>
      <c r="V67" s="2"/>
      <c r="W67" s="2"/>
    </row>
    <row r="68" spans="1:23" x14ac:dyDescent="0.2">
      <c r="A68" s="544" t="s">
        <v>164</v>
      </c>
      <c r="B68" s="544"/>
      <c r="C68" s="544"/>
      <c r="D68" s="544"/>
      <c r="E68" s="544"/>
      <c r="F68" s="544"/>
      <c r="G68" s="2"/>
      <c r="O68" s="2"/>
      <c r="P68" s="2"/>
      <c r="Q68" s="2"/>
      <c r="R68" s="2"/>
      <c r="S68" s="2"/>
      <c r="T68" s="2"/>
      <c r="U68" s="2"/>
      <c r="V68" s="2"/>
      <c r="W68" s="2"/>
    </row>
    <row r="69" spans="1:23" x14ac:dyDescent="0.2">
      <c r="A69" s="544" t="s">
        <v>186</v>
      </c>
      <c r="B69" s="544"/>
      <c r="C69" s="544"/>
      <c r="D69" s="544"/>
      <c r="E69" s="544"/>
      <c r="F69" s="544"/>
      <c r="G69" s="2"/>
      <c r="O69" s="2"/>
      <c r="P69" s="2"/>
      <c r="Q69" s="2"/>
      <c r="R69" s="2"/>
      <c r="S69" s="2"/>
      <c r="T69" s="2"/>
      <c r="U69" s="2"/>
      <c r="V69" s="2"/>
      <c r="W69" s="2"/>
    </row>
    <row r="70" spans="1:23" x14ac:dyDescent="0.2">
      <c r="A70" s="544"/>
      <c r="B70" s="544"/>
      <c r="C70" s="544"/>
      <c r="D70" s="544"/>
      <c r="E70" s="544"/>
      <c r="F70" s="544"/>
      <c r="G70" s="2"/>
      <c r="O70" s="2"/>
      <c r="P70" s="2"/>
      <c r="Q70" s="2"/>
      <c r="R70" s="2"/>
      <c r="S70" s="2"/>
      <c r="T70" s="2"/>
      <c r="U70" s="2"/>
      <c r="V70" s="2"/>
      <c r="W70" s="2"/>
    </row>
    <row r="71" spans="1:23" ht="28.15" customHeight="1" x14ac:dyDescent="0.2">
      <c r="A71" s="848" t="s">
        <v>382</v>
      </c>
      <c r="B71" s="848"/>
      <c r="C71" s="848"/>
      <c r="D71" s="848"/>
      <c r="E71" s="848"/>
      <c r="F71" s="848"/>
      <c r="G71" s="2"/>
      <c r="O71" s="2"/>
      <c r="P71" s="2"/>
      <c r="Q71" s="2"/>
      <c r="R71" s="2"/>
      <c r="S71" s="2"/>
      <c r="T71" s="2"/>
      <c r="U71" s="2"/>
      <c r="V71" s="2"/>
      <c r="W71" s="2"/>
    </row>
    <row r="72" spans="1:23" x14ac:dyDescent="0.2">
      <c r="A72" s="544"/>
      <c r="B72" s="544"/>
      <c r="C72" s="544"/>
      <c r="D72" s="544"/>
      <c r="E72" s="544"/>
      <c r="F72" s="544"/>
      <c r="G72" s="2"/>
      <c r="O72" s="2"/>
      <c r="P72" s="2"/>
      <c r="Q72" s="2"/>
      <c r="R72" s="2"/>
      <c r="S72" s="2"/>
      <c r="T72" s="2"/>
      <c r="U72" s="2"/>
      <c r="V72" s="2"/>
      <c r="W72" s="2"/>
    </row>
    <row r="73" spans="1:23" x14ac:dyDescent="0.2">
      <c r="A73" s="544"/>
      <c r="B73" s="544"/>
      <c r="C73" s="544"/>
      <c r="D73" s="545" t="s">
        <v>383</v>
      </c>
      <c r="E73" s="545"/>
      <c r="F73" s="545"/>
      <c r="G73" s="2"/>
      <c r="O73" s="2"/>
      <c r="P73" s="2"/>
      <c r="Q73" s="2"/>
      <c r="R73" s="2"/>
      <c r="S73" s="2"/>
      <c r="T73" s="2"/>
      <c r="U73" s="2"/>
      <c r="V73" s="2"/>
      <c r="W73" s="2"/>
    </row>
    <row r="74" spans="1:23" x14ac:dyDescent="0.2">
      <c r="A74" s="543" t="s">
        <v>200</v>
      </c>
      <c r="B74" s="543"/>
      <c r="C74" s="544"/>
      <c r="D74" s="545" t="s">
        <v>384</v>
      </c>
      <c r="E74" s="545"/>
      <c r="F74" s="545" t="s">
        <v>202</v>
      </c>
      <c r="G74" s="2"/>
      <c r="O74" s="2"/>
      <c r="P74" s="2"/>
      <c r="Q74" s="2"/>
      <c r="R74" s="2"/>
      <c r="S74" s="2"/>
      <c r="T74" s="2"/>
      <c r="U74" s="2"/>
      <c r="V74" s="2"/>
      <c r="W74" s="2"/>
    </row>
    <row r="75" spans="1:23" x14ac:dyDescent="0.2">
      <c r="A75" s="543" t="s">
        <v>203</v>
      </c>
      <c r="B75" s="543"/>
      <c r="C75" s="544"/>
      <c r="D75" s="545" t="s">
        <v>385</v>
      </c>
      <c r="E75" s="545"/>
      <c r="F75" s="545" t="s">
        <v>204</v>
      </c>
      <c r="G75" s="2"/>
      <c r="O75" s="2"/>
      <c r="P75" s="2"/>
      <c r="Q75" s="2"/>
      <c r="R75" s="2"/>
      <c r="S75" s="2"/>
      <c r="T75" s="2"/>
      <c r="U75" s="2"/>
      <c r="V75" s="2"/>
      <c r="W75" s="2"/>
    </row>
    <row r="76" spans="1:23" x14ac:dyDescent="0.2">
      <c r="A76" s="546" t="s">
        <v>205</v>
      </c>
      <c r="B76" s="546"/>
      <c r="C76" s="544"/>
      <c r="D76" s="547" t="s">
        <v>227</v>
      </c>
      <c r="E76" s="545" t="s">
        <v>325</v>
      </c>
      <c r="F76" s="547" t="s">
        <v>207</v>
      </c>
      <c r="G76" s="2"/>
      <c r="O76" s="2"/>
      <c r="P76" s="2"/>
      <c r="Q76" s="2"/>
      <c r="R76" s="2"/>
      <c r="S76" s="2"/>
      <c r="T76" s="2"/>
      <c r="U76" s="2"/>
      <c r="V76" s="2"/>
      <c r="W76" s="2"/>
    </row>
    <row r="77" spans="1:23" x14ac:dyDescent="0.2">
      <c r="A77" s="544"/>
      <c r="B77" s="548"/>
      <c r="C77" s="544"/>
      <c r="D77" s="544"/>
      <c r="E77" s="544"/>
      <c r="F77" s="549"/>
      <c r="G77" s="2"/>
      <c r="O77" s="2"/>
      <c r="P77" s="2"/>
      <c r="Q77" s="2"/>
      <c r="R77" s="2"/>
      <c r="S77" s="2"/>
      <c r="T77" s="2"/>
      <c r="U77" s="2"/>
      <c r="V77" s="2"/>
      <c r="W77" s="2"/>
    </row>
    <row r="78" spans="1:23" x14ac:dyDescent="0.2">
      <c r="A78" s="544" t="s">
        <v>208</v>
      </c>
      <c r="B78" s="548"/>
      <c r="C78" s="544"/>
      <c r="D78" s="550">
        <f>+'COS 1'!L370</f>
        <v>236636627.04600343</v>
      </c>
      <c r="E78" s="544"/>
      <c r="F78" s="551">
        <f>+'COS 1'!L371</f>
        <v>0.51039999999999996</v>
      </c>
      <c r="G78" s="2"/>
      <c r="O78" s="2"/>
      <c r="P78" s="2"/>
      <c r="Q78" s="2"/>
      <c r="R78" s="2"/>
      <c r="S78" s="2"/>
      <c r="T78" s="2"/>
      <c r="U78" s="2"/>
      <c r="V78" s="2"/>
      <c r="W78" s="2"/>
    </row>
    <row r="79" spans="1:23" x14ac:dyDescent="0.2">
      <c r="A79" s="544" t="s">
        <v>209</v>
      </c>
      <c r="B79" s="548"/>
      <c r="C79" s="544"/>
      <c r="D79" s="552">
        <f>+'COS 1'!N370</f>
        <v>121208484.54060632</v>
      </c>
      <c r="E79" s="544"/>
      <c r="F79" s="549">
        <f>+'COS 1'!N371</f>
        <v>0.26140000000000002</v>
      </c>
      <c r="G79" s="2"/>
      <c r="O79" s="2"/>
      <c r="P79" s="2"/>
      <c r="Q79" s="2"/>
      <c r="R79" s="2"/>
      <c r="S79" s="2"/>
      <c r="T79" s="2"/>
      <c r="U79" s="2"/>
      <c r="V79" s="2"/>
      <c r="W79" s="2"/>
    </row>
    <row r="80" spans="1:23" x14ac:dyDescent="0.2">
      <c r="A80" s="544" t="s">
        <v>210</v>
      </c>
      <c r="B80" s="548"/>
      <c r="C80" s="544"/>
      <c r="D80" s="552">
        <f>+'COS 1'!P370</f>
        <v>18049265.799556263</v>
      </c>
      <c r="E80" s="544"/>
      <c r="F80" s="549">
        <f>+'COS 1'!P371</f>
        <v>3.8899999999999997E-2</v>
      </c>
      <c r="G80" s="2"/>
      <c r="O80" s="2"/>
      <c r="P80" s="2"/>
      <c r="Q80" s="2"/>
      <c r="R80" s="2"/>
      <c r="S80" s="2"/>
      <c r="T80" s="2"/>
      <c r="U80" s="2"/>
      <c r="V80" s="2"/>
      <c r="W80" s="2"/>
    </row>
    <row r="81" spans="1:23" x14ac:dyDescent="0.2">
      <c r="A81" s="544" t="s">
        <v>214</v>
      </c>
      <c r="B81" s="548"/>
      <c r="C81" s="544"/>
      <c r="D81" s="552">
        <f>+'COS 1'!R370</f>
        <v>36062520.456712186</v>
      </c>
      <c r="E81" s="544"/>
      <c r="F81" s="549">
        <f>+'COS 1'!R371</f>
        <v>7.7799999999999994E-2</v>
      </c>
      <c r="G81" s="2"/>
      <c r="O81" s="2"/>
      <c r="P81" s="2"/>
      <c r="Q81" s="2"/>
      <c r="R81" s="2"/>
      <c r="S81" s="2"/>
      <c r="T81" s="2"/>
      <c r="U81" s="2"/>
      <c r="V81" s="2"/>
      <c r="W81" s="2"/>
    </row>
    <row r="82" spans="1:23" ht="13.9" customHeight="1" x14ac:dyDescent="0.2">
      <c r="A82" s="544" t="s">
        <v>333</v>
      </c>
      <c r="B82" s="548"/>
      <c r="C82" s="544"/>
      <c r="D82" s="552">
        <f>+'COS 1'!T370</f>
        <v>9513913.9947667588</v>
      </c>
      <c r="E82" s="544"/>
      <c r="F82" s="549">
        <f>+'COS 1'!T371</f>
        <v>2.0500000000000001E-2</v>
      </c>
      <c r="G82" s="2"/>
      <c r="O82" s="2"/>
      <c r="P82" s="2"/>
      <c r="Q82" s="2"/>
      <c r="R82" s="2"/>
      <c r="S82" s="2"/>
      <c r="T82" s="2"/>
      <c r="U82" s="2"/>
      <c r="V82" s="2"/>
      <c r="W82" s="2"/>
    </row>
    <row r="83" spans="1:23" ht="13.35" customHeight="1" x14ac:dyDescent="0.2">
      <c r="A83" s="544" t="s">
        <v>216</v>
      </c>
      <c r="B83" s="548"/>
      <c r="C83" s="544"/>
      <c r="D83" s="552">
        <f>+'COS 1'!V370</f>
        <v>13994057.48216054</v>
      </c>
      <c r="E83" s="544"/>
      <c r="F83" s="549">
        <f>+'COS 1'!V371</f>
        <v>3.0200000000000001E-2</v>
      </c>
      <c r="G83" s="2"/>
      <c r="O83" s="2"/>
      <c r="P83" s="2"/>
      <c r="Q83" s="2"/>
      <c r="R83" s="2"/>
      <c r="S83" s="2"/>
      <c r="T83" s="2"/>
      <c r="U83" s="2"/>
      <c r="V83" s="2"/>
      <c r="W83" s="2"/>
    </row>
    <row r="84" spans="1:23" ht="13.35" customHeight="1" x14ac:dyDescent="0.2">
      <c r="A84" s="544" t="s">
        <v>217</v>
      </c>
      <c r="B84" s="548"/>
      <c r="C84" s="544"/>
      <c r="D84" s="552">
        <f>+'COS 1'!X370</f>
        <v>28195613.591492247</v>
      </c>
      <c r="E84" s="544"/>
      <c r="F84" s="549">
        <f>+'COS 1'!X371</f>
        <v>6.08E-2</v>
      </c>
      <c r="G84" s="2"/>
      <c r="O84" s="2"/>
      <c r="P84" s="2"/>
      <c r="Q84" s="2"/>
      <c r="R84" s="2"/>
      <c r="S84" s="2"/>
      <c r="T84" s="2"/>
      <c r="U84" s="2"/>
      <c r="V84" s="2"/>
      <c r="W84" s="2"/>
    </row>
    <row r="85" spans="1:23" ht="13.35" customHeight="1" x14ac:dyDescent="0.2">
      <c r="A85" s="544"/>
      <c r="B85" s="548"/>
      <c r="C85" s="544"/>
      <c r="D85" s="553"/>
      <c r="E85" s="544"/>
      <c r="F85" s="554"/>
      <c r="G85" s="2"/>
      <c r="O85" s="2"/>
      <c r="P85" s="2"/>
      <c r="Q85" s="2"/>
      <c r="R85" s="2"/>
      <c r="S85" s="2"/>
      <c r="T85" s="2"/>
      <c r="U85" s="2"/>
      <c r="V85" s="2"/>
      <c r="W85" s="2"/>
    </row>
    <row r="86" spans="1:23" ht="13.35" customHeight="1" thickBot="1" x14ac:dyDescent="0.25">
      <c r="A86" s="544" t="s">
        <v>218</v>
      </c>
      <c r="B86" s="548"/>
      <c r="C86" s="544"/>
      <c r="D86" s="555">
        <f>SUM(D78:D85)</f>
        <v>463660482.91129774</v>
      </c>
      <c r="E86" s="544"/>
      <c r="F86" s="549">
        <f>SUM(F78:F85)</f>
        <v>1</v>
      </c>
      <c r="G86" s="2"/>
      <c r="O86" s="2"/>
      <c r="P86" s="2"/>
      <c r="Q86" s="2"/>
      <c r="R86" s="2"/>
      <c r="S86" s="2"/>
      <c r="T86" s="2"/>
      <c r="U86" s="2"/>
      <c r="V86" s="2"/>
      <c r="W86" s="2"/>
    </row>
    <row r="87" spans="1:23" ht="13.35" customHeight="1" thickTop="1" x14ac:dyDescent="0.2">
      <c r="A87" s="544"/>
      <c r="B87" s="544"/>
      <c r="C87" s="544"/>
      <c r="D87" s="556"/>
      <c r="E87" s="557"/>
      <c r="F87" s="558"/>
      <c r="G87" s="2"/>
      <c r="O87" s="2"/>
      <c r="P87" s="2"/>
      <c r="Q87" s="2"/>
      <c r="R87" s="2"/>
      <c r="S87" s="2"/>
      <c r="T87" s="2"/>
      <c r="U87" s="2"/>
      <c r="V87" s="2"/>
      <c r="W87" s="2"/>
    </row>
    <row r="88" spans="1:23" x14ac:dyDescent="0.2">
      <c r="A88" s="15" t="s">
        <v>8</v>
      </c>
      <c r="B88" s="1"/>
      <c r="C88" s="15"/>
      <c r="D88" s="1"/>
      <c r="E88" s="1"/>
      <c r="F88" s="1"/>
      <c r="G88" s="2"/>
      <c r="O88" s="2"/>
      <c r="P88" s="2"/>
      <c r="Q88" s="2"/>
      <c r="R88" s="2"/>
      <c r="S88" s="2"/>
      <c r="T88" s="2"/>
      <c r="U88" s="2"/>
      <c r="V88" s="2"/>
      <c r="W88" s="2"/>
    </row>
    <row r="89" spans="1:23" x14ac:dyDescent="0.2">
      <c r="A89" s="1"/>
      <c r="B89" s="1"/>
      <c r="C89" s="1"/>
      <c r="D89" s="1"/>
      <c r="E89" s="1"/>
      <c r="F89" s="1"/>
      <c r="G89" s="2"/>
      <c r="O89" s="2"/>
      <c r="P89" s="2"/>
      <c r="Q89" s="2"/>
      <c r="R89" s="2"/>
      <c r="S89" s="2"/>
      <c r="T89" s="2"/>
      <c r="U89" s="2"/>
      <c r="V89" s="2"/>
      <c r="W89" s="2"/>
    </row>
    <row r="90" spans="1:23" x14ac:dyDescent="0.2">
      <c r="A90" s="543" t="s">
        <v>234</v>
      </c>
      <c r="B90" s="543"/>
      <c r="C90" s="543"/>
      <c r="D90" s="543"/>
      <c r="E90" s="543"/>
      <c r="F90" s="543"/>
      <c r="G90" s="2"/>
      <c r="O90" s="2"/>
      <c r="P90" s="2"/>
      <c r="Q90" s="2"/>
      <c r="R90" s="2"/>
      <c r="S90" s="2"/>
      <c r="T90" s="2"/>
      <c r="U90" s="2"/>
      <c r="V90" s="2"/>
      <c r="W90" s="2"/>
    </row>
    <row r="91" spans="1:23" x14ac:dyDescent="0.2">
      <c r="A91" s="544"/>
      <c r="B91" s="544"/>
      <c r="C91" s="544"/>
      <c r="D91" s="544"/>
      <c r="E91" s="544"/>
      <c r="F91" s="544"/>
      <c r="G91" s="2"/>
      <c r="H91" s="2"/>
      <c r="I91" s="2"/>
      <c r="J91" s="2"/>
      <c r="K91" s="2"/>
      <c r="L91" s="2"/>
      <c r="M91" s="2"/>
      <c r="N91" s="2"/>
      <c r="O91" s="2"/>
      <c r="P91" s="2"/>
      <c r="Q91" s="2"/>
      <c r="R91" s="2"/>
      <c r="S91" s="7"/>
      <c r="T91" s="2"/>
      <c r="U91" s="57"/>
      <c r="V91" s="2"/>
      <c r="W91" s="2"/>
    </row>
    <row r="92" spans="1:23" x14ac:dyDescent="0.2">
      <c r="A92" s="544" t="s">
        <v>165</v>
      </c>
      <c r="B92" s="544"/>
      <c r="C92" s="544"/>
      <c r="D92" s="544"/>
      <c r="E92" s="544"/>
      <c r="F92" s="544"/>
      <c r="G92" s="2"/>
      <c r="H92" s="2"/>
      <c r="I92" s="2"/>
      <c r="J92" s="2"/>
      <c r="K92" s="2"/>
      <c r="L92" s="2"/>
      <c r="M92" s="2"/>
      <c r="N92" s="2"/>
      <c r="O92" s="2"/>
      <c r="P92" s="2"/>
      <c r="Q92" s="2"/>
      <c r="R92" s="2"/>
      <c r="S92" s="7"/>
      <c r="T92" s="2"/>
      <c r="U92" s="57"/>
      <c r="V92" s="2"/>
      <c r="W92" s="2"/>
    </row>
    <row r="93" spans="1:23" x14ac:dyDescent="0.2">
      <c r="A93" s="544"/>
      <c r="B93" s="544"/>
      <c r="C93" s="544"/>
      <c r="D93" s="544"/>
      <c r="E93" s="544"/>
      <c r="F93" s="544"/>
      <c r="G93" s="2"/>
      <c r="H93" s="2"/>
      <c r="I93" s="2"/>
      <c r="J93" s="2"/>
      <c r="K93" s="2"/>
      <c r="L93" s="2"/>
      <c r="M93" s="2"/>
      <c r="N93" s="2"/>
      <c r="O93" s="2"/>
      <c r="P93" s="2"/>
      <c r="Q93" s="2"/>
      <c r="R93" s="2"/>
      <c r="S93" s="7"/>
      <c r="T93" s="2"/>
      <c r="U93" s="57"/>
      <c r="V93" s="2"/>
      <c r="W93" s="2"/>
    </row>
    <row r="94" spans="1:23" ht="28.15" customHeight="1" x14ac:dyDescent="0.2">
      <c r="A94" s="848" t="s">
        <v>386</v>
      </c>
      <c r="B94" s="848"/>
      <c r="C94" s="848"/>
      <c r="D94" s="848"/>
      <c r="E94" s="848"/>
      <c r="F94" s="848"/>
      <c r="G94" s="2"/>
      <c r="H94" s="2"/>
      <c r="I94" s="2"/>
      <c r="J94" s="2"/>
      <c r="K94" s="2"/>
      <c r="L94" s="2"/>
      <c r="M94" s="2"/>
      <c r="N94" s="2"/>
      <c r="O94" s="2"/>
      <c r="P94" s="2"/>
      <c r="Q94" s="2"/>
      <c r="R94" s="2"/>
      <c r="S94" s="7"/>
      <c r="T94" s="2"/>
      <c r="U94" s="57"/>
      <c r="V94" s="2"/>
      <c r="W94" s="2"/>
    </row>
    <row r="95" spans="1:23" x14ac:dyDescent="0.2">
      <c r="A95" s="544"/>
      <c r="B95" s="544"/>
      <c r="C95" s="544"/>
      <c r="D95" s="544"/>
      <c r="E95" s="544"/>
      <c r="F95" s="544"/>
      <c r="G95" s="2"/>
      <c r="H95" s="2"/>
      <c r="I95" s="2"/>
      <c r="J95" s="2"/>
      <c r="K95" s="2"/>
      <c r="L95" s="2"/>
      <c r="M95" s="2"/>
      <c r="N95" s="2"/>
      <c r="O95" s="2"/>
    </row>
    <row r="96" spans="1:23" x14ac:dyDescent="0.2">
      <c r="A96" s="544"/>
      <c r="B96" s="544"/>
      <c r="C96" s="544"/>
      <c r="D96" s="545" t="s">
        <v>383</v>
      </c>
      <c r="E96" s="545"/>
      <c r="F96" s="545"/>
      <c r="G96" s="2"/>
      <c r="H96" s="2"/>
      <c r="I96" s="2"/>
      <c r="J96" s="2"/>
      <c r="K96" s="2"/>
      <c r="L96" s="2"/>
      <c r="M96" s="2"/>
      <c r="N96" s="2"/>
      <c r="O96" s="2"/>
    </row>
    <row r="97" spans="1:15" x14ac:dyDescent="0.2">
      <c r="A97" s="543" t="s">
        <v>200</v>
      </c>
      <c r="B97" s="543"/>
      <c r="C97" s="544"/>
      <c r="D97" s="545" t="s">
        <v>387</v>
      </c>
      <c r="E97" s="545"/>
      <c r="F97" s="545" t="s">
        <v>202</v>
      </c>
      <c r="G97" s="2"/>
      <c r="H97" s="2"/>
      <c r="I97" s="2"/>
      <c r="J97" s="2"/>
      <c r="K97" s="2"/>
      <c r="L97" s="2"/>
      <c r="M97" s="2"/>
      <c r="N97" s="2"/>
      <c r="O97" s="2"/>
    </row>
    <row r="98" spans="1:15" x14ac:dyDescent="0.2">
      <c r="A98" s="543" t="s">
        <v>203</v>
      </c>
      <c r="B98" s="543"/>
      <c r="C98" s="544"/>
      <c r="D98" s="545" t="s">
        <v>388</v>
      </c>
      <c r="E98" s="545"/>
      <c r="F98" s="545" t="s">
        <v>204</v>
      </c>
      <c r="G98" s="2"/>
      <c r="H98" s="2"/>
      <c r="I98" s="2"/>
      <c r="J98" s="2"/>
      <c r="K98" s="2"/>
      <c r="L98" s="2"/>
      <c r="M98" s="2"/>
      <c r="N98" s="2"/>
      <c r="O98" s="2"/>
    </row>
    <row r="99" spans="1:15" x14ac:dyDescent="0.2">
      <c r="A99" s="546" t="s">
        <v>205</v>
      </c>
      <c r="B99" s="546"/>
      <c r="C99" s="544"/>
      <c r="D99" s="547" t="s">
        <v>227</v>
      </c>
      <c r="E99" s="545" t="s">
        <v>325</v>
      </c>
      <c r="F99" s="547" t="s">
        <v>207</v>
      </c>
      <c r="G99" s="2"/>
      <c r="H99" s="2"/>
      <c r="I99" s="2"/>
      <c r="J99" s="2"/>
      <c r="K99" s="2"/>
      <c r="L99" s="2"/>
      <c r="M99" s="2"/>
      <c r="N99" s="2"/>
      <c r="O99" s="2"/>
    </row>
    <row r="100" spans="1:15" x14ac:dyDescent="0.2">
      <c r="A100" s="544"/>
      <c r="B100" s="548"/>
      <c r="C100" s="544"/>
      <c r="D100" s="544"/>
      <c r="E100" s="544"/>
      <c r="F100" s="549"/>
      <c r="G100" s="2"/>
      <c r="H100" s="2"/>
      <c r="I100" s="2"/>
      <c r="J100" s="2"/>
      <c r="K100" s="2"/>
      <c r="L100" s="2"/>
      <c r="M100" s="2"/>
      <c r="N100" s="2"/>
      <c r="O100" s="2"/>
    </row>
    <row r="101" spans="1:15" x14ac:dyDescent="0.2">
      <c r="A101" s="544" t="s">
        <v>208</v>
      </c>
      <c r="B101" s="548"/>
      <c r="C101" s="544"/>
      <c r="D101" s="550">
        <f ca="1">+'COS 1'!L372</f>
        <v>206100839.51034138</v>
      </c>
      <c r="E101" s="544"/>
      <c r="F101" s="551">
        <f ca="1">+'COS 1'!L373</f>
        <v>0.51019999999999999</v>
      </c>
      <c r="G101" s="2"/>
      <c r="H101" s="2"/>
      <c r="I101" s="2"/>
      <c r="J101" s="2"/>
      <c r="K101" s="2"/>
      <c r="L101" s="2"/>
      <c r="M101" s="2"/>
      <c r="N101" s="2"/>
      <c r="O101" s="2"/>
    </row>
    <row r="102" spans="1:15" x14ac:dyDescent="0.2">
      <c r="A102" s="544" t="s">
        <v>209</v>
      </c>
      <c r="B102" s="548"/>
      <c r="C102" s="544"/>
      <c r="D102" s="552">
        <f ca="1">+'COS 1'!N372</f>
        <v>105201304.90164655</v>
      </c>
      <c r="E102" s="544"/>
      <c r="F102" s="549">
        <f ca="1">+'COS 1'!N373</f>
        <v>0.26050000000000001</v>
      </c>
      <c r="G102" s="2"/>
      <c r="H102" s="2"/>
      <c r="I102" s="2"/>
      <c r="J102" s="2"/>
      <c r="K102" s="2"/>
      <c r="L102" s="2"/>
      <c r="M102" s="2"/>
      <c r="N102" s="2"/>
      <c r="O102" s="2"/>
    </row>
    <row r="103" spans="1:15" x14ac:dyDescent="0.2">
      <c r="A103" s="544" t="s">
        <v>210</v>
      </c>
      <c r="B103" s="548"/>
      <c r="C103" s="544"/>
      <c r="D103" s="552">
        <f ca="1">+'COS 1'!P372</f>
        <v>15632890.023243736</v>
      </c>
      <c r="E103" s="544"/>
      <c r="F103" s="549">
        <f ca="1">+'COS 1'!P373</f>
        <v>3.8699999999999998E-2</v>
      </c>
      <c r="G103" s="2"/>
      <c r="H103" s="2"/>
      <c r="I103" s="2"/>
      <c r="J103" s="2"/>
      <c r="K103" s="2"/>
      <c r="L103" s="2"/>
      <c r="M103" s="2"/>
      <c r="N103" s="2"/>
      <c r="O103" s="2"/>
    </row>
    <row r="104" spans="1:15" x14ac:dyDescent="0.2">
      <c r="A104" s="544" t="s">
        <v>214</v>
      </c>
      <c r="B104" s="548"/>
      <c r="C104" s="544"/>
      <c r="D104" s="552">
        <f ca="1">+'COS 1'!R372</f>
        <v>31207207.37528713</v>
      </c>
      <c r="E104" s="544"/>
      <c r="F104" s="549">
        <f ca="1">+'COS 1'!R373</f>
        <v>7.7299999999999994E-2</v>
      </c>
      <c r="G104" s="2"/>
      <c r="H104" s="2"/>
      <c r="I104" s="2"/>
      <c r="J104" s="2"/>
      <c r="K104" s="2"/>
      <c r="L104" s="2"/>
      <c r="M104" s="2"/>
      <c r="N104" s="2"/>
      <c r="O104" s="2"/>
    </row>
    <row r="105" spans="1:15" x14ac:dyDescent="0.2">
      <c r="A105" s="544" t="s">
        <v>333</v>
      </c>
      <c r="B105" s="548"/>
      <c r="C105" s="544"/>
      <c r="D105" s="552">
        <f ca="1">+'COS 1'!T372</f>
        <v>8277579.7752298238</v>
      </c>
      <c r="E105" s="544"/>
      <c r="F105" s="549">
        <f ca="1">+'COS 1'!T373</f>
        <v>2.0500000000000001E-2</v>
      </c>
      <c r="G105" s="2"/>
      <c r="H105" s="2"/>
      <c r="I105" s="2"/>
      <c r="J105" s="2"/>
      <c r="K105" s="2"/>
      <c r="L105" s="2"/>
      <c r="M105" s="2"/>
      <c r="N105" s="2"/>
      <c r="O105" s="2"/>
    </row>
    <row r="106" spans="1:15" x14ac:dyDescent="0.2">
      <c r="A106" s="544" t="s">
        <v>216</v>
      </c>
      <c r="B106" s="548"/>
      <c r="C106" s="544"/>
      <c r="D106" s="552">
        <f ca="1">+'COS 1'!V372</f>
        <v>12706425.935659299</v>
      </c>
      <c r="E106" s="544"/>
      <c r="F106" s="549">
        <f ca="1">+'COS 1'!V373</f>
        <v>3.15E-2</v>
      </c>
      <c r="G106" s="2"/>
      <c r="H106" s="2"/>
      <c r="I106" s="2"/>
      <c r="J106" s="2"/>
      <c r="K106" s="2"/>
      <c r="L106" s="2"/>
      <c r="M106" s="2"/>
      <c r="N106" s="2"/>
      <c r="O106" s="2"/>
    </row>
    <row r="107" spans="1:15" x14ac:dyDescent="0.2">
      <c r="A107" s="544" t="s">
        <v>217</v>
      </c>
      <c r="B107" s="548"/>
      <c r="C107" s="544"/>
      <c r="D107" s="552">
        <f ca="1">+'COS 1'!X372</f>
        <v>24769894.836868554</v>
      </c>
      <c r="E107" s="544"/>
      <c r="F107" s="549">
        <f ca="1">+'COS 1'!X373</f>
        <v>6.13E-2</v>
      </c>
      <c r="G107" s="2"/>
      <c r="H107" s="2"/>
      <c r="I107" s="2"/>
      <c r="J107" s="2"/>
      <c r="K107" s="2"/>
      <c r="L107" s="2"/>
      <c r="M107" s="2"/>
      <c r="N107" s="2"/>
      <c r="O107" s="2"/>
    </row>
    <row r="108" spans="1:15" ht="12.75" customHeight="1" x14ac:dyDescent="0.2">
      <c r="A108" s="544"/>
      <c r="B108" s="548"/>
      <c r="C108" s="544"/>
      <c r="D108" s="553"/>
      <c r="E108" s="544"/>
      <c r="F108" s="554"/>
      <c r="G108" s="2"/>
      <c r="H108" s="2"/>
      <c r="I108" s="2"/>
      <c r="J108" s="2"/>
      <c r="K108" s="2"/>
      <c r="L108" s="2"/>
      <c r="M108" s="2"/>
      <c r="N108" s="2"/>
      <c r="O108" s="2"/>
    </row>
    <row r="109" spans="1:15" ht="13.35" customHeight="1" thickBot="1" x14ac:dyDescent="0.25">
      <c r="A109" s="544" t="s">
        <v>218</v>
      </c>
      <c r="B109" s="548"/>
      <c r="C109" s="544"/>
      <c r="D109" s="555">
        <f ca="1">SUM(D101:D108)</f>
        <v>403896142.35827637</v>
      </c>
      <c r="E109" s="544"/>
      <c r="F109" s="549">
        <f ca="1">SUM(F101:F108)</f>
        <v>0.99999999999999989</v>
      </c>
      <c r="G109" s="2"/>
      <c r="H109" s="2"/>
      <c r="I109" s="2"/>
      <c r="J109" s="2"/>
      <c r="K109" s="2"/>
      <c r="L109" s="2"/>
      <c r="M109" s="2"/>
      <c r="N109" s="2"/>
      <c r="O109" s="2"/>
    </row>
    <row r="110" spans="1:15" ht="13.35" customHeight="1" thickTop="1" x14ac:dyDescent="0.2">
      <c r="A110" s="544"/>
      <c r="B110" s="544"/>
      <c r="C110" s="544"/>
      <c r="D110" s="556"/>
      <c r="E110" s="557"/>
      <c r="F110" s="558"/>
      <c r="G110" s="2"/>
      <c r="H110" s="2"/>
      <c r="I110" s="2"/>
      <c r="J110" s="2"/>
      <c r="K110" s="2"/>
      <c r="L110" s="2"/>
      <c r="M110" s="2"/>
      <c r="N110" s="2"/>
      <c r="O110" s="2"/>
    </row>
    <row r="111" spans="1:15" ht="13.35" customHeight="1" x14ac:dyDescent="0.2">
      <c r="A111" s="544"/>
      <c r="B111" s="544"/>
      <c r="C111" s="544"/>
      <c r="D111" s="544"/>
      <c r="E111" s="544"/>
      <c r="F111" s="544"/>
      <c r="G111" s="2"/>
      <c r="H111" s="2"/>
      <c r="I111" s="2"/>
      <c r="J111" s="2"/>
      <c r="K111" s="2"/>
      <c r="L111" s="2"/>
      <c r="M111" s="2"/>
      <c r="N111" s="2"/>
      <c r="O111" s="2"/>
    </row>
    <row r="112" spans="1:15" ht="13.35" customHeight="1" x14ac:dyDescent="0.2">
      <c r="A112" s="544" t="s">
        <v>990</v>
      </c>
      <c r="B112" s="544"/>
      <c r="C112" s="544"/>
      <c r="D112" s="544"/>
      <c r="E112" s="544"/>
      <c r="F112" s="544"/>
      <c r="G112" s="2"/>
      <c r="H112" s="2"/>
      <c r="I112" s="2"/>
      <c r="J112" s="2"/>
      <c r="K112" s="2"/>
      <c r="L112" s="2"/>
      <c r="M112" s="2"/>
      <c r="N112" s="2"/>
      <c r="O112" s="2"/>
    </row>
    <row r="113" spans="1:15" ht="13.35" customHeight="1" x14ac:dyDescent="0.2">
      <c r="A113" s="544" t="s">
        <v>991</v>
      </c>
      <c r="B113" s="544"/>
      <c r="C113" s="544"/>
      <c r="D113" s="544"/>
      <c r="E113" s="544"/>
      <c r="F113" s="544"/>
      <c r="G113" s="2"/>
      <c r="H113" s="2"/>
      <c r="I113" s="2"/>
      <c r="J113" s="2"/>
      <c r="K113" s="2"/>
      <c r="L113" s="2"/>
      <c r="M113" s="2"/>
      <c r="N113" s="2"/>
      <c r="O113" s="2"/>
    </row>
    <row r="114" spans="1:15" ht="13.35" customHeight="1" x14ac:dyDescent="0.2">
      <c r="A114" s="544"/>
      <c r="B114" s="544"/>
      <c r="C114" s="544"/>
      <c r="D114" s="544"/>
      <c r="E114" s="544"/>
      <c r="F114" s="544"/>
      <c r="G114" s="2"/>
      <c r="H114" s="2"/>
      <c r="I114" s="2"/>
      <c r="J114" s="2"/>
      <c r="K114" s="2"/>
      <c r="L114" s="2"/>
      <c r="M114" s="2"/>
      <c r="N114" s="2"/>
      <c r="O114" s="2"/>
    </row>
    <row r="115" spans="1:15" ht="29.25" customHeight="1" x14ac:dyDescent="0.2">
      <c r="A115" s="848" t="s">
        <v>389</v>
      </c>
      <c r="B115" s="848"/>
      <c r="C115" s="848"/>
      <c r="D115" s="848"/>
      <c r="E115" s="848"/>
      <c r="F115" s="848"/>
      <c r="G115" s="2"/>
      <c r="H115" s="2"/>
      <c r="I115" s="2"/>
      <c r="J115" s="2"/>
      <c r="K115" s="2"/>
      <c r="L115" s="2"/>
      <c r="M115" s="2"/>
      <c r="N115" s="2"/>
      <c r="O115" s="2"/>
    </row>
    <row r="116" spans="1:15" x14ac:dyDescent="0.2">
      <c r="A116" s="544"/>
      <c r="B116" s="544"/>
      <c r="C116" s="544"/>
      <c r="D116" s="544"/>
      <c r="E116" s="544"/>
      <c r="F116" s="544"/>
      <c r="G116" s="2"/>
      <c r="H116" s="2"/>
      <c r="I116" s="2"/>
      <c r="J116" s="2"/>
      <c r="K116" s="2"/>
      <c r="L116" s="2"/>
      <c r="M116" s="2"/>
      <c r="N116" s="2"/>
      <c r="O116" s="2"/>
    </row>
    <row r="117" spans="1:15" x14ac:dyDescent="0.2">
      <c r="A117" s="543" t="s">
        <v>200</v>
      </c>
      <c r="B117" s="543"/>
      <c r="C117" s="544"/>
      <c r="D117" s="545" t="s">
        <v>390</v>
      </c>
      <c r="E117" s="545"/>
      <c r="F117" s="545" t="s">
        <v>202</v>
      </c>
      <c r="G117" s="2"/>
      <c r="H117" s="2"/>
      <c r="I117" s="2"/>
      <c r="J117" s="2"/>
      <c r="K117" s="2"/>
      <c r="L117" s="2"/>
      <c r="M117" s="2"/>
      <c r="N117" s="2"/>
      <c r="O117" s="2"/>
    </row>
    <row r="118" spans="1:15" x14ac:dyDescent="0.2">
      <c r="A118" s="543" t="s">
        <v>203</v>
      </c>
      <c r="B118" s="543"/>
      <c r="C118" s="544"/>
      <c r="D118" s="545" t="s">
        <v>391</v>
      </c>
      <c r="E118" s="545"/>
      <c r="F118" s="545" t="s">
        <v>204</v>
      </c>
      <c r="G118" s="2"/>
      <c r="H118" s="2"/>
      <c r="I118" s="2"/>
      <c r="J118" s="2"/>
      <c r="K118" s="2"/>
      <c r="L118" s="2"/>
      <c r="M118" s="2"/>
      <c r="N118" s="2"/>
      <c r="O118" s="2"/>
    </row>
    <row r="119" spans="1:15" x14ac:dyDescent="0.2">
      <c r="A119" s="546" t="s">
        <v>205</v>
      </c>
      <c r="B119" s="546"/>
      <c r="C119" s="544"/>
      <c r="D119" s="547" t="s">
        <v>227</v>
      </c>
      <c r="E119" s="545" t="s">
        <v>325</v>
      </c>
      <c r="F119" s="547" t="s">
        <v>207</v>
      </c>
      <c r="G119" s="2"/>
      <c r="H119" s="2"/>
      <c r="I119" s="2"/>
      <c r="J119" s="2"/>
      <c r="K119" s="2"/>
      <c r="L119" s="2"/>
      <c r="M119" s="2"/>
      <c r="N119" s="2"/>
      <c r="O119" s="2"/>
    </row>
    <row r="120" spans="1:15" x14ac:dyDescent="0.2">
      <c r="A120" s="544"/>
      <c r="B120" s="548"/>
      <c r="C120" s="544"/>
      <c r="D120" s="544"/>
      <c r="E120" s="544"/>
      <c r="F120" s="549"/>
      <c r="G120" s="2"/>
      <c r="H120" s="2"/>
      <c r="I120" s="2"/>
      <c r="J120" s="2"/>
      <c r="K120" s="2"/>
      <c r="L120" s="2"/>
      <c r="M120" s="2"/>
      <c r="N120" s="2"/>
      <c r="O120" s="2"/>
    </row>
    <row r="121" spans="1:15" x14ac:dyDescent="0.2">
      <c r="A121" s="544" t="s">
        <v>208</v>
      </c>
      <c r="B121" s="548"/>
      <c r="C121" s="544"/>
      <c r="D121" s="550">
        <f ca="1">+'COS 1'!L374</f>
        <v>57752087.028571285</v>
      </c>
      <c r="E121" s="544"/>
      <c r="F121" s="551">
        <f ca="1">+'COS 1'!L375</f>
        <v>0.56989999999999996</v>
      </c>
      <c r="G121" s="2"/>
      <c r="H121" s="2"/>
      <c r="I121" s="2"/>
      <c r="J121" s="2"/>
      <c r="K121" s="2"/>
      <c r="L121" s="2"/>
      <c r="M121" s="2"/>
      <c r="N121" s="2"/>
      <c r="O121" s="2"/>
    </row>
    <row r="122" spans="1:15" x14ac:dyDescent="0.2">
      <c r="A122" s="544" t="s">
        <v>209</v>
      </c>
      <c r="B122" s="548"/>
      <c r="C122" s="544"/>
      <c r="D122" s="552">
        <f ca="1">+'COS 1'!N374</f>
        <v>23999074.60035773</v>
      </c>
      <c r="E122" s="544"/>
      <c r="F122" s="549">
        <f ca="1">+'COS 1'!N375</f>
        <v>0.2369</v>
      </c>
      <c r="G122" s="2"/>
      <c r="H122" s="2"/>
      <c r="I122" s="2"/>
      <c r="J122" s="2"/>
      <c r="K122" s="2"/>
      <c r="L122" s="2"/>
      <c r="M122" s="2"/>
      <c r="N122" s="2"/>
      <c r="O122" s="2"/>
    </row>
    <row r="123" spans="1:15" x14ac:dyDescent="0.2">
      <c r="A123" s="544" t="s">
        <v>210</v>
      </c>
      <c r="B123" s="548"/>
      <c r="C123" s="544"/>
      <c r="D123" s="552">
        <f ca="1">+'COS 1'!P374</f>
        <v>3450367.0974716018</v>
      </c>
      <c r="E123" s="544"/>
      <c r="F123" s="549">
        <f ca="1">+'COS 1'!P375</f>
        <v>3.4099999999999998E-2</v>
      </c>
      <c r="G123" s="2"/>
      <c r="H123" s="2"/>
      <c r="I123" s="2"/>
      <c r="J123" s="2"/>
      <c r="K123" s="2"/>
      <c r="L123" s="2"/>
      <c r="M123" s="2"/>
      <c r="N123" s="2"/>
      <c r="O123" s="2"/>
    </row>
    <row r="124" spans="1:15" x14ac:dyDescent="0.2">
      <c r="A124" s="544" t="s">
        <v>214</v>
      </c>
      <c r="B124" s="548"/>
      <c r="C124" s="544"/>
      <c r="D124" s="552">
        <f ca="1">+'COS 1'!R374</f>
        <v>7023371.0490241433</v>
      </c>
      <c r="E124" s="544"/>
      <c r="F124" s="549">
        <f ca="1">+'COS 1'!R375</f>
        <v>6.93E-2</v>
      </c>
      <c r="G124" s="2"/>
      <c r="H124" s="2"/>
      <c r="I124" s="2"/>
      <c r="J124" s="2"/>
      <c r="K124" s="2"/>
      <c r="L124" s="2"/>
      <c r="M124" s="2"/>
      <c r="N124" s="2"/>
      <c r="O124" s="2"/>
    </row>
    <row r="125" spans="1:15" x14ac:dyDescent="0.2">
      <c r="A125" s="544" t="s">
        <v>333</v>
      </c>
      <c r="B125" s="548"/>
      <c r="C125" s="544"/>
      <c r="D125" s="552">
        <f ca="1">+'COS 1'!T374</f>
        <v>1903271.2537328682</v>
      </c>
      <c r="E125" s="544"/>
      <c r="F125" s="549">
        <f ca="1">+'COS 1'!T375</f>
        <v>1.8800000000000001E-2</v>
      </c>
      <c r="G125" s="2"/>
      <c r="H125" s="2"/>
      <c r="I125" s="2"/>
      <c r="J125" s="2"/>
      <c r="K125" s="2"/>
      <c r="L125" s="2"/>
      <c r="M125" s="2"/>
      <c r="N125" s="2"/>
      <c r="O125" s="2"/>
    </row>
    <row r="126" spans="1:15" x14ac:dyDescent="0.2">
      <c r="A126" s="544" t="s">
        <v>216</v>
      </c>
      <c r="B126" s="548"/>
      <c r="C126" s="544"/>
      <c r="D126" s="552">
        <f ca="1">+'COS 1'!V374</f>
        <v>2486056.4909485462</v>
      </c>
      <c r="E126" s="544"/>
      <c r="F126" s="549">
        <f ca="1">+'COS 1'!V375</f>
        <v>2.4500000000000001E-2</v>
      </c>
      <c r="G126" s="2"/>
      <c r="H126" s="2"/>
      <c r="I126" s="2"/>
      <c r="J126" s="2"/>
      <c r="K126" s="2"/>
      <c r="L126" s="2"/>
      <c r="M126" s="2"/>
      <c r="N126" s="2"/>
      <c r="O126" s="2"/>
    </row>
    <row r="127" spans="1:15" x14ac:dyDescent="0.2">
      <c r="A127" s="544" t="s">
        <v>217</v>
      </c>
      <c r="B127" s="548"/>
      <c r="C127" s="544"/>
      <c r="D127" s="552">
        <f ca="1">+'COS 1'!X374</f>
        <v>4706512.7181249978</v>
      </c>
      <c r="E127" s="544"/>
      <c r="F127" s="549">
        <f ca="1">+'COS 1'!X375</f>
        <v>4.65E-2</v>
      </c>
      <c r="G127" s="2"/>
      <c r="H127" s="2"/>
      <c r="I127" s="2"/>
      <c r="J127" s="2"/>
      <c r="K127" s="2"/>
      <c r="L127" s="2"/>
      <c r="M127" s="2"/>
      <c r="N127" s="2"/>
      <c r="O127" s="2"/>
    </row>
    <row r="128" spans="1:15" ht="12.75" customHeight="1" x14ac:dyDescent="0.2">
      <c r="A128" s="544"/>
      <c r="B128" s="548"/>
      <c r="C128" s="544"/>
      <c r="D128" s="553"/>
      <c r="E128" s="544"/>
      <c r="F128" s="554"/>
      <c r="G128" s="2"/>
      <c r="H128" s="2"/>
      <c r="I128" s="2"/>
      <c r="J128" s="2"/>
      <c r="K128" s="2"/>
      <c r="L128" s="2"/>
      <c r="M128" s="2"/>
      <c r="N128" s="2"/>
      <c r="O128" s="2"/>
    </row>
    <row r="129" spans="1:21" ht="13.35" customHeight="1" thickBot="1" x14ac:dyDescent="0.25">
      <c r="A129" s="544" t="s">
        <v>218</v>
      </c>
      <c r="B129" s="548"/>
      <c r="C129" s="544"/>
      <c r="D129" s="555">
        <f ca="1">SUM(D121:D128)</f>
        <v>101320740.23823118</v>
      </c>
      <c r="E129" s="544"/>
      <c r="F129" s="549">
        <f ca="1">SUM(F121:F128)</f>
        <v>1</v>
      </c>
      <c r="G129" s="2"/>
      <c r="H129" s="2"/>
      <c r="I129" s="2"/>
      <c r="J129" s="2"/>
      <c r="K129" s="2"/>
      <c r="L129" s="2"/>
      <c r="M129" s="2"/>
      <c r="N129" s="2"/>
      <c r="O129" s="2"/>
      <c r="U129" s="12"/>
    </row>
    <row r="130" spans="1:21" ht="13.35" customHeight="1" thickTop="1" x14ac:dyDescent="0.2">
      <c r="A130" s="544"/>
      <c r="B130" s="544"/>
      <c r="C130" s="544"/>
      <c r="D130" s="556"/>
      <c r="E130" s="557"/>
      <c r="F130" s="558"/>
      <c r="G130" s="2"/>
      <c r="H130" s="2"/>
      <c r="I130" s="2"/>
      <c r="J130" s="2"/>
      <c r="K130" s="2"/>
      <c r="L130" s="2"/>
      <c r="M130" s="2"/>
      <c r="N130" s="2"/>
      <c r="O130" s="2"/>
    </row>
    <row r="131" spans="1:21" ht="13.35" customHeight="1" x14ac:dyDescent="0.2">
      <c r="A131" s="2"/>
      <c r="B131" s="2"/>
      <c r="C131" s="2"/>
      <c r="D131" s="2"/>
      <c r="E131" s="2"/>
      <c r="F131" s="2"/>
      <c r="G131" s="2"/>
      <c r="H131" s="2"/>
      <c r="I131" s="2"/>
      <c r="J131" s="2"/>
      <c r="K131" s="2"/>
      <c r="L131" s="2"/>
      <c r="M131" s="2"/>
      <c r="N131" s="2"/>
      <c r="O131" s="2"/>
    </row>
    <row r="132" spans="1:21" ht="13.35" customHeight="1" x14ac:dyDescent="0.2">
      <c r="A132" s="15" t="s">
        <v>8</v>
      </c>
      <c r="B132" s="1"/>
      <c r="C132" s="15"/>
      <c r="D132" s="1"/>
      <c r="E132" s="1"/>
      <c r="F132" s="1"/>
      <c r="G132" s="2"/>
      <c r="H132" s="2"/>
      <c r="I132" s="2"/>
      <c r="J132" s="2"/>
      <c r="K132" s="2"/>
      <c r="L132" s="2"/>
      <c r="M132" s="2"/>
      <c r="N132" s="2"/>
      <c r="O132" s="2"/>
    </row>
    <row r="133" spans="1:21" ht="13.35" customHeight="1" x14ac:dyDescent="0.2">
      <c r="A133" s="1"/>
      <c r="B133" s="1"/>
      <c r="C133" s="1"/>
      <c r="D133" s="1"/>
      <c r="E133" s="1"/>
      <c r="F133" s="1"/>
      <c r="G133" s="2"/>
      <c r="H133" s="2"/>
      <c r="I133" s="2"/>
      <c r="J133" s="2"/>
      <c r="K133" s="2"/>
      <c r="L133" s="2"/>
      <c r="M133" s="2"/>
      <c r="N133" s="2"/>
      <c r="O133" s="2"/>
    </row>
    <row r="134" spans="1:21" ht="13.35" customHeight="1" x14ac:dyDescent="0.2">
      <c r="A134" s="543" t="s">
        <v>234</v>
      </c>
      <c r="B134" s="543"/>
      <c r="C134" s="543"/>
      <c r="D134" s="543"/>
      <c r="E134" s="543"/>
      <c r="F134" s="543"/>
      <c r="G134" s="2"/>
      <c r="H134" s="2"/>
      <c r="I134" s="2"/>
      <c r="J134" s="2"/>
      <c r="K134" s="2"/>
      <c r="L134" s="2"/>
      <c r="M134" s="2"/>
      <c r="N134" s="2"/>
      <c r="O134" s="2"/>
    </row>
    <row r="135" spans="1:21" x14ac:dyDescent="0.2">
      <c r="A135" s="544"/>
      <c r="B135" s="544"/>
      <c r="C135" s="544"/>
      <c r="D135" s="544"/>
      <c r="E135" s="544"/>
      <c r="F135" s="544"/>
      <c r="G135" s="2"/>
      <c r="H135" s="2"/>
      <c r="I135" s="2"/>
      <c r="J135" s="2"/>
      <c r="K135" s="2"/>
      <c r="L135" s="2"/>
      <c r="M135" s="2"/>
      <c r="N135" s="2"/>
      <c r="O135" s="2"/>
    </row>
    <row r="136" spans="1:21" ht="15" customHeight="1" x14ac:dyDescent="0.2">
      <c r="A136" s="559" t="s">
        <v>118</v>
      </c>
      <c r="B136" s="559"/>
      <c r="C136" s="559"/>
      <c r="D136" s="559"/>
      <c r="E136" s="559"/>
      <c r="F136" s="559"/>
      <c r="G136" s="40"/>
      <c r="H136" s="2"/>
      <c r="I136" s="2"/>
      <c r="J136" s="2"/>
      <c r="K136" s="2"/>
      <c r="L136" s="2"/>
      <c r="M136" s="2"/>
      <c r="N136" s="2"/>
      <c r="O136" s="2"/>
    </row>
    <row r="137" spans="1:21" ht="11.45" customHeight="1" x14ac:dyDescent="0.2">
      <c r="A137" s="559"/>
      <c r="B137" s="559"/>
      <c r="C137" s="559"/>
      <c r="D137" s="559"/>
      <c r="E137" s="559"/>
      <c r="F137" s="559"/>
      <c r="G137" s="40"/>
      <c r="H137" s="2"/>
      <c r="I137" s="2"/>
      <c r="J137" s="2"/>
      <c r="K137" s="2"/>
      <c r="L137" s="2"/>
      <c r="M137" s="2"/>
      <c r="N137" s="2"/>
      <c r="O137" s="2"/>
    </row>
    <row r="138" spans="1:21" ht="15.75" customHeight="1" x14ac:dyDescent="0.2">
      <c r="A138" s="862" t="s">
        <v>115</v>
      </c>
      <c r="B138" s="862"/>
      <c r="C138" s="862"/>
      <c r="D138" s="862"/>
      <c r="E138" s="862"/>
      <c r="F138" s="862"/>
      <c r="G138" s="237"/>
      <c r="H138" s="2"/>
      <c r="I138" s="2"/>
      <c r="J138" s="2"/>
      <c r="K138" s="2"/>
      <c r="L138" s="2"/>
      <c r="M138" s="2"/>
      <c r="N138" s="2"/>
      <c r="O138" s="2"/>
    </row>
    <row r="139" spans="1:21" x14ac:dyDescent="0.2">
      <c r="A139" s="559"/>
      <c r="B139" s="559"/>
      <c r="C139" s="560"/>
      <c r="D139" s="559"/>
      <c r="E139" s="559"/>
      <c r="F139" s="559"/>
      <c r="G139" s="40"/>
    </row>
    <row r="140" spans="1:21" x14ac:dyDescent="0.2">
      <c r="A140" s="561" t="s">
        <v>200</v>
      </c>
      <c r="B140" s="561"/>
      <c r="C140" s="559"/>
      <c r="D140" s="562" t="s">
        <v>116</v>
      </c>
      <c r="E140" s="562"/>
      <c r="F140" s="562" t="s">
        <v>202</v>
      </c>
      <c r="G140" s="40"/>
    </row>
    <row r="141" spans="1:21" x14ac:dyDescent="0.2">
      <c r="A141" s="561" t="s">
        <v>203</v>
      </c>
      <c r="B141" s="561"/>
      <c r="C141" s="559"/>
      <c r="D141" s="562" t="s">
        <v>117</v>
      </c>
      <c r="E141" s="562"/>
      <c r="F141" s="562" t="s">
        <v>204</v>
      </c>
      <c r="G141" s="40"/>
    </row>
    <row r="142" spans="1:21" x14ac:dyDescent="0.2">
      <c r="A142" s="563" t="s">
        <v>205</v>
      </c>
      <c r="B142" s="563"/>
      <c r="C142" s="559"/>
      <c r="D142" s="564" t="s">
        <v>227</v>
      </c>
      <c r="E142" s="562" t="s">
        <v>325</v>
      </c>
      <c r="F142" s="564" t="s">
        <v>207</v>
      </c>
      <c r="G142" s="40"/>
    </row>
    <row r="143" spans="1:21" x14ac:dyDescent="0.2">
      <c r="A143" s="559"/>
      <c r="B143" s="565"/>
      <c r="C143" s="559"/>
      <c r="D143" s="559"/>
      <c r="E143" s="559"/>
      <c r="F143" s="566"/>
      <c r="G143" s="40"/>
    </row>
    <row r="144" spans="1:21" x14ac:dyDescent="0.2">
      <c r="A144" s="559" t="s">
        <v>208</v>
      </c>
      <c r="B144" s="565"/>
      <c r="C144" s="559"/>
      <c r="D144" s="567">
        <v>1236492</v>
      </c>
      <c r="E144" s="559"/>
      <c r="F144" s="568">
        <f>+ROUND(D144/$D$151,4)</f>
        <v>0.89859999999999995</v>
      </c>
      <c r="G144" s="40"/>
    </row>
    <row r="145" spans="1:7" x14ac:dyDescent="0.2">
      <c r="A145" s="559" t="s">
        <v>209</v>
      </c>
      <c r="B145" s="565"/>
      <c r="C145" s="559"/>
      <c r="D145" s="569">
        <v>76545</v>
      </c>
      <c r="E145" s="559"/>
      <c r="F145" s="568">
        <f t="shared" ref="F145:F149" si="0">+ROUND(D145/$D$151,4)</f>
        <v>5.5599999999999997E-2</v>
      </c>
      <c r="G145" s="40"/>
    </row>
    <row r="146" spans="1:7" x14ac:dyDescent="0.2">
      <c r="A146" s="559" t="s">
        <v>210</v>
      </c>
      <c r="B146" s="565"/>
      <c r="C146" s="559"/>
      <c r="D146" s="569">
        <v>13023</v>
      </c>
      <c r="E146" s="559"/>
      <c r="F146" s="568">
        <f t="shared" si="0"/>
        <v>9.4999999999999998E-3</v>
      </c>
      <c r="G146" s="40"/>
    </row>
    <row r="147" spans="1:7" x14ac:dyDescent="0.2">
      <c r="A147" s="559" t="s">
        <v>214</v>
      </c>
      <c r="B147" s="565"/>
      <c r="C147" s="559"/>
      <c r="D147" s="569">
        <v>28831</v>
      </c>
      <c r="E147" s="559"/>
      <c r="F147" s="568">
        <f t="shared" si="0"/>
        <v>2.1000000000000001E-2</v>
      </c>
      <c r="G147" s="40"/>
    </row>
    <row r="148" spans="1:7" x14ac:dyDescent="0.2">
      <c r="A148" s="559" t="s">
        <v>333</v>
      </c>
      <c r="B148" s="565"/>
      <c r="C148" s="559"/>
      <c r="D148" s="569">
        <v>0</v>
      </c>
      <c r="E148" s="559"/>
      <c r="F148" s="568">
        <f t="shared" si="0"/>
        <v>0</v>
      </c>
      <c r="G148" s="40"/>
    </row>
    <row r="149" spans="1:7" x14ac:dyDescent="0.2">
      <c r="A149" s="559" t="s">
        <v>154</v>
      </c>
      <c r="B149" s="565"/>
      <c r="C149" s="559"/>
      <c r="D149" s="569">
        <v>21077</v>
      </c>
      <c r="E149" s="559"/>
      <c r="F149" s="570">
        <f t="shared" si="0"/>
        <v>1.5299999999999999E-2</v>
      </c>
      <c r="G149" s="40"/>
    </row>
    <row r="150" spans="1:7" x14ac:dyDescent="0.2">
      <c r="A150" s="559"/>
      <c r="B150" s="565"/>
      <c r="C150" s="559"/>
      <c r="D150" s="571"/>
      <c r="E150" s="559"/>
      <c r="F150" s="572"/>
      <c r="G150" s="40"/>
    </row>
    <row r="151" spans="1:7" ht="15.75" thickBot="1" x14ac:dyDescent="0.25">
      <c r="A151" s="559" t="s">
        <v>218</v>
      </c>
      <c r="B151" s="565"/>
      <c r="C151" s="559"/>
      <c r="D151" s="573">
        <f>SUM(D144:D150)</f>
        <v>1375968</v>
      </c>
      <c r="E151" s="559"/>
      <c r="F151" s="574">
        <f>SUM(F144:F150)</f>
        <v>0.99999999999999989</v>
      </c>
      <c r="G151" s="40"/>
    </row>
    <row r="152" spans="1:7" ht="15.75" thickTop="1" x14ac:dyDescent="0.2">
      <c r="A152" s="548"/>
      <c r="B152" s="548"/>
      <c r="C152" s="548"/>
      <c r="D152" s="548"/>
      <c r="E152" s="548"/>
      <c r="F152" s="548"/>
    </row>
  </sheetData>
  <mergeCells count="7">
    <mergeCell ref="A138:F138"/>
    <mergeCell ref="A115:F115"/>
    <mergeCell ref="A7:F7"/>
    <mergeCell ref="A50:F50"/>
    <mergeCell ref="A71:F71"/>
    <mergeCell ref="A94:F94"/>
    <mergeCell ref="A26:F26"/>
  </mergeCells>
  <phoneticPr fontId="14" type="noConversion"/>
  <printOptions horizontalCentered="1"/>
  <pageMargins left="0.7" right="0.7" top="0.75" bottom="0.75" header="0.3" footer="0.3"/>
  <pageSetup fitToHeight="0" orientation="portrait" r:id="rId1"/>
  <headerFooter>
    <oddHeader>&amp;R&amp;9KAW_R_PSCDR1_NUM014_Attachment 1
Case No. 2015-00418
Page &amp;P of &amp;N</oddHeader>
  </headerFooter>
  <rowBreaks count="3" manualBreakCount="3">
    <brk id="43" max="16383" man="1"/>
    <brk id="87" max="16383" man="1"/>
    <brk id="131" max="16383"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9"/>
  <sheetViews>
    <sheetView tabSelected="1" view="pageLayout" zoomScaleNormal="100" workbookViewId="0">
      <selection activeCell="M516" sqref="M516"/>
    </sheetView>
  </sheetViews>
  <sheetFormatPr defaultColWidth="8.88671875" defaultRowHeight="15" x14ac:dyDescent="0.2"/>
  <cols>
    <col min="1" max="1" width="3" style="16" customWidth="1"/>
    <col min="2" max="2" width="11.109375" style="16" customWidth="1"/>
    <col min="3" max="3" width="2.5546875" style="16" customWidth="1"/>
    <col min="4" max="4" width="9.77734375" style="16" customWidth="1"/>
    <col min="5" max="5" width="2.21875" style="16" customWidth="1"/>
    <col min="6" max="6" width="8.88671875" style="16"/>
    <col min="7" max="7" width="2" style="16" customWidth="1"/>
    <col min="8" max="8" width="9.88671875" style="16" customWidth="1"/>
    <col min="9" max="9" width="1.44140625" style="16" customWidth="1"/>
    <col min="10" max="10" width="8.88671875" style="16"/>
    <col min="11" max="11" width="2.109375" style="16" customWidth="1"/>
    <col min="12" max="12" width="8.88671875" style="16"/>
    <col min="13" max="13" width="1.5546875" style="16" customWidth="1"/>
    <col min="14" max="14" width="8.88671875" style="16"/>
    <col min="15" max="15" width="1.88671875" style="16" customWidth="1"/>
    <col min="16" max="16" width="10.21875" style="16" customWidth="1"/>
    <col min="17" max="16384" width="8.88671875" style="16"/>
  </cols>
  <sheetData>
    <row r="1" spans="2:18" x14ac:dyDescent="0.2">
      <c r="B1" s="867" t="s">
        <v>195</v>
      </c>
      <c r="C1" s="867"/>
      <c r="D1" s="867"/>
      <c r="E1" s="867"/>
      <c r="F1" s="867"/>
      <c r="G1" s="867"/>
      <c r="H1" s="867"/>
      <c r="I1" s="867"/>
      <c r="J1" s="867"/>
      <c r="K1" s="867"/>
      <c r="L1" s="867"/>
      <c r="M1" s="867"/>
      <c r="N1" s="867"/>
      <c r="O1" s="867"/>
      <c r="P1" s="867"/>
      <c r="Q1" s="172"/>
      <c r="R1" s="172"/>
    </row>
    <row r="2" spans="2:18" x14ac:dyDescent="0.2">
      <c r="M2" s="172"/>
      <c r="N2" s="172"/>
      <c r="O2" s="172"/>
      <c r="P2" s="172"/>
      <c r="Q2" s="172"/>
      <c r="R2" s="172"/>
    </row>
    <row r="3" spans="2:18" x14ac:dyDescent="0.2">
      <c r="B3" s="866" t="s">
        <v>949</v>
      </c>
      <c r="C3" s="866"/>
      <c r="D3" s="866"/>
      <c r="E3" s="866"/>
      <c r="F3" s="866"/>
      <c r="G3" s="866"/>
      <c r="H3" s="866"/>
      <c r="I3" s="866"/>
      <c r="J3" s="866"/>
      <c r="K3" s="866"/>
      <c r="L3" s="866"/>
      <c r="M3" s="866"/>
      <c r="N3" s="866"/>
      <c r="O3" s="866"/>
      <c r="P3" s="866"/>
      <c r="Q3" s="172"/>
      <c r="R3" s="172"/>
    </row>
    <row r="4" spans="2:18" x14ac:dyDescent="0.2">
      <c r="B4" s="168"/>
      <c r="C4" s="168"/>
      <c r="D4" s="168"/>
      <c r="E4" s="168"/>
      <c r="F4" s="168"/>
      <c r="G4" s="168"/>
      <c r="H4" s="168"/>
      <c r="I4" s="168"/>
      <c r="J4" s="168"/>
      <c r="K4" s="168"/>
      <c r="L4" s="168"/>
      <c r="M4" s="172"/>
      <c r="N4" s="172"/>
      <c r="O4" s="172"/>
      <c r="P4" s="172"/>
      <c r="Q4" s="172"/>
      <c r="R4" s="172"/>
    </row>
    <row r="5" spans="2:18" x14ac:dyDescent="0.2">
      <c r="B5" s="168"/>
      <c r="C5" s="168"/>
      <c r="D5" s="168" t="s">
        <v>9</v>
      </c>
      <c r="E5" s="168"/>
      <c r="F5"/>
      <c r="G5" s="168"/>
      <c r="H5"/>
      <c r="I5"/>
      <c r="J5"/>
      <c r="K5" s="168"/>
      <c r="L5" s="168"/>
      <c r="M5" s="172"/>
      <c r="N5" s="172"/>
      <c r="O5" s="172"/>
      <c r="P5" s="172"/>
      <c r="Q5" s="172"/>
      <c r="R5" s="172"/>
    </row>
    <row r="6" spans="2:18" x14ac:dyDescent="0.2">
      <c r="D6" s="168" t="s">
        <v>10</v>
      </c>
      <c r="E6" s="168"/>
      <c r="F6" s="168" t="s">
        <v>246</v>
      </c>
      <c r="G6" s="168"/>
      <c r="H6" s="168" t="s">
        <v>11</v>
      </c>
      <c r="I6" s="168"/>
      <c r="J6" s="168"/>
      <c r="K6" s="168"/>
      <c r="L6" s="168" t="s">
        <v>440</v>
      </c>
      <c r="M6" s="169"/>
      <c r="N6" s="169" t="s">
        <v>441</v>
      </c>
      <c r="O6" s="169"/>
      <c r="P6" s="169" t="s">
        <v>441</v>
      </c>
      <c r="Q6" s="169"/>
      <c r="R6" s="169"/>
    </row>
    <row r="7" spans="2:18" x14ac:dyDescent="0.2">
      <c r="B7" s="170" t="s">
        <v>449</v>
      </c>
      <c r="D7" s="170" t="s">
        <v>12</v>
      </c>
      <c r="E7" s="168"/>
      <c r="F7" s="170" t="s">
        <v>450</v>
      </c>
      <c r="G7" s="168"/>
      <c r="H7" s="170" t="s">
        <v>450</v>
      </c>
      <c r="I7" s="238"/>
      <c r="J7" s="170" t="s">
        <v>13</v>
      </c>
      <c r="K7" s="168"/>
      <c r="L7" s="170" t="s">
        <v>244</v>
      </c>
      <c r="M7" s="169"/>
      <c r="N7" s="170" t="s">
        <v>450</v>
      </c>
      <c r="O7" s="169"/>
      <c r="P7" s="367" t="s">
        <v>244</v>
      </c>
      <c r="Q7" s="169"/>
      <c r="R7" s="169"/>
    </row>
    <row r="8" spans="2:18" x14ac:dyDescent="0.2">
      <c r="B8" s="251">
        <v>-1</v>
      </c>
      <c r="C8" s="251"/>
      <c r="D8" s="251">
        <v>-2</v>
      </c>
      <c r="E8" s="251"/>
      <c r="F8" s="251">
        <v>-3</v>
      </c>
      <c r="G8" s="251"/>
      <c r="H8" s="251">
        <v>-4</v>
      </c>
      <c r="I8" s="251"/>
      <c r="J8" s="251">
        <v>-5</v>
      </c>
      <c r="K8" s="251"/>
      <c r="L8" s="251">
        <v>-6</v>
      </c>
      <c r="M8" s="169"/>
      <c r="N8" s="169"/>
      <c r="O8" s="169"/>
      <c r="P8" s="169"/>
      <c r="Q8" s="169"/>
      <c r="R8" s="169"/>
    </row>
    <row r="9" spans="2:18" hidden="1" x14ac:dyDescent="0.2">
      <c r="B9" s="251"/>
      <c r="C9" s="251"/>
      <c r="D9" s="251"/>
      <c r="E9" s="251"/>
      <c r="F9" s="251"/>
      <c r="G9" s="251"/>
      <c r="H9" s="251"/>
      <c r="I9" s="251"/>
      <c r="J9" s="251"/>
      <c r="K9" s="251"/>
      <c r="L9" s="251"/>
      <c r="M9" s="369"/>
      <c r="N9" s="337"/>
      <c r="O9" s="369"/>
      <c r="P9" s="369"/>
      <c r="Q9" s="369"/>
      <c r="R9" s="369"/>
    </row>
    <row r="10" spans="2:18" hidden="1" x14ac:dyDescent="0.2">
      <c r="B10" s="251" t="s">
        <v>942</v>
      </c>
      <c r="C10" s="251"/>
      <c r="D10" s="252">
        <f>+'[11]Annual System Delivery 2010-YTD'!$K$15/1000</f>
        <v>14338.483320000001</v>
      </c>
      <c r="E10" s="251"/>
      <c r="F10" s="173">
        <f>+D10/365</f>
        <v>39.28351594520548</v>
      </c>
      <c r="G10" s="251"/>
      <c r="H10" s="251"/>
      <c r="I10" s="251"/>
      <c r="J10" s="251"/>
      <c r="K10" s="251"/>
      <c r="L10" s="251"/>
      <c r="M10" s="519"/>
      <c r="N10" s="337"/>
      <c r="O10" s="519"/>
      <c r="P10" s="519"/>
      <c r="Q10" s="519"/>
      <c r="R10" s="519"/>
    </row>
    <row r="11" spans="2:18" x14ac:dyDescent="0.2">
      <c r="B11" s="251"/>
      <c r="C11" s="251"/>
      <c r="D11" s="252"/>
      <c r="E11" s="251"/>
      <c r="F11" s="173"/>
      <c r="G11" s="251"/>
      <c r="H11" s="251"/>
      <c r="I11" s="251"/>
      <c r="J11" s="251"/>
      <c r="K11" s="251"/>
      <c r="L11" s="251"/>
      <c r="M11" s="533"/>
      <c r="N11" s="337"/>
      <c r="O11" s="533"/>
      <c r="P11" s="533"/>
      <c r="Q11" s="533"/>
      <c r="R11" s="533"/>
    </row>
    <row r="12" spans="2:18" x14ac:dyDescent="0.2">
      <c r="B12" s="381">
        <v>2014</v>
      </c>
      <c r="C12" s="251"/>
      <c r="D12" s="252">
        <v>13955.075000000001</v>
      </c>
      <c r="E12" s="251"/>
      <c r="F12" s="173">
        <f t="shared" ref="F12:F16" si="0">+D12/365</f>
        <v>38.233082191780824</v>
      </c>
      <c r="G12" s="251"/>
      <c r="H12" s="534">
        <v>56.89</v>
      </c>
      <c r="I12" s="251"/>
      <c r="J12" s="535" t="s">
        <v>945</v>
      </c>
      <c r="K12" s="251"/>
      <c r="L12" s="173">
        <f t="shared" ref="L12:L16" si="1">+H12/F12</f>
        <v>1.4879783877908215</v>
      </c>
      <c r="M12" s="533"/>
      <c r="N12" s="337">
        <v>91.8</v>
      </c>
      <c r="O12" s="533"/>
      <c r="P12" s="366">
        <f t="shared" ref="P12:P16" si="2">+N12/F12</f>
        <v>2.4010619792441101</v>
      </c>
      <c r="Q12" s="533"/>
      <c r="R12" s="533"/>
    </row>
    <row r="13" spans="2:18" x14ac:dyDescent="0.2">
      <c r="B13" s="251"/>
      <c r="C13" s="251"/>
      <c r="D13" s="252"/>
      <c r="E13" s="251"/>
      <c r="F13" s="173"/>
      <c r="G13" s="251"/>
      <c r="H13" s="534"/>
      <c r="I13" s="251"/>
      <c r="J13" s="251"/>
      <c r="K13" s="251"/>
      <c r="L13" s="173"/>
      <c r="M13" s="533"/>
      <c r="N13" s="337"/>
      <c r="O13" s="533"/>
      <c r="P13" s="366"/>
      <c r="Q13" s="533"/>
      <c r="R13" s="533"/>
    </row>
    <row r="14" spans="2:18" x14ac:dyDescent="0.2">
      <c r="B14" s="381">
        <v>2013</v>
      </c>
      <c r="C14" s="251"/>
      <c r="D14" s="252">
        <v>13271.263999999999</v>
      </c>
      <c r="E14" s="251"/>
      <c r="F14" s="173">
        <f t="shared" si="0"/>
        <v>36.359627397260269</v>
      </c>
      <c r="G14" s="251"/>
      <c r="H14" s="534">
        <v>52.66</v>
      </c>
      <c r="I14" s="251"/>
      <c r="J14" s="535" t="s">
        <v>944</v>
      </c>
      <c r="K14" s="251"/>
      <c r="L14" s="173">
        <f t="shared" si="1"/>
        <v>1.4483096711812833</v>
      </c>
      <c r="M14" s="533"/>
      <c r="N14" s="337">
        <v>84.1</v>
      </c>
      <c r="O14" s="533"/>
      <c r="P14" s="366">
        <f t="shared" si="2"/>
        <v>2.3130050008800973</v>
      </c>
      <c r="Q14" s="533"/>
      <c r="R14" s="533"/>
    </row>
    <row r="15" spans="2:18" x14ac:dyDescent="0.2">
      <c r="B15" s="251"/>
      <c r="C15" s="251"/>
      <c r="D15" s="252"/>
      <c r="E15" s="251"/>
      <c r="F15" s="173"/>
      <c r="G15" s="251"/>
      <c r="H15" s="534"/>
      <c r="I15" s="251"/>
      <c r="J15" s="251"/>
      <c r="K15" s="251"/>
      <c r="L15" s="173"/>
      <c r="M15" s="533"/>
      <c r="N15" s="337"/>
      <c r="O15" s="533"/>
      <c r="P15" s="366"/>
      <c r="Q15" s="533"/>
      <c r="R15" s="533"/>
    </row>
    <row r="16" spans="2:18" x14ac:dyDescent="0.2">
      <c r="B16" s="381">
        <v>2012</v>
      </c>
      <c r="C16" s="251"/>
      <c r="D16" s="252">
        <v>14310.108</v>
      </c>
      <c r="E16" s="251"/>
      <c r="F16" s="173">
        <f t="shared" si="0"/>
        <v>39.205775342465756</v>
      </c>
      <c r="G16" s="251"/>
      <c r="H16" s="534">
        <v>68.95</v>
      </c>
      <c r="I16" s="251"/>
      <c r="J16" s="535" t="s">
        <v>26</v>
      </c>
      <c r="K16" s="251"/>
      <c r="L16" s="173">
        <f t="shared" si="1"/>
        <v>1.7586694663660121</v>
      </c>
      <c r="M16" s="533"/>
      <c r="N16" s="337">
        <v>96.9</v>
      </c>
      <c r="O16" s="533"/>
      <c r="P16" s="366">
        <f t="shared" si="2"/>
        <v>2.4715746380111177</v>
      </c>
      <c r="Q16" s="533"/>
      <c r="R16" s="533"/>
    </row>
    <row r="17" spans="2:18" x14ac:dyDescent="0.2">
      <c r="B17" s="251"/>
      <c r="C17" s="251"/>
      <c r="D17" s="251"/>
      <c r="E17" s="251"/>
      <c r="F17" s="173"/>
      <c r="G17" s="251"/>
      <c r="H17" s="251"/>
      <c r="I17" s="251"/>
      <c r="J17" s="251"/>
      <c r="K17" s="251"/>
      <c r="L17" s="173"/>
      <c r="M17" s="519"/>
      <c r="N17" s="337"/>
      <c r="O17" s="519"/>
      <c r="P17" s="366"/>
      <c r="Q17" s="519"/>
      <c r="R17" s="519"/>
    </row>
    <row r="18" spans="2:18" x14ac:dyDescent="0.2">
      <c r="B18" s="381">
        <v>2011</v>
      </c>
      <c r="C18" s="251"/>
      <c r="D18" s="252">
        <f>+SUM('[11]Annual System Delivery 2010-YTD'!$B$11:$M$11)/1000</f>
        <v>13785.489170000003</v>
      </c>
      <c r="E18" s="251"/>
      <c r="F18" s="173">
        <f>+D18/365</f>
        <v>37.768463479452059</v>
      </c>
      <c r="G18" s="251"/>
      <c r="H18" s="390">
        <v>55.823999999999998</v>
      </c>
      <c r="I18" s="251"/>
      <c r="J18" s="253" t="s">
        <v>582</v>
      </c>
      <c r="K18" s="251"/>
      <c r="L18" s="173">
        <f>+H18/F18</f>
        <v>1.4780585403049573</v>
      </c>
      <c r="M18" s="369"/>
      <c r="N18" s="337">
        <v>78.900000000000006</v>
      </c>
      <c r="O18" s="369"/>
      <c r="P18" s="366">
        <f t="shared" ref="P18" si="3">+N18/F18</f>
        <v>2.0890444760329094</v>
      </c>
      <c r="Q18" s="369"/>
      <c r="R18" s="369"/>
    </row>
    <row r="19" spans="2:18" x14ac:dyDescent="0.2">
      <c r="B19" s="251"/>
      <c r="C19" s="251"/>
      <c r="D19" s="251"/>
      <c r="E19" s="251"/>
      <c r="F19" s="251"/>
      <c r="G19" s="251"/>
      <c r="H19" s="251"/>
      <c r="I19" s="251"/>
      <c r="J19" s="251"/>
      <c r="K19" s="251"/>
      <c r="L19" s="251"/>
      <c r="M19" s="369"/>
      <c r="N19" s="337"/>
      <c r="O19" s="369"/>
      <c r="Q19" s="369"/>
      <c r="R19" s="369"/>
    </row>
    <row r="20" spans="2:18" x14ac:dyDescent="0.2">
      <c r="B20" s="381">
        <v>2010</v>
      </c>
      <c r="C20" s="251"/>
      <c r="D20" s="389">
        <f>+SUM('[11]Annual System Delivery 2010-YTD'!$B$7:$M$7)/1000</f>
        <v>14817.378760000001</v>
      </c>
      <c r="E20" s="251"/>
      <c r="F20" s="173">
        <f>+D20/365</f>
        <v>40.595558246575344</v>
      </c>
      <c r="G20" s="251"/>
      <c r="H20" s="390">
        <v>61.357999999999997</v>
      </c>
      <c r="I20" s="251"/>
      <c r="J20" s="253" t="s">
        <v>941</v>
      </c>
      <c r="K20" s="251"/>
      <c r="L20" s="173">
        <f>+H20/F20</f>
        <v>1.5114461446081033</v>
      </c>
      <c r="M20" s="369"/>
      <c r="N20" s="337">
        <v>93.65</v>
      </c>
      <c r="O20" s="369"/>
      <c r="P20" s="366">
        <f t="shared" ref="P20" si="4">+N20/F20</f>
        <v>2.3069026278977294</v>
      </c>
      <c r="Q20" s="369"/>
      <c r="R20" s="369"/>
    </row>
    <row r="21" spans="2:18" x14ac:dyDescent="0.2">
      <c r="B21" s="251"/>
      <c r="C21" s="251"/>
      <c r="D21" s="251"/>
      <c r="E21" s="251"/>
      <c r="F21" s="251"/>
      <c r="G21" s="251"/>
      <c r="H21" s="251"/>
      <c r="I21" s="251"/>
      <c r="J21" s="251"/>
      <c r="K21" s="251"/>
      <c r="L21" s="251"/>
      <c r="N21" s="337"/>
    </row>
    <row r="22" spans="2:18" x14ac:dyDescent="0.2">
      <c r="B22" s="168">
        <v>2009</v>
      </c>
      <c r="C22" s="251"/>
      <c r="D22" s="252">
        <v>13904.565000000001</v>
      </c>
      <c r="E22" s="251"/>
      <c r="F22" s="173">
        <f>+D22/365</f>
        <v>38.094698630136989</v>
      </c>
      <c r="G22" s="251"/>
      <c r="H22" s="173">
        <v>53.401000000000003</v>
      </c>
      <c r="I22" s="251"/>
      <c r="J22" s="253" t="s">
        <v>211</v>
      </c>
      <c r="K22" s="251"/>
      <c r="L22" s="173">
        <f>+H22/F22</f>
        <v>1.401796100776975</v>
      </c>
      <c r="N22" s="337">
        <v>76.652000000000001</v>
      </c>
      <c r="P22" s="366">
        <f>+N22/F22</f>
        <v>2.0121434938813261</v>
      </c>
    </row>
    <row r="23" spans="2:18" x14ac:dyDescent="0.2">
      <c r="B23" s="251"/>
      <c r="C23" s="251"/>
      <c r="D23" s="251"/>
      <c r="E23" s="251"/>
      <c r="F23" s="251"/>
      <c r="G23" s="251"/>
      <c r="H23" s="251"/>
      <c r="I23" s="251"/>
      <c r="J23" s="251"/>
      <c r="K23" s="251"/>
      <c r="L23" s="251"/>
      <c r="N23" s="337"/>
    </row>
    <row r="24" spans="2:18" x14ac:dyDescent="0.2">
      <c r="B24" s="168">
        <v>2008</v>
      </c>
      <c r="C24" s="251"/>
      <c r="D24" s="252">
        <v>15644.484</v>
      </c>
      <c r="E24" s="251"/>
      <c r="F24" s="173">
        <f>+D24/365</f>
        <v>42.861600000000003</v>
      </c>
      <c r="G24" s="251"/>
      <c r="H24" s="173">
        <v>63.085000000000001</v>
      </c>
      <c r="I24" s="251"/>
      <c r="J24" s="253" t="s">
        <v>14</v>
      </c>
      <c r="K24" s="251"/>
      <c r="L24" s="173">
        <f>+H24/F24</f>
        <v>1.4718302629859827</v>
      </c>
      <c r="N24" s="337">
        <v>96.575999999999993</v>
      </c>
      <c r="P24" s="366">
        <f>+N24/F24</f>
        <v>2.2532056666106723</v>
      </c>
    </row>
    <row r="25" spans="2:18" x14ac:dyDescent="0.2">
      <c r="B25" s="251"/>
      <c r="C25" s="251"/>
      <c r="D25" s="251"/>
      <c r="E25" s="251"/>
      <c r="F25" s="251"/>
      <c r="G25" s="251"/>
      <c r="H25" s="251"/>
      <c r="I25" s="251"/>
      <c r="J25" s="251"/>
      <c r="K25" s="251"/>
      <c r="L25" s="251"/>
      <c r="N25" s="337"/>
    </row>
    <row r="26" spans="2:18" x14ac:dyDescent="0.2">
      <c r="B26" s="168">
        <v>2007</v>
      </c>
      <c r="C26" s="251"/>
      <c r="D26" s="252">
        <v>15734.453</v>
      </c>
      <c r="E26" s="251"/>
      <c r="F26" s="173">
        <f>+D26/365</f>
        <v>43.108090410958901</v>
      </c>
      <c r="G26" s="251"/>
      <c r="H26" s="173">
        <v>64.299000000000007</v>
      </c>
      <c r="I26" s="251"/>
      <c r="J26" s="171" t="s">
        <v>15</v>
      </c>
      <c r="K26" s="251"/>
      <c r="L26" s="173">
        <f>+H26/F26</f>
        <v>1.4915761609253275</v>
      </c>
      <c r="N26" s="337">
        <v>84.091999999999999</v>
      </c>
      <c r="P26" s="366">
        <f>+N26/F26</f>
        <v>1.9507243118016242</v>
      </c>
    </row>
    <row r="27" spans="2:18" x14ac:dyDescent="0.2">
      <c r="B27" s="251"/>
      <c r="C27" s="251"/>
      <c r="D27" s="251"/>
      <c r="E27" s="251"/>
      <c r="F27" s="251"/>
      <c r="G27" s="251"/>
      <c r="H27" s="251"/>
      <c r="I27" s="251"/>
      <c r="J27" s="251"/>
      <c r="K27" s="251"/>
      <c r="L27" s="251"/>
      <c r="N27" s="337"/>
    </row>
    <row r="28" spans="2:18" x14ac:dyDescent="0.2">
      <c r="B28" s="168">
        <v>2006</v>
      </c>
      <c r="D28" s="159">
        <v>15619</v>
      </c>
      <c r="F28" s="173">
        <f>+D28/365</f>
        <v>42.791780821917811</v>
      </c>
      <c r="H28" s="16">
        <v>67.22</v>
      </c>
      <c r="J28" s="171" t="s">
        <v>16</v>
      </c>
      <c r="L28" s="173">
        <f>+H28/F28</f>
        <v>1.5708624111658875</v>
      </c>
      <c r="N28" s="337">
        <v>82.652000000000001</v>
      </c>
      <c r="P28" s="366">
        <f>+N28/F28</f>
        <v>1.9314924130866251</v>
      </c>
    </row>
    <row r="29" spans="2:18" x14ac:dyDescent="0.2">
      <c r="B29" s="251"/>
      <c r="C29" s="251"/>
      <c r="D29" s="251"/>
      <c r="E29" s="251"/>
      <c r="F29" s="251"/>
      <c r="G29" s="251"/>
      <c r="H29" s="251"/>
      <c r="I29" s="251"/>
      <c r="J29" s="251"/>
      <c r="K29" s="251"/>
      <c r="L29" s="251"/>
      <c r="N29" s="337"/>
    </row>
    <row r="30" spans="2:18" x14ac:dyDescent="0.2">
      <c r="B30" s="168">
        <v>2005</v>
      </c>
      <c r="D30" s="159">
        <v>16068</v>
      </c>
      <c r="F30" s="173">
        <f>+D30/365</f>
        <v>44.021917808219179</v>
      </c>
      <c r="H30" s="16">
        <v>69.650000000000006</v>
      </c>
      <c r="J30" s="171" t="s">
        <v>17</v>
      </c>
      <c r="L30" s="173">
        <f>+H30/F30</f>
        <v>1.5821664177246701</v>
      </c>
      <c r="N30" s="337">
        <v>109.398</v>
      </c>
      <c r="P30" s="366">
        <f>+N30/F30</f>
        <v>2.4850802837938759</v>
      </c>
    </row>
    <row r="31" spans="2:18" x14ac:dyDescent="0.2">
      <c r="B31" s="251"/>
      <c r="C31" s="251"/>
      <c r="D31" s="251"/>
      <c r="E31" s="251"/>
      <c r="F31" s="251"/>
      <c r="G31" s="251"/>
      <c r="H31" s="251"/>
      <c r="I31" s="251"/>
      <c r="J31" s="251"/>
      <c r="K31" s="251"/>
      <c r="L31" s="251"/>
      <c r="N31" s="337"/>
    </row>
    <row r="32" spans="2:18" x14ac:dyDescent="0.2">
      <c r="B32" s="168">
        <v>2004</v>
      </c>
      <c r="D32" s="159">
        <v>14931</v>
      </c>
      <c r="F32" s="173">
        <f>+D32/365</f>
        <v>40.906849315068492</v>
      </c>
      <c r="H32" s="16">
        <v>56.89</v>
      </c>
      <c r="J32" s="253" t="s">
        <v>18</v>
      </c>
      <c r="L32" s="173">
        <f>+H32/F32</f>
        <v>1.3907206483155852</v>
      </c>
      <c r="N32" s="337">
        <v>76.75</v>
      </c>
      <c r="P32" s="366">
        <f>+N32/F32</f>
        <v>1.876213917353158</v>
      </c>
    </row>
    <row r="33" spans="2:16" x14ac:dyDescent="0.2">
      <c r="N33" s="337"/>
    </row>
    <row r="34" spans="2:16" x14ac:dyDescent="0.2">
      <c r="B34" s="168">
        <v>2003</v>
      </c>
      <c r="D34" s="159">
        <v>15005</v>
      </c>
      <c r="F34" s="173">
        <f>+D34/365</f>
        <v>41.109589041095887</v>
      </c>
      <c r="H34" s="16">
        <v>61.37</v>
      </c>
      <c r="J34" s="171" t="s">
        <v>19</v>
      </c>
      <c r="L34" s="173">
        <f>+H34/F34</f>
        <v>1.4928390536487839</v>
      </c>
      <c r="N34" s="337">
        <v>83.63</v>
      </c>
      <c r="P34" s="366">
        <f>+N34/F34</f>
        <v>2.0343185604798402</v>
      </c>
    </row>
    <row r="35" spans="2:16" x14ac:dyDescent="0.2">
      <c r="B35" s="168"/>
      <c r="D35" s="159"/>
      <c r="F35" s="173"/>
      <c r="L35" s="173"/>
      <c r="N35" s="337"/>
    </row>
    <row r="36" spans="2:16" x14ac:dyDescent="0.2">
      <c r="B36" s="168">
        <v>2002</v>
      </c>
      <c r="D36" s="159">
        <v>15956</v>
      </c>
      <c r="F36" s="173">
        <f t="shared" ref="F36:F69" si="5">+D36/365</f>
        <v>43.715068493150682</v>
      </c>
      <c r="H36" s="16">
        <v>71.819999999999993</v>
      </c>
      <c r="J36" s="171" t="s">
        <v>20</v>
      </c>
      <c r="L36" s="173">
        <f t="shared" ref="L36:L69" si="6">+H36/F36</f>
        <v>1.6429117573326648</v>
      </c>
      <c r="N36" s="337">
        <v>107.5</v>
      </c>
      <c r="P36" s="366">
        <f>+N36/F36</f>
        <v>2.4591062923038356</v>
      </c>
    </row>
    <row r="37" spans="2:16" x14ac:dyDescent="0.2">
      <c r="B37" s="168"/>
      <c r="D37" s="159"/>
      <c r="F37" s="173"/>
      <c r="J37" s="168"/>
      <c r="L37" s="173"/>
      <c r="N37" s="337"/>
    </row>
    <row r="38" spans="2:16" x14ac:dyDescent="0.2">
      <c r="B38" s="168">
        <v>2001</v>
      </c>
      <c r="D38" s="159">
        <v>14962</v>
      </c>
      <c r="F38" s="173">
        <f t="shared" si="5"/>
        <v>40.991780821917807</v>
      </c>
      <c r="H38" s="16">
        <v>56.04</v>
      </c>
      <c r="J38" s="171" t="s">
        <v>21</v>
      </c>
      <c r="L38" s="173">
        <f t="shared" si="6"/>
        <v>1.3671033284320278</v>
      </c>
      <c r="N38" s="337">
        <v>91.62</v>
      </c>
      <c r="P38" s="366">
        <f>+N38/F38</f>
        <v>2.2350822082609278</v>
      </c>
    </row>
    <row r="39" spans="2:16" x14ac:dyDescent="0.2">
      <c r="B39" s="168"/>
      <c r="D39" s="159"/>
      <c r="F39" s="173"/>
      <c r="J39" s="168"/>
      <c r="L39" s="173"/>
      <c r="N39" s="337"/>
    </row>
    <row r="40" spans="2:16" x14ac:dyDescent="0.2">
      <c r="B40" s="168">
        <v>2000</v>
      </c>
      <c r="D40" s="159">
        <v>14565</v>
      </c>
      <c r="F40" s="173">
        <f t="shared" si="5"/>
        <v>39.904109589041099</v>
      </c>
      <c r="H40" s="16">
        <v>66.37</v>
      </c>
      <c r="J40" s="171" t="s">
        <v>22</v>
      </c>
      <c r="L40" s="173">
        <f t="shared" si="6"/>
        <v>1.6632372124957089</v>
      </c>
      <c r="N40" s="337">
        <v>85.075999999999993</v>
      </c>
      <c r="P40" s="366">
        <f>+N40/F40</f>
        <v>2.1320109852385851</v>
      </c>
    </row>
    <row r="41" spans="2:16" x14ac:dyDescent="0.2">
      <c r="B41" s="168"/>
      <c r="D41" s="116"/>
      <c r="F41" s="173"/>
      <c r="J41" s="168"/>
      <c r="L41" s="173"/>
    </row>
    <row r="42" spans="2:16" x14ac:dyDescent="0.2">
      <c r="B42" s="792"/>
      <c r="D42" s="116"/>
      <c r="F42" s="173"/>
      <c r="J42" s="792"/>
      <c r="L42" s="173"/>
    </row>
    <row r="43" spans="2:16" x14ac:dyDescent="0.2">
      <c r="B43" s="792"/>
      <c r="D43" s="116"/>
      <c r="F43" s="173"/>
      <c r="J43" s="792"/>
      <c r="L43" s="173"/>
    </row>
    <row r="44" spans="2:16" x14ac:dyDescent="0.2">
      <c r="B44" s="792"/>
      <c r="D44" s="116"/>
      <c r="F44" s="173"/>
      <c r="J44" s="792"/>
      <c r="L44" s="173"/>
    </row>
    <row r="45" spans="2:16" x14ac:dyDescent="0.2">
      <c r="B45" s="792"/>
      <c r="D45" s="116"/>
      <c r="F45" s="173"/>
      <c r="J45" s="792"/>
      <c r="L45" s="173"/>
    </row>
    <row r="46" spans="2:16" x14ac:dyDescent="0.2">
      <c r="B46" s="792"/>
      <c r="D46" s="116"/>
      <c r="F46" s="173"/>
      <c r="J46" s="792"/>
      <c r="L46" s="173"/>
    </row>
    <row r="47" spans="2:16" x14ac:dyDescent="0.2">
      <c r="B47" s="792"/>
      <c r="D47" s="116"/>
      <c r="F47" s="173"/>
      <c r="J47" s="792"/>
      <c r="L47" s="173"/>
    </row>
    <row r="48" spans="2:16" x14ac:dyDescent="0.2">
      <c r="B48" s="792"/>
      <c r="D48" s="116"/>
      <c r="F48" s="173"/>
      <c r="J48" s="792"/>
      <c r="L48" s="173"/>
    </row>
    <row r="49" spans="2:12" x14ac:dyDescent="0.2">
      <c r="B49" s="792"/>
      <c r="D49" s="116"/>
      <c r="F49" s="173"/>
      <c r="J49" s="792"/>
      <c r="L49" s="173"/>
    </row>
    <row r="50" spans="2:12" x14ac:dyDescent="0.2">
      <c r="B50" s="792"/>
      <c r="D50" s="116"/>
      <c r="F50" s="173"/>
      <c r="J50" s="792"/>
      <c r="L50" s="173"/>
    </row>
    <row r="51" spans="2:12" x14ac:dyDescent="0.2">
      <c r="B51" s="168">
        <v>1999</v>
      </c>
      <c r="D51" s="159">
        <v>15077</v>
      </c>
      <c r="F51" s="173">
        <f t="shared" si="5"/>
        <v>41.30684931506849</v>
      </c>
      <c r="H51" s="16">
        <v>61.18</v>
      </c>
      <c r="J51" s="171" t="s">
        <v>23</v>
      </c>
      <c r="L51" s="173">
        <f t="shared" si="6"/>
        <v>1.4811103004576509</v>
      </c>
    </row>
    <row r="52" spans="2:12" x14ac:dyDescent="0.2">
      <c r="B52" s="168"/>
      <c r="D52" s="159"/>
      <c r="F52" s="173"/>
      <c r="J52" s="168"/>
      <c r="L52" s="173"/>
    </row>
    <row r="53" spans="2:12" x14ac:dyDescent="0.2">
      <c r="B53" s="168">
        <v>1998</v>
      </c>
      <c r="D53" s="159">
        <v>14799</v>
      </c>
      <c r="F53" s="173">
        <f t="shared" si="5"/>
        <v>40.545205479452058</v>
      </c>
      <c r="H53" s="16">
        <v>64.67</v>
      </c>
      <c r="J53" s="171" t="s">
        <v>24</v>
      </c>
      <c r="L53" s="173">
        <f t="shared" si="6"/>
        <v>1.5950097979593214</v>
      </c>
    </row>
    <row r="54" spans="2:12" x14ac:dyDescent="0.2">
      <c r="B54" s="168"/>
      <c r="D54" s="159"/>
      <c r="F54" s="173"/>
      <c r="J54" s="168"/>
      <c r="L54" s="173"/>
    </row>
    <row r="55" spans="2:12" x14ac:dyDescent="0.2">
      <c r="B55" s="168">
        <v>1997</v>
      </c>
      <c r="D55" s="159">
        <v>14419</v>
      </c>
      <c r="F55" s="173">
        <f t="shared" si="5"/>
        <v>39.504109589041093</v>
      </c>
      <c r="H55" s="173">
        <v>60.7</v>
      </c>
      <c r="I55" s="173"/>
      <c r="J55" s="254" t="s">
        <v>25</v>
      </c>
      <c r="L55" s="173">
        <f t="shared" si="6"/>
        <v>1.5365489978500591</v>
      </c>
    </row>
    <row r="56" spans="2:12" x14ac:dyDescent="0.2">
      <c r="B56" s="168"/>
      <c r="D56" s="159"/>
      <c r="F56" s="173"/>
      <c r="J56" s="168"/>
      <c r="L56" s="173"/>
    </row>
    <row r="57" spans="2:12" x14ac:dyDescent="0.2">
      <c r="B57" s="168">
        <v>1996</v>
      </c>
      <c r="D57" s="159">
        <v>14265</v>
      </c>
      <c r="F57" s="173">
        <f t="shared" si="5"/>
        <v>39.082191780821915</v>
      </c>
      <c r="H57" s="173">
        <v>53.7</v>
      </c>
      <c r="I57" s="173"/>
      <c r="J57" s="254" t="s">
        <v>26</v>
      </c>
      <c r="L57" s="173">
        <f t="shared" si="6"/>
        <v>1.3740273396424818</v>
      </c>
    </row>
    <row r="58" spans="2:12" x14ac:dyDescent="0.2">
      <c r="B58" s="168"/>
      <c r="D58" s="159"/>
      <c r="F58" s="173"/>
      <c r="J58" s="168"/>
      <c r="L58" s="173"/>
    </row>
    <row r="59" spans="2:12" x14ac:dyDescent="0.2">
      <c r="B59" s="168">
        <v>1995</v>
      </c>
      <c r="D59" s="159">
        <v>14549</v>
      </c>
      <c r="F59" s="173">
        <f t="shared" si="5"/>
        <v>39.860273972602741</v>
      </c>
      <c r="H59" s="16">
        <v>63.77</v>
      </c>
      <c r="J59" s="171" t="s">
        <v>27</v>
      </c>
      <c r="L59" s="173">
        <f t="shared" si="6"/>
        <v>1.5998384768712626</v>
      </c>
    </row>
    <row r="60" spans="2:12" x14ac:dyDescent="0.2">
      <c r="B60" s="168"/>
      <c r="D60" s="159"/>
      <c r="F60" s="173"/>
      <c r="H60"/>
      <c r="I60"/>
      <c r="J60" s="67"/>
      <c r="L60" s="173"/>
    </row>
    <row r="61" spans="2:12" x14ac:dyDescent="0.2">
      <c r="B61" s="168">
        <v>1994</v>
      </c>
      <c r="D61" s="159">
        <v>14471</v>
      </c>
      <c r="F61" s="173">
        <f t="shared" si="5"/>
        <v>39.646575342465752</v>
      </c>
      <c r="H61" s="16">
        <v>58.36</v>
      </c>
      <c r="J61" s="171" t="s">
        <v>28</v>
      </c>
      <c r="L61" s="173">
        <f t="shared" si="6"/>
        <v>1.4720060811277729</v>
      </c>
    </row>
    <row r="62" spans="2:12" x14ac:dyDescent="0.2">
      <c r="B62" s="168"/>
      <c r="D62" s="159"/>
      <c r="F62" s="173"/>
      <c r="H62"/>
      <c r="I62"/>
      <c r="J62" s="67"/>
      <c r="L62" s="173"/>
    </row>
    <row r="63" spans="2:12" x14ac:dyDescent="0.2">
      <c r="B63" s="168">
        <v>1993</v>
      </c>
      <c r="D63" s="159">
        <v>14290</v>
      </c>
      <c r="F63" s="173">
        <f t="shared" si="5"/>
        <v>39.150684931506852</v>
      </c>
      <c r="H63" s="16">
        <v>60.39</v>
      </c>
      <c r="J63" s="171" t="s">
        <v>19</v>
      </c>
      <c r="L63" s="173">
        <f t="shared" si="6"/>
        <v>1.5425017494751574</v>
      </c>
    </row>
    <row r="64" spans="2:12" x14ac:dyDescent="0.2">
      <c r="B64" s="168"/>
      <c r="D64" s="159"/>
      <c r="F64" s="173"/>
      <c r="H64"/>
      <c r="I64"/>
      <c r="J64" s="67"/>
      <c r="L64" s="173"/>
    </row>
    <row r="65" spans="2:12" x14ac:dyDescent="0.2">
      <c r="B65" s="168">
        <v>1992</v>
      </c>
      <c r="D65" s="159">
        <v>13303</v>
      </c>
      <c r="F65" s="173">
        <f t="shared" si="5"/>
        <v>36.446575342465756</v>
      </c>
      <c r="H65" s="16">
        <v>47.22</v>
      </c>
      <c r="J65" s="171" t="s">
        <v>29</v>
      </c>
      <c r="L65" s="173">
        <f t="shared" si="6"/>
        <v>1.2955949785762608</v>
      </c>
    </row>
    <row r="66" spans="2:12" x14ac:dyDescent="0.2">
      <c r="B66" s="168"/>
      <c r="D66" s="159"/>
      <c r="F66" s="173"/>
      <c r="H66"/>
      <c r="I66"/>
      <c r="J66" s="67"/>
      <c r="L66" s="173"/>
    </row>
    <row r="67" spans="2:12" x14ac:dyDescent="0.2">
      <c r="B67" s="168">
        <v>1991</v>
      </c>
      <c r="D67" s="159">
        <v>13450</v>
      </c>
      <c r="F67" s="173">
        <f t="shared" si="5"/>
        <v>36.849315068493148</v>
      </c>
      <c r="H67" s="16">
        <v>56.42</v>
      </c>
      <c r="J67" s="171" t="s">
        <v>16</v>
      </c>
      <c r="L67" s="173">
        <f t="shared" si="6"/>
        <v>1.531100371747212</v>
      </c>
    </row>
    <row r="68" spans="2:12" x14ac:dyDescent="0.2">
      <c r="B68" s="168"/>
      <c r="D68" s="159"/>
      <c r="F68" s="173"/>
      <c r="H68"/>
      <c r="I68"/>
      <c r="J68" s="67"/>
      <c r="L68" s="173"/>
    </row>
    <row r="69" spans="2:12" x14ac:dyDescent="0.2">
      <c r="B69" s="168">
        <v>1990</v>
      </c>
      <c r="D69" s="159">
        <v>12557</v>
      </c>
      <c r="F69" s="173">
        <f t="shared" si="5"/>
        <v>34.402739726027399</v>
      </c>
      <c r="H69" s="16">
        <v>58.05</v>
      </c>
      <c r="J69" s="171" t="s">
        <v>30</v>
      </c>
      <c r="L69" s="173">
        <f t="shared" si="6"/>
        <v>1.6873656128056063</v>
      </c>
    </row>
  </sheetData>
  <mergeCells count="2">
    <mergeCell ref="B3:P3"/>
    <mergeCell ref="B1:P1"/>
  </mergeCells>
  <phoneticPr fontId="14" type="noConversion"/>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tabSelected="1" view="pageLayout" zoomScaleNormal="100" workbookViewId="0">
      <selection activeCell="M516" sqref="M516"/>
    </sheetView>
  </sheetViews>
  <sheetFormatPr defaultColWidth="8.77734375" defaultRowHeight="12.75" x14ac:dyDescent="0.2"/>
  <cols>
    <col min="1" max="2" width="3.77734375" style="59" customWidth="1"/>
    <col min="3" max="3" width="7.33203125" style="59" customWidth="1"/>
    <col min="4" max="6" width="2.109375" style="59" customWidth="1"/>
    <col min="7" max="7" width="11.44140625" style="59" customWidth="1"/>
    <col min="8" max="8" width="2.77734375" style="59" customWidth="1"/>
    <col min="9" max="9" width="8.77734375" style="59" customWidth="1"/>
    <col min="10" max="10" width="2.77734375" style="59" customWidth="1"/>
    <col min="11" max="11" width="7.77734375" style="59" customWidth="1"/>
    <col min="12" max="12" width="2.77734375" style="59" customWidth="1"/>
    <col min="13" max="13" width="9.77734375" style="59" customWidth="1"/>
    <col min="14" max="14" width="2.77734375" style="59" customWidth="1"/>
    <col min="15" max="16" width="9.77734375" style="59" customWidth="1"/>
    <col min="17" max="16384" width="8.77734375" style="59"/>
  </cols>
  <sheetData>
    <row r="1" spans="1:256" ht="15" x14ac:dyDescent="0.2">
      <c r="A1" s="101"/>
      <c r="B1" s="101"/>
      <c r="C1" s="114" t="s">
        <v>8</v>
      </c>
      <c r="D1" s="100"/>
      <c r="E1" s="100"/>
      <c r="F1" s="100"/>
      <c r="G1" s="100"/>
      <c r="H1" s="100"/>
      <c r="I1" s="100"/>
      <c r="J1" s="100"/>
      <c r="K1" s="100"/>
      <c r="L1" s="100"/>
      <c r="M1" s="100"/>
      <c r="N1" s="100"/>
      <c r="O1" s="100"/>
      <c r="P1" s="102"/>
    </row>
    <row r="2" spans="1:256" ht="15" x14ac:dyDescent="0.2">
      <c r="B2" s="215"/>
      <c r="C2" s="114"/>
      <c r="D2" s="100"/>
      <c r="E2" s="100"/>
      <c r="F2" s="100"/>
      <c r="G2" s="100"/>
      <c r="H2" s="100"/>
      <c r="I2" s="100"/>
      <c r="J2" s="100"/>
      <c r="K2" s="100"/>
      <c r="L2" s="100"/>
      <c r="M2" s="100"/>
      <c r="N2" s="100"/>
      <c r="O2" s="100"/>
      <c r="P2" s="102"/>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c r="IL2" s="215"/>
      <c r="IM2" s="215"/>
      <c r="IN2" s="215"/>
      <c r="IO2" s="215"/>
      <c r="IP2" s="215"/>
      <c r="IQ2" s="215"/>
      <c r="IR2" s="215"/>
      <c r="IS2" s="215"/>
      <c r="IT2" s="215"/>
      <c r="IU2" s="215"/>
      <c r="IV2" s="215"/>
    </row>
    <row r="3" spans="1:256" x14ac:dyDescent="0.2">
      <c r="A3" s="101"/>
      <c r="B3" s="101"/>
      <c r="C3" s="100" t="s">
        <v>196</v>
      </c>
      <c r="D3" s="100"/>
      <c r="E3" s="100"/>
      <c r="F3" s="100"/>
      <c r="G3" s="100"/>
      <c r="H3" s="100"/>
      <c r="I3" s="100"/>
      <c r="J3" s="100"/>
      <c r="K3" s="100"/>
      <c r="L3" s="100"/>
      <c r="M3" s="100"/>
      <c r="N3" s="100"/>
      <c r="O3" s="100"/>
      <c r="P3" s="102"/>
    </row>
    <row r="4" spans="1:256" x14ac:dyDescent="0.2">
      <c r="A4" s="101"/>
      <c r="B4" s="101"/>
      <c r="C4" s="100" t="s">
        <v>404</v>
      </c>
      <c r="D4" s="100"/>
      <c r="E4" s="100"/>
      <c r="F4" s="100"/>
      <c r="G4" s="100"/>
      <c r="H4" s="100"/>
      <c r="I4" s="100"/>
      <c r="J4" s="100"/>
      <c r="K4" s="100"/>
      <c r="L4" s="100"/>
      <c r="M4" s="100"/>
      <c r="N4" s="100"/>
      <c r="O4" s="100"/>
      <c r="P4" s="102"/>
    </row>
    <row r="5" spans="1:256" x14ac:dyDescent="0.2">
      <c r="A5" s="101"/>
      <c r="B5" s="101"/>
      <c r="C5" s="100" t="s">
        <v>189</v>
      </c>
      <c r="D5" s="100"/>
      <c r="E5" s="100"/>
      <c r="F5" s="100"/>
      <c r="G5" s="100"/>
      <c r="H5" s="100"/>
      <c r="I5" s="100"/>
      <c r="J5" s="100"/>
      <c r="K5" s="100"/>
      <c r="L5" s="100"/>
      <c r="M5" s="100"/>
      <c r="N5" s="100"/>
      <c r="O5" s="100"/>
      <c r="P5" s="102"/>
    </row>
    <row r="6" spans="1:256" x14ac:dyDescent="0.2">
      <c r="A6" s="101"/>
      <c r="B6" s="101"/>
      <c r="C6" s="102"/>
      <c r="D6" s="102"/>
      <c r="E6" s="102"/>
      <c r="F6" s="102"/>
      <c r="G6" s="102"/>
      <c r="H6" s="102"/>
      <c r="I6" s="102"/>
      <c r="J6" s="102"/>
      <c r="K6" s="102"/>
      <c r="L6" s="102"/>
      <c r="M6" s="102"/>
      <c r="N6" s="102"/>
      <c r="O6" s="102"/>
      <c r="P6" s="102"/>
    </row>
    <row r="7" spans="1:256" x14ac:dyDescent="0.2">
      <c r="A7" s="101"/>
      <c r="B7" s="101"/>
      <c r="C7" s="102"/>
      <c r="D7" s="102"/>
      <c r="E7" s="102"/>
      <c r="F7" s="102"/>
      <c r="G7" s="102"/>
      <c r="H7" s="102"/>
      <c r="I7" s="103" t="s">
        <v>405</v>
      </c>
      <c r="J7" s="102"/>
      <c r="K7" s="102"/>
      <c r="L7" s="102"/>
      <c r="M7" s="102"/>
      <c r="N7" s="102"/>
      <c r="O7" s="102"/>
      <c r="P7" s="102"/>
    </row>
    <row r="8" spans="1:256" x14ac:dyDescent="0.2">
      <c r="A8" s="101"/>
      <c r="B8" s="101"/>
      <c r="C8" s="102"/>
      <c r="D8" s="102"/>
      <c r="E8" s="102"/>
      <c r="F8" s="102"/>
      <c r="G8" s="102"/>
      <c r="H8" s="102"/>
      <c r="I8" s="103" t="s">
        <v>406</v>
      </c>
      <c r="J8" s="102"/>
      <c r="K8" s="102"/>
      <c r="L8" s="102"/>
      <c r="M8" s="103" t="s">
        <v>407</v>
      </c>
      <c r="N8" s="102"/>
      <c r="O8" s="103" t="s">
        <v>202</v>
      </c>
      <c r="P8" s="102"/>
    </row>
    <row r="9" spans="1:256" x14ac:dyDescent="0.2">
      <c r="A9" s="101"/>
      <c r="B9" s="101"/>
      <c r="C9" s="100" t="s">
        <v>408</v>
      </c>
      <c r="D9" s="100"/>
      <c r="E9" s="100"/>
      <c r="F9" s="100"/>
      <c r="G9" s="100"/>
      <c r="H9" s="102"/>
      <c r="I9" s="103" t="s">
        <v>409</v>
      </c>
      <c r="J9" s="102"/>
      <c r="K9" s="103" t="s">
        <v>410</v>
      </c>
      <c r="L9" s="102"/>
      <c r="M9" s="103" t="s">
        <v>92</v>
      </c>
      <c r="N9" s="102"/>
      <c r="O9" s="103" t="s">
        <v>204</v>
      </c>
      <c r="P9" s="102"/>
    </row>
    <row r="10" spans="1:256" x14ac:dyDescent="0.2">
      <c r="A10" s="101"/>
      <c r="B10" s="101"/>
      <c r="C10" s="104" t="s">
        <v>205</v>
      </c>
      <c r="D10" s="104"/>
      <c r="E10" s="104"/>
      <c r="F10" s="104"/>
      <c r="G10" s="104"/>
      <c r="H10" s="102"/>
      <c r="I10" s="105" t="s">
        <v>227</v>
      </c>
      <c r="J10" s="103"/>
      <c r="K10" s="105" t="s">
        <v>207</v>
      </c>
      <c r="L10" s="102"/>
      <c r="M10" s="105" t="s">
        <v>240</v>
      </c>
      <c r="N10" s="102"/>
      <c r="O10" s="105" t="s">
        <v>241</v>
      </c>
      <c r="P10" s="102"/>
    </row>
    <row r="11" spans="1:256" ht="16.149999999999999" customHeight="1" x14ac:dyDescent="0.2">
      <c r="A11" s="101"/>
      <c r="B11" s="101"/>
      <c r="C11" s="102"/>
      <c r="D11" s="102"/>
      <c r="E11" s="102"/>
      <c r="F11" s="102"/>
      <c r="G11" s="102"/>
      <c r="H11" s="102"/>
      <c r="I11" s="102"/>
      <c r="J11" s="102"/>
      <c r="K11" s="102"/>
      <c r="L11" s="102"/>
      <c r="M11" s="102"/>
      <c r="N11" s="102"/>
      <c r="O11" s="102"/>
      <c r="P11" s="102"/>
    </row>
    <row r="12" spans="1:256" x14ac:dyDescent="0.2">
      <c r="A12" s="101"/>
      <c r="B12" s="101"/>
      <c r="C12" s="106" t="s">
        <v>411</v>
      </c>
      <c r="D12" s="102"/>
      <c r="E12" s="102"/>
      <c r="F12" s="102"/>
      <c r="G12" s="102"/>
      <c r="H12" s="102"/>
      <c r="I12" s="102"/>
      <c r="J12" s="102"/>
      <c r="K12" s="102"/>
      <c r="L12" s="102"/>
      <c r="M12" s="102"/>
      <c r="N12" s="102"/>
      <c r="O12" s="102"/>
      <c r="P12" s="397"/>
      <c r="Q12" s="391"/>
    </row>
    <row r="13" spans="1:256" ht="13.9" customHeight="1" x14ac:dyDescent="0.2">
      <c r="A13" s="101"/>
      <c r="B13" s="101"/>
      <c r="C13" s="106"/>
      <c r="D13" s="102"/>
      <c r="E13" s="102"/>
      <c r="F13" s="102"/>
      <c r="G13" s="102"/>
      <c r="H13" s="102"/>
      <c r="I13" s="102"/>
      <c r="J13" s="102"/>
      <c r="K13" s="102"/>
      <c r="L13" s="102"/>
      <c r="M13" s="102"/>
      <c r="N13" s="102"/>
      <c r="O13" s="102"/>
      <c r="P13" s="397"/>
      <c r="Q13" s="391"/>
    </row>
    <row r="14" spans="1:256" x14ac:dyDescent="0.2">
      <c r="A14" s="101"/>
      <c r="B14" s="101"/>
      <c r="C14" s="868" t="s">
        <v>412</v>
      </c>
      <c r="D14" s="868"/>
      <c r="E14" s="868"/>
      <c r="F14" s="102"/>
      <c r="G14" s="102"/>
      <c r="H14" s="102"/>
      <c r="I14" s="94"/>
      <c r="J14" s="102"/>
      <c r="K14" s="102"/>
      <c r="L14" s="102"/>
      <c r="M14" s="102"/>
      <c r="N14" s="102"/>
      <c r="O14" s="102"/>
      <c r="P14" s="397" t="s">
        <v>947</v>
      </c>
      <c r="Q14" s="391"/>
    </row>
    <row r="15" spans="1:256" x14ac:dyDescent="0.2">
      <c r="A15" s="101"/>
      <c r="B15" s="101"/>
      <c r="C15" s="795">
        <v>2</v>
      </c>
      <c r="D15" s="796" t="s">
        <v>413</v>
      </c>
      <c r="E15" s="796"/>
      <c r="F15" s="797"/>
      <c r="G15" s="797"/>
      <c r="H15" s="797"/>
      <c r="I15" s="798">
        <f>+C15^2</f>
        <v>4</v>
      </c>
      <c r="J15" s="797"/>
      <c r="K15" s="799">
        <f>+P15</f>
        <v>69</v>
      </c>
      <c r="L15" s="797"/>
      <c r="M15" s="800">
        <f>ROUND((+I15*K15*1.5),0)</f>
        <v>414</v>
      </c>
      <c r="N15" s="797"/>
      <c r="O15" s="797"/>
      <c r="P15" s="174">
        <f>+'[7]Sch M'!$O247/12</f>
        <v>69</v>
      </c>
      <c r="Q15" s="391"/>
    </row>
    <row r="16" spans="1:256" x14ac:dyDescent="0.2">
      <c r="A16" s="101"/>
      <c r="B16" s="101"/>
      <c r="C16" s="801">
        <v>3</v>
      </c>
      <c r="D16" s="797" t="s">
        <v>413</v>
      </c>
      <c r="E16" s="797"/>
      <c r="F16" s="797"/>
      <c r="G16" s="797"/>
      <c r="H16" s="797"/>
      <c r="I16" s="798">
        <f t="shared" ref="I16:I23" si="0">+C16^2</f>
        <v>9</v>
      </c>
      <c r="J16" s="797"/>
      <c r="K16" s="799">
        <f t="shared" ref="K16:K24" si="1">+P16</f>
        <v>0</v>
      </c>
      <c r="L16" s="797"/>
      <c r="M16" s="800">
        <f t="shared" ref="M16:M23" si="2">ROUND((+I16*K16*1.5),0)</f>
        <v>0</v>
      </c>
      <c r="N16" s="797"/>
      <c r="O16" s="797"/>
      <c r="P16" s="174">
        <v>0</v>
      </c>
      <c r="Q16" s="391"/>
    </row>
    <row r="17" spans="1:22" x14ac:dyDescent="0.2">
      <c r="A17" s="101"/>
      <c r="B17" s="101"/>
      <c r="C17" s="801">
        <v>4</v>
      </c>
      <c r="D17" s="797" t="s">
        <v>413</v>
      </c>
      <c r="E17" s="797"/>
      <c r="F17" s="797"/>
      <c r="G17" s="797"/>
      <c r="H17" s="797"/>
      <c r="I17" s="798">
        <f t="shared" si="0"/>
        <v>16</v>
      </c>
      <c r="J17" s="797"/>
      <c r="K17" s="799">
        <f t="shared" si="1"/>
        <v>420</v>
      </c>
      <c r="L17" s="797"/>
      <c r="M17" s="800">
        <f t="shared" si="2"/>
        <v>10080</v>
      </c>
      <c r="N17" s="797"/>
      <c r="O17" s="797"/>
      <c r="P17" s="174">
        <f>+'[7]Sch M'!$O248/12</f>
        <v>420</v>
      </c>
      <c r="Q17" s="391"/>
    </row>
    <row r="18" spans="1:22" x14ac:dyDescent="0.2">
      <c r="A18" s="101"/>
      <c r="B18" s="101"/>
      <c r="C18" s="801">
        <v>6</v>
      </c>
      <c r="D18" s="797" t="s">
        <v>413</v>
      </c>
      <c r="E18" s="797"/>
      <c r="F18" s="797"/>
      <c r="G18" s="797"/>
      <c r="H18" s="797"/>
      <c r="I18" s="798">
        <f t="shared" si="0"/>
        <v>36</v>
      </c>
      <c r="J18" s="797"/>
      <c r="K18" s="799">
        <f t="shared" si="1"/>
        <v>912</v>
      </c>
      <c r="L18" s="797"/>
      <c r="M18" s="800">
        <f t="shared" si="2"/>
        <v>49248</v>
      </c>
      <c r="N18" s="797"/>
      <c r="O18" s="797"/>
      <c r="P18" s="174">
        <f>+'[7]Sch M'!$O249/12</f>
        <v>912</v>
      </c>
      <c r="Q18" s="391"/>
    </row>
    <row r="19" spans="1:22" x14ac:dyDescent="0.2">
      <c r="A19" s="101"/>
      <c r="B19" s="101"/>
      <c r="C19" s="801">
        <v>8</v>
      </c>
      <c r="D19" s="797" t="s">
        <v>413</v>
      </c>
      <c r="E19" s="797"/>
      <c r="F19" s="797"/>
      <c r="G19" s="797"/>
      <c r="H19" s="797"/>
      <c r="I19" s="798">
        <f t="shared" si="0"/>
        <v>64</v>
      </c>
      <c r="J19" s="797"/>
      <c r="K19" s="799">
        <f t="shared" si="1"/>
        <v>285</v>
      </c>
      <c r="L19" s="797"/>
      <c r="M19" s="800">
        <f t="shared" si="2"/>
        <v>27360</v>
      </c>
      <c r="N19" s="797"/>
      <c r="O19" s="797"/>
      <c r="P19" s="174">
        <f>+'[7]Sch M'!$O250/12</f>
        <v>285</v>
      </c>
      <c r="Q19" s="391"/>
    </row>
    <row r="20" spans="1:22" x14ac:dyDescent="0.2">
      <c r="A20" s="101"/>
      <c r="B20" s="101"/>
      <c r="C20" s="801">
        <v>10</v>
      </c>
      <c r="D20" s="797" t="s">
        <v>413</v>
      </c>
      <c r="E20" s="797"/>
      <c r="F20" s="797"/>
      <c r="G20" s="797"/>
      <c r="H20" s="797"/>
      <c r="I20" s="798">
        <f t="shared" si="0"/>
        <v>100</v>
      </c>
      <c r="J20" s="797"/>
      <c r="K20" s="799">
        <f t="shared" si="1"/>
        <v>9</v>
      </c>
      <c r="L20" s="797"/>
      <c r="M20" s="800">
        <f t="shared" si="2"/>
        <v>1350</v>
      </c>
      <c r="N20" s="797"/>
      <c r="O20" s="797"/>
      <c r="P20" s="174">
        <f>+'[7]Sch M'!$O251/12</f>
        <v>9</v>
      </c>
      <c r="Q20" s="391"/>
    </row>
    <row r="21" spans="1:22" x14ac:dyDescent="0.2">
      <c r="A21" s="101"/>
      <c r="B21" s="101"/>
      <c r="C21" s="801">
        <v>12</v>
      </c>
      <c r="D21" s="797" t="s">
        <v>413</v>
      </c>
      <c r="E21" s="797"/>
      <c r="F21" s="797"/>
      <c r="G21" s="797"/>
      <c r="H21" s="797"/>
      <c r="I21" s="798">
        <f t="shared" si="0"/>
        <v>144</v>
      </c>
      <c r="J21" s="797"/>
      <c r="K21" s="799">
        <f t="shared" si="1"/>
        <v>5</v>
      </c>
      <c r="L21" s="797"/>
      <c r="M21" s="800">
        <f t="shared" si="2"/>
        <v>1080</v>
      </c>
      <c r="N21" s="797"/>
      <c r="O21" s="797"/>
      <c r="P21" s="174">
        <f>+'[7]Sch M'!$O252/12</f>
        <v>5</v>
      </c>
      <c r="Q21" s="391"/>
    </row>
    <row r="22" spans="1:22" x14ac:dyDescent="0.2">
      <c r="A22" s="101"/>
      <c r="B22" s="101"/>
      <c r="C22" s="801">
        <v>14</v>
      </c>
      <c r="D22" s="797" t="s">
        <v>413</v>
      </c>
      <c r="E22" s="797"/>
      <c r="F22" s="797"/>
      <c r="G22" s="797"/>
      <c r="H22" s="797"/>
      <c r="I22" s="798">
        <f t="shared" si="0"/>
        <v>196</v>
      </c>
      <c r="J22" s="797"/>
      <c r="K22" s="799">
        <f t="shared" si="1"/>
        <v>0</v>
      </c>
      <c r="L22" s="797"/>
      <c r="M22" s="800">
        <f t="shared" si="2"/>
        <v>0</v>
      </c>
      <c r="N22" s="797"/>
      <c r="O22" s="797"/>
      <c r="P22" s="174">
        <f>+'[7]Sch M'!$O253/12</f>
        <v>0</v>
      </c>
      <c r="Q22" s="391"/>
    </row>
    <row r="23" spans="1:22" x14ac:dyDescent="0.2">
      <c r="A23" s="101"/>
      <c r="B23" s="101"/>
      <c r="C23" s="801">
        <v>16</v>
      </c>
      <c r="D23" s="797" t="s">
        <v>413</v>
      </c>
      <c r="E23" s="797"/>
      <c r="F23" s="797"/>
      <c r="G23" s="797"/>
      <c r="H23" s="797"/>
      <c r="I23" s="798">
        <f t="shared" si="0"/>
        <v>256</v>
      </c>
      <c r="J23" s="797"/>
      <c r="K23" s="799">
        <f t="shared" si="1"/>
        <v>1</v>
      </c>
      <c r="L23" s="797"/>
      <c r="M23" s="800">
        <f t="shared" si="2"/>
        <v>384</v>
      </c>
      <c r="N23" s="797"/>
      <c r="O23" s="797"/>
      <c r="P23" s="174">
        <f>+'[7]Sch M'!$O254/12</f>
        <v>1</v>
      </c>
      <c r="Q23" s="391"/>
    </row>
    <row r="24" spans="1:22" ht="13.5" customHeight="1" x14ac:dyDescent="0.2">
      <c r="A24" s="101"/>
      <c r="B24" s="101"/>
      <c r="C24" s="869" t="s">
        <v>188</v>
      </c>
      <c r="D24" s="869"/>
      <c r="E24" s="869"/>
      <c r="F24" s="797"/>
      <c r="G24" s="797"/>
      <c r="H24" s="797"/>
      <c r="I24" s="802">
        <v>27.6</v>
      </c>
      <c r="J24" s="797"/>
      <c r="K24" s="803">
        <f t="shared" si="1"/>
        <v>1135</v>
      </c>
      <c r="L24" s="797"/>
      <c r="M24" s="804">
        <f>ROUND((+I24*K24*1.5),0)</f>
        <v>46989</v>
      </c>
      <c r="N24" s="805"/>
      <c r="O24" s="797"/>
      <c r="P24" s="174">
        <f>+'[7]Sch M'!$O246/12</f>
        <v>1135</v>
      </c>
      <c r="Q24" s="391"/>
    </row>
    <row r="25" spans="1:22" x14ac:dyDescent="0.2">
      <c r="A25" s="101"/>
      <c r="B25" s="101"/>
      <c r="C25" s="797"/>
      <c r="D25" s="797"/>
      <c r="E25" s="797"/>
      <c r="F25" s="797"/>
      <c r="G25" s="797"/>
      <c r="H25" s="797"/>
      <c r="I25" s="798"/>
      <c r="J25" s="797"/>
      <c r="K25" s="800"/>
      <c r="L25" s="797"/>
      <c r="M25" s="800"/>
      <c r="N25" s="797"/>
      <c r="O25" s="797"/>
      <c r="P25" s="174"/>
      <c r="Q25" s="391"/>
      <c r="T25" s="59" t="s">
        <v>586</v>
      </c>
    </row>
    <row r="26" spans="1:22" ht="13.5" thickBot="1" x14ac:dyDescent="0.25">
      <c r="A26" s="101"/>
      <c r="B26" s="101"/>
      <c r="C26" s="797" t="s">
        <v>414</v>
      </c>
      <c r="D26" s="797"/>
      <c r="E26" s="797"/>
      <c r="F26" s="797"/>
      <c r="G26" s="797"/>
      <c r="H26" s="797"/>
      <c r="I26" s="798"/>
      <c r="J26" s="797"/>
      <c r="K26" s="806">
        <f>SUM(K15:K24)</f>
        <v>2836</v>
      </c>
      <c r="L26" s="797"/>
      <c r="M26" s="807">
        <f>SUM(M15:M24)</f>
        <v>136905</v>
      </c>
      <c r="N26" s="797"/>
      <c r="O26" s="808">
        <f>ROUND(+M26/M$35,4)</f>
        <v>0.46200000000000002</v>
      </c>
      <c r="P26" s="319"/>
      <c r="Q26" s="82"/>
      <c r="V26" s="374"/>
    </row>
    <row r="27" spans="1:22" ht="13.5" thickTop="1" x14ac:dyDescent="0.2">
      <c r="A27" s="101"/>
      <c r="B27" s="101"/>
      <c r="C27" s="797"/>
      <c r="D27" s="797"/>
      <c r="E27" s="797"/>
      <c r="F27" s="797"/>
      <c r="G27" s="797"/>
      <c r="H27" s="797"/>
      <c r="I27" s="798"/>
      <c r="J27" s="797"/>
      <c r="K27" s="809"/>
      <c r="L27" s="797"/>
      <c r="M27" s="809"/>
      <c r="N27" s="797"/>
      <c r="O27" s="810"/>
      <c r="P27" s="319"/>
      <c r="Q27" s="391"/>
      <c r="V27" s="374"/>
    </row>
    <row r="28" spans="1:22" x14ac:dyDescent="0.2">
      <c r="A28" s="101"/>
      <c r="B28" s="101"/>
      <c r="C28" s="797"/>
      <c r="D28" s="797"/>
      <c r="E28" s="797"/>
      <c r="F28" s="797"/>
      <c r="G28" s="797"/>
      <c r="H28" s="797"/>
      <c r="I28" s="798"/>
      <c r="J28" s="797"/>
      <c r="K28" s="809"/>
      <c r="L28" s="797"/>
      <c r="M28" s="809"/>
      <c r="N28" s="797"/>
      <c r="O28" s="797"/>
      <c r="P28" s="319"/>
      <c r="Q28" s="391"/>
      <c r="V28" s="396"/>
    </row>
    <row r="29" spans="1:22" x14ac:dyDescent="0.2">
      <c r="A29" s="101"/>
      <c r="B29" s="101"/>
      <c r="C29" s="811" t="s">
        <v>415</v>
      </c>
      <c r="D29" s="797"/>
      <c r="E29" s="797"/>
      <c r="F29" s="797"/>
      <c r="G29" s="797"/>
      <c r="H29" s="797"/>
      <c r="I29" s="798"/>
      <c r="J29" s="797"/>
      <c r="K29" s="809"/>
      <c r="L29" s="797"/>
      <c r="M29" s="809"/>
      <c r="N29" s="797"/>
      <c r="O29" s="797"/>
      <c r="P29" s="812"/>
      <c r="Q29" s="391"/>
      <c r="V29" s="374"/>
    </row>
    <row r="30" spans="1:22" x14ac:dyDescent="0.2">
      <c r="A30" s="101"/>
      <c r="B30" s="101"/>
      <c r="C30" s="813" t="s">
        <v>95</v>
      </c>
      <c r="D30" s="813"/>
      <c r="E30" s="797"/>
      <c r="F30" s="797"/>
      <c r="G30" s="797"/>
      <c r="H30" s="797"/>
      <c r="I30" s="798">
        <v>20.3</v>
      </c>
      <c r="J30" s="797"/>
      <c r="K30" s="814">
        <f>ROUND(+'[7]Sch M'!$O$262/12,0)-K31</f>
        <v>6493</v>
      </c>
      <c r="L30" s="797"/>
      <c r="M30" s="809">
        <f>+I30*K30</f>
        <v>131807.9</v>
      </c>
      <c r="N30" s="797"/>
      <c r="O30" s="797"/>
      <c r="P30" s="805"/>
      <c r="Q30" s="391"/>
      <c r="V30" s="374"/>
    </row>
    <row r="31" spans="1:22" x14ac:dyDescent="0.2">
      <c r="A31" s="101"/>
      <c r="B31" s="101"/>
      <c r="C31" s="813" t="s">
        <v>96</v>
      </c>
      <c r="D31" s="813"/>
      <c r="E31" s="815"/>
      <c r="F31" s="816"/>
      <c r="G31" s="817"/>
      <c r="H31" s="797"/>
      <c r="I31" s="798">
        <v>27.6</v>
      </c>
      <c r="J31" s="797"/>
      <c r="K31" s="809">
        <v>1000</v>
      </c>
      <c r="L31" s="797"/>
      <c r="M31" s="809">
        <f>+I31*K31</f>
        <v>27600</v>
      </c>
      <c r="N31" s="797"/>
      <c r="O31" s="797"/>
      <c r="P31" s="797"/>
    </row>
    <row r="32" spans="1:22" x14ac:dyDescent="0.2">
      <c r="A32" s="101"/>
      <c r="B32" s="101"/>
      <c r="C32" s="815"/>
      <c r="D32" s="797"/>
      <c r="E32" s="797"/>
      <c r="F32" s="797"/>
      <c r="G32" s="797"/>
      <c r="H32" s="797"/>
      <c r="I32" s="798"/>
      <c r="J32" s="797"/>
      <c r="K32" s="818"/>
      <c r="L32" s="797"/>
      <c r="M32" s="818"/>
      <c r="N32" s="797"/>
      <c r="O32" s="797"/>
      <c r="P32" s="797"/>
    </row>
    <row r="33" spans="1:21" x14ac:dyDescent="0.2">
      <c r="A33" s="101"/>
      <c r="B33" s="101"/>
      <c r="C33" s="815" t="s">
        <v>187</v>
      </c>
      <c r="D33" s="797"/>
      <c r="E33" s="797"/>
      <c r="F33" s="797"/>
      <c r="G33" s="797"/>
      <c r="H33" s="797"/>
      <c r="I33" s="797"/>
      <c r="J33" s="797"/>
      <c r="K33" s="809">
        <f>SUM(K30:K32)</f>
        <v>7493</v>
      </c>
      <c r="L33" s="797"/>
      <c r="M33" s="809">
        <f>SUM(M30:M32)</f>
        <v>159407.9</v>
      </c>
      <c r="N33" s="797"/>
      <c r="O33" s="810">
        <f>ROUND(+M33/M$35,4)</f>
        <v>0.53800000000000003</v>
      </c>
      <c r="P33" s="797"/>
    </row>
    <row r="34" spans="1:21" x14ac:dyDescent="0.2">
      <c r="A34" s="101"/>
      <c r="B34" s="101"/>
      <c r="C34" s="797"/>
      <c r="D34" s="797"/>
      <c r="E34" s="797"/>
      <c r="F34" s="797"/>
      <c r="G34" s="797"/>
      <c r="H34" s="797"/>
      <c r="I34" s="797"/>
      <c r="J34" s="797"/>
      <c r="K34" s="818"/>
      <c r="L34" s="797"/>
      <c r="M34" s="818"/>
      <c r="N34" s="797"/>
      <c r="O34" s="818"/>
      <c r="P34" s="797"/>
    </row>
    <row r="35" spans="1:21" ht="13.5" thickBot="1" x14ac:dyDescent="0.25">
      <c r="A35" s="101"/>
      <c r="B35" s="101"/>
      <c r="C35" s="797" t="s">
        <v>416</v>
      </c>
      <c r="D35" s="797"/>
      <c r="E35" s="797"/>
      <c r="F35" s="797"/>
      <c r="G35" s="797"/>
      <c r="H35" s="797"/>
      <c r="I35" s="797"/>
      <c r="J35" s="797"/>
      <c r="K35" s="807">
        <f>K26+K33</f>
        <v>10329</v>
      </c>
      <c r="L35" s="797"/>
      <c r="M35" s="807">
        <f>M26+M33</f>
        <v>296312.90000000002</v>
      </c>
      <c r="N35" s="810"/>
      <c r="O35" s="819">
        <f>O26+O33</f>
        <v>1</v>
      </c>
      <c r="P35" s="797"/>
    </row>
    <row r="36" spans="1:21" ht="13.5" thickTop="1" x14ac:dyDescent="0.2">
      <c r="C36" s="815"/>
      <c r="D36" s="815"/>
      <c r="E36" s="815"/>
      <c r="F36" s="815"/>
      <c r="G36" s="815"/>
      <c r="H36" s="815"/>
      <c r="I36" s="815"/>
      <c r="J36" s="815"/>
      <c r="K36" s="815"/>
      <c r="L36" s="815"/>
      <c r="M36" s="815"/>
      <c r="N36" s="815"/>
      <c r="O36" s="815"/>
      <c r="P36" s="815"/>
    </row>
    <row r="37" spans="1:21" x14ac:dyDescent="0.2">
      <c r="C37" s="820"/>
      <c r="D37" s="820"/>
      <c r="E37" s="820"/>
      <c r="F37" s="820"/>
      <c r="G37" s="820"/>
      <c r="H37" s="815"/>
      <c r="I37" s="815"/>
      <c r="J37" s="815"/>
      <c r="K37" s="815"/>
      <c r="L37" s="815"/>
      <c r="M37" s="815"/>
      <c r="N37" s="815"/>
      <c r="O37" s="815"/>
      <c r="P37" s="815"/>
    </row>
    <row r="38" spans="1:21" x14ac:dyDescent="0.2">
      <c r="C38" s="815" t="s">
        <v>93</v>
      </c>
      <c r="D38" s="815"/>
      <c r="E38" s="815"/>
      <c r="F38" s="815"/>
      <c r="G38" s="815"/>
      <c r="H38" s="815"/>
      <c r="I38" s="815"/>
      <c r="J38" s="815"/>
      <c r="K38" s="815"/>
      <c r="L38" s="815"/>
      <c r="M38" s="815"/>
      <c r="N38" s="815"/>
      <c r="O38" s="815"/>
      <c r="P38" s="815"/>
    </row>
    <row r="39" spans="1:21" x14ac:dyDescent="0.2">
      <c r="C39" s="815" t="s">
        <v>94</v>
      </c>
      <c r="D39" s="815"/>
      <c r="E39" s="815"/>
      <c r="F39" s="815"/>
      <c r="G39" s="815"/>
      <c r="H39" s="815"/>
      <c r="I39" s="815"/>
      <c r="J39" s="815"/>
      <c r="K39" s="815"/>
      <c r="L39" s="815"/>
      <c r="M39" s="815"/>
      <c r="N39" s="815"/>
      <c r="O39" s="815"/>
      <c r="P39" s="815"/>
    </row>
    <row r="40" spans="1:21" x14ac:dyDescent="0.2">
      <c r="C40" s="815"/>
      <c r="D40" s="815"/>
      <c r="E40" s="815"/>
      <c r="F40" s="815"/>
      <c r="G40" s="815"/>
      <c r="H40" s="815"/>
      <c r="I40" s="815"/>
      <c r="J40" s="815"/>
      <c r="K40" s="815"/>
      <c r="L40" s="815"/>
      <c r="M40" s="815"/>
      <c r="N40" s="815"/>
      <c r="O40" s="815"/>
      <c r="P40" s="815"/>
      <c r="U40" s="59">
        <f>+'[9]Sch M'!$E$262/12</f>
        <v>7397.9965692993646</v>
      </c>
    </row>
    <row r="41" spans="1:21" x14ac:dyDescent="0.2">
      <c r="C41" s="815"/>
      <c r="D41" s="815"/>
      <c r="E41" s="815"/>
      <c r="F41" s="815"/>
      <c r="G41" s="815"/>
      <c r="H41" s="815"/>
      <c r="I41" s="815"/>
      <c r="J41" s="815"/>
      <c r="K41" s="815"/>
      <c r="L41" s="815"/>
      <c r="M41" s="815"/>
      <c r="N41" s="815"/>
      <c r="O41" s="815"/>
      <c r="P41" s="815"/>
    </row>
    <row r="42" spans="1:21" x14ac:dyDescent="0.2">
      <c r="C42" s="815"/>
      <c r="D42" s="815"/>
      <c r="E42" s="815"/>
      <c r="F42" s="815"/>
      <c r="G42" s="815"/>
      <c r="H42" s="815"/>
      <c r="I42" s="815"/>
      <c r="J42" s="815"/>
      <c r="K42" s="815"/>
      <c r="L42" s="815"/>
      <c r="M42" s="815"/>
      <c r="N42" s="815"/>
      <c r="O42" s="815"/>
      <c r="P42" s="815"/>
    </row>
    <row r="43" spans="1:21" x14ac:dyDescent="0.2">
      <c r="C43" s="815"/>
      <c r="D43" s="815"/>
      <c r="E43" s="815"/>
      <c r="F43" s="815"/>
      <c r="G43" s="815"/>
      <c r="H43" s="815"/>
      <c r="I43" s="815"/>
      <c r="J43" s="815"/>
      <c r="K43" s="815"/>
      <c r="L43" s="815"/>
      <c r="M43" s="815"/>
      <c r="N43" s="815"/>
      <c r="O43" s="815"/>
      <c r="P43" s="815"/>
    </row>
    <row r="44" spans="1:21" x14ac:dyDescent="0.2">
      <c r="C44" s="815"/>
      <c r="D44" s="815"/>
      <c r="E44" s="815"/>
      <c r="F44" s="815"/>
      <c r="G44" s="815"/>
      <c r="H44" s="815"/>
      <c r="I44" s="815"/>
      <c r="J44" s="815"/>
      <c r="K44" s="815"/>
      <c r="L44" s="815"/>
      <c r="M44" s="815"/>
      <c r="N44" s="815"/>
      <c r="O44" s="815"/>
      <c r="P44" s="815"/>
    </row>
    <row r="45" spans="1:21" x14ac:dyDescent="0.2">
      <c r="C45" s="815"/>
      <c r="D45" s="815"/>
      <c r="E45" s="815"/>
      <c r="F45" s="815"/>
      <c r="G45" s="815"/>
      <c r="H45" s="815"/>
      <c r="I45" s="815"/>
      <c r="J45" s="815"/>
      <c r="K45" s="815"/>
      <c r="L45" s="815"/>
      <c r="M45" s="815"/>
      <c r="N45" s="815"/>
      <c r="O45" s="815"/>
      <c r="P45" s="815"/>
    </row>
    <row r="46" spans="1:21" x14ac:dyDescent="0.2">
      <c r="C46" s="815"/>
      <c r="D46" s="815"/>
      <c r="E46" s="815"/>
      <c r="F46" s="815"/>
      <c r="G46" s="815"/>
      <c r="H46" s="815"/>
      <c r="I46" s="815"/>
      <c r="J46" s="815"/>
      <c r="K46" s="815"/>
      <c r="L46" s="815"/>
      <c r="M46" s="815"/>
      <c r="N46" s="815"/>
      <c r="O46" s="815"/>
      <c r="P46" s="815"/>
    </row>
    <row r="47" spans="1:21" x14ac:dyDescent="0.2">
      <c r="C47" s="815"/>
      <c r="D47" s="815"/>
      <c r="E47" s="815"/>
      <c r="F47" s="815"/>
      <c r="G47" s="815"/>
      <c r="H47" s="815"/>
      <c r="I47" s="815"/>
      <c r="J47" s="815"/>
      <c r="K47" s="815"/>
      <c r="L47" s="815"/>
      <c r="M47" s="815"/>
      <c r="N47" s="815"/>
      <c r="O47" s="815"/>
      <c r="P47" s="815"/>
    </row>
    <row r="48" spans="1:21" x14ac:dyDescent="0.2">
      <c r="C48" s="815"/>
      <c r="D48" s="815"/>
      <c r="E48" s="815"/>
      <c r="F48" s="815"/>
      <c r="G48" s="815"/>
      <c r="H48" s="815"/>
      <c r="I48" s="815"/>
      <c r="J48" s="815"/>
      <c r="K48" s="815"/>
      <c r="L48" s="815"/>
      <c r="M48" s="815"/>
      <c r="N48" s="815"/>
      <c r="O48" s="815"/>
      <c r="P48" s="815"/>
    </row>
    <row r="49" spans="3:16" x14ac:dyDescent="0.2">
      <c r="C49" s="815"/>
      <c r="D49" s="815"/>
      <c r="E49" s="815"/>
      <c r="F49" s="815"/>
      <c r="G49" s="815"/>
      <c r="H49" s="815"/>
      <c r="I49" s="815"/>
      <c r="J49" s="815"/>
      <c r="K49" s="815"/>
      <c r="L49" s="815"/>
      <c r="M49" s="815"/>
      <c r="N49" s="815"/>
      <c r="O49" s="815"/>
      <c r="P49" s="815"/>
    </row>
    <row r="50" spans="3:16" x14ac:dyDescent="0.2">
      <c r="C50" s="815"/>
      <c r="D50" s="815"/>
      <c r="E50" s="815"/>
      <c r="F50" s="815"/>
      <c r="G50" s="815"/>
      <c r="H50" s="815"/>
      <c r="I50" s="815"/>
      <c r="J50" s="815"/>
      <c r="K50" s="815"/>
      <c r="L50" s="815"/>
      <c r="M50" s="815"/>
      <c r="N50" s="815"/>
      <c r="O50" s="815"/>
      <c r="P50" s="815"/>
    </row>
  </sheetData>
  <mergeCells count="2">
    <mergeCell ref="C14:E14"/>
    <mergeCell ref="C24:E24"/>
  </mergeCells>
  <phoneticPr fontId="14" type="noConversion"/>
  <pageMargins left="0.7" right="0.7" top="0.75" bottom="0.75" header="0.3" footer="0.3"/>
  <pageSetup fitToHeight="0" orientation="portrait" r:id="rId1"/>
  <headerFooter>
    <oddHeader>&amp;R&amp;9KAW_R_PSCDR1_NUM014_Attachment 1
Case No. 2015-00418
Page &amp;P of &amp;N</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tabSelected="1" view="pageLayout" topLeftCell="A4" zoomScaleNormal="100" workbookViewId="0">
      <selection activeCell="M516" sqref="M516"/>
    </sheetView>
  </sheetViews>
  <sheetFormatPr defaultRowHeight="12.75" x14ac:dyDescent="0.2"/>
  <cols>
    <col min="1" max="1" width="18.33203125" customWidth="1"/>
    <col min="2" max="2" width="1.5546875" customWidth="1"/>
    <col min="3" max="3" width="12.77734375" customWidth="1"/>
    <col min="4" max="4" width="1.21875" customWidth="1"/>
    <col min="6" max="6" width="1.88671875" customWidth="1"/>
    <col min="8" max="8" width="2.77734375" customWidth="1"/>
    <col min="9" max="9" width="11" customWidth="1"/>
    <col min="10" max="10" width="1.33203125" customWidth="1"/>
    <col min="11" max="11" width="11.44140625" customWidth="1"/>
    <col min="12" max="12" width="1.77734375" customWidth="1"/>
    <col min="14" max="14" width="1.88671875" customWidth="1"/>
    <col min="16" max="16" width="1.21875" customWidth="1"/>
    <col min="17" max="17" width="11" customWidth="1"/>
    <col min="18" max="18" width="1.44140625" customWidth="1"/>
    <col min="19" max="19" width="12.33203125" customWidth="1"/>
    <col min="20" max="20" width="5.21875" customWidth="1"/>
    <col min="22" max="22" width="1.33203125" customWidth="1"/>
    <col min="28" max="28" width="2.88671875" customWidth="1"/>
    <col min="30" max="30" width="2.5546875" customWidth="1"/>
    <col min="31" max="31" width="15.5546875" bestFit="1" customWidth="1"/>
    <col min="32" max="32" width="1.33203125" customWidth="1"/>
    <col min="33" max="33" width="12" bestFit="1" customWidth="1"/>
    <col min="34" max="34" width="2.88671875" customWidth="1"/>
    <col min="36" max="36" width="1.5546875" customWidth="1"/>
  </cols>
  <sheetData>
    <row r="1" spans="1:23" ht="15" x14ac:dyDescent="0.2">
      <c r="W1" s="340"/>
    </row>
    <row r="4" spans="1:23" ht="15" x14ac:dyDescent="0.2">
      <c r="A4" s="871" t="s">
        <v>195</v>
      </c>
      <c r="B4" s="871"/>
      <c r="C4" s="871"/>
      <c r="D4" s="871"/>
      <c r="E4" s="871"/>
      <c r="F4" s="871"/>
      <c r="G4" s="871"/>
      <c r="H4" s="871"/>
      <c r="I4" s="871"/>
      <c r="J4" s="871"/>
      <c r="K4" s="871"/>
    </row>
    <row r="5" spans="1:23" ht="14.25" x14ac:dyDescent="0.2">
      <c r="A5" s="747"/>
      <c r="B5" s="747"/>
      <c r="C5" s="747"/>
      <c r="D5" s="747"/>
      <c r="E5" s="747"/>
      <c r="F5" s="747"/>
      <c r="G5" s="747"/>
      <c r="H5" s="747"/>
      <c r="I5" s="747"/>
      <c r="J5" s="747"/>
      <c r="K5" s="747"/>
    </row>
    <row r="6" spans="1:23" ht="15" x14ac:dyDescent="0.2">
      <c r="A6" s="871" t="s">
        <v>543</v>
      </c>
      <c r="B6" s="871"/>
      <c r="C6" s="871"/>
      <c r="D6" s="871"/>
      <c r="E6" s="871"/>
      <c r="F6" s="871"/>
      <c r="G6" s="871"/>
      <c r="H6" s="871"/>
      <c r="I6" s="871"/>
      <c r="J6" s="871"/>
      <c r="K6" s="871"/>
    </row>
    <row r="7" spans="1:23" ht="14.25" x14ac:dyDescent="0.2">
      <c r="A7" s="747"/>
      <c r="B7" s="747"/>
      <c r="C7" s="747"/>
      <c r="D7" s="747"/>
      <c r="E7" s="747"/>
      <c r="F7" s="747"/>
      <c r="G7" s="747"/>
      <c r="H7" s="747"/>
      <c r="I7" s="747"/>
      <c r="J7" s="747"/>
      <c r="K7" s="747"/>
    </row>
    <row r="8" spans="1:23" ht="14.25" x14ac:dyDescent="0.2">
      <c r="A8" s="747"/>
      <c r="B8" s="747"/>
      <c r="C8" s="747"/>
      <c r="D8" s="747"/>
      <c r="E8" s="747"/>
      <c r="F8" s="747"/>
      <c r="G8" s="747"/>
      <c r="H8" s="747"/>
      <c r="I8" s="747"/>
      <c r="J8" s="747"/>
      <c r="K8" s="747"/>
    </row>
    <row r="9" spans="1:23" ht="14.25" x14ac:dyDescent="0.2">
      <c r="A9" s="747"/>
      <c r="B9" s="747"/>
      <c r="C9" s="744"/>
      <c r="D9" s="747"/>
      <c r="E9" s="747"/>
      <c r="F9" s="747"/>
      <c r="G9" s="747"/>
      <c r="H9" s="747"/>
      <c r="I9" s="747"/>
      <c r="J9" s="747"/>
      <c r="K9" s="747"/>
    </row>
    <row r="10" spans="1:23" ht="14.25" x14ac:dyDescent="0.2">
      <c r="A10" s="747"/>
      <c r="B10" s="747"/>
      <c r="C10" s="748" t="s">
        <v>151</v>
      </c>
      <c r="D10" s="747"/>
      <c r="E10" s="748" t="s">
        <v>544</v>
      </c>
      <c r="F10" s="747"/>
      <c r="G10" s="747"/>
      <c r="H10" s="747"/>
      <c r="I10" s="747"/>
      <c r="J10" s="747"/>
      <c r="K10" s="748" t="s">
        <v>545</v>
      </c>
    </row>
    <row r="11" spans="1:23" ht="14.25" x14ac:dyDescent="0.2">
      <c r="A11" s="749" t="s">
        <v>546</v>
      </c>
      <c r="B11" s="747"/>
      <c r="C11" s="749" t="s">
        <v>338</v>
      </c>
      <c r="D11" s="747"/>
      <c r="E11" s="749" t="s">
        <v>547</v>
      </c>
      <c r="F11" s="747"/>
      <c r="G11" s="872" t="s">
        <v>408</v>
      </c>
      <c r="H11" s="872"/>
      <c r="I11" s="872"/>
      <c r="J11" s="747"/>
      <c r="K11" s="749" t="s">
        <v>548</v>
      </c>
    </row>
    <row r="12" spans="1:23" ht="14.25" x14ac:dyDescent="0.2">
      <c r="A12" s="750" t="s">
        <v>205</v>
      </c>
      <c r="B12" s="751"/>
      <c r="C12" s="750" t="s">
        <v>227</v>
      </c>
      <c r="D12" s="751"/>
      <c r="E12" s="750" t="s">
        <v>207</v>
      </c>
      <c r="F12" s="747"/>
      <c r="G12" s="873" t="s">
        <v>229</v>
      </c>
      <c r="H12" s="873"/>
      <c r="I12" s="873"/>
      <c r="J12" s="747"/>
      <c r="K12" s="750" t="s">
        <v>241</v>
      </c>
    </row>
    <row r="13" spans="1:23" ht="14.25" x14ac:dyDescent="0.2">
      <c r="A13" s="747"/>
      <c r="B13" s="747"/>
      <c r="C13" s="747"/>
      <c r="D13" s="747"/>
      <c r="E13" s="747"/>
      <c r="F13" s="747"/>
      <c r="G13" s="747"/>
      <c r="H13" s="747"/>
      <c r="I13" s="747"/>
      <c r="J13" s="747"/>
      <c r="K13" s="747"/>
    </row>
    <row r="14" spans="1:23" ht="14.25" x14ac:dyDescent="0.2">
      <c r="A14" s="747" t="s">
        <v>395</v>
      </c>
      <c r="B14" s="747"/>
      <c r="C14" s="752">
        <f ca="1">+'COS 1'!AO275</f>
        <v>9796558.3276154418</v>
      </c>
      <c r="D14" s="747"/>
      <c r="E14" s="747">
        <f>SUM('F8-10'!D27:D31)</f>
        <v>141297</v>
      </c>
      <c r="F14" s="747"/>
      <c r="G14" s="753" t="s">
        <v>549</v>
      </c>
      <c r="H14" s="754"/>
      <c r="I14" s="747"/>
      <c r="J14" s="747"/>
      <c r="K14" s="755">
        <f ca="1">ROUND(+C14/E14/12,2)</f>
        <v>5.78</v>
      </c>
    </row>
    <row r="15" spans="1:23" ht="14.25" x14ac:dyDescent="0.2">
      <c r="A15" s="747"/>
      <c r="B15" s="747"/>
      <c r="C15" s="747"/>
      <c r="D15" s="747"/>
      <c r="E15" s="747"/>
      <c r="F15" s="747"/>
      <c r="G15" s="753"/>
      <c r="H15" s="754"/>
      <c r="I15" s="747"/>
      <c r="J15" s="747"/>
      <c r="K15" s="755"/>
    </row>
    <row r="16" spans="1:23" ht="14.25" x14ac:dyDescent="0.2">
      <c r="A16" s="747" t="s">
        <v>342</v>
      </c>
      <c r="B16" s="747"/>
      <c r="C16" s="751">
        <f ca="1">+'COS 1'!AQ275</f>
        <v>4448795.1423963187</v>
      </c>
      <c r="D16" s="747"/>
      <c r="E16" s="747">
        <f>SUM('F8-10'!D48:D52)</f>
        <v>137002</v>
      </c>
      <c r="F16" s="747"/>
      <c r="G16" s="753" t="s">
        <v>550</v>
      </c>
      <c r="H16" s="754"/>
      <c r="I16" s="747"/>
      <c r="J16" s="747"/>
      <c r="K16" s="756">
        <f ca="1">ROUND(+C16/E16/12,2)</f>
        <v>2.71</v>
      </c>
    </row>
    <row r="17" spans="1:41" ht="14.25" x14ac:dyDescent="0.2">
      <c r="A17" s="747"/>
      <c r="B17" s="747"/>
      <c r="C17" s="751"/>
      <c r="D17" s="747"/>
      <c r="E17" s="747"/>
      <c r="F17" s="747"/>
      <c r="G17" s="747"/>
      <c r="H17" s="754"/>
      <c r="I17" s="747"/>
      <c r="J17" s="747"/>
      <c r="K17" s="756"/>
    </row>
    <row r="18" spans="1:41" ht="14.25" x14ac:dyDescent="0.2">
      <c r="A18" s="747" t="s">
        <v>551</v>
      </c>
      <c r="B18" s="747"/>
      <c r="C18" s="747">
        <f ca="1">+'COS 1'!AS275+'COS 1'!AU275</f>
        <v>9362059.3355942089</v>
      </c>
      <c r="D18" s="747"/>
      <c r="E18" s="747">
        <f>SUM('F13-14'!D13:D17)</f>
        <v>126687</v>
      </c>
      <c r="F18" s="747"/>
      <c r="G18" s="747" t="s">
        <v>552</v>
      </c>
      <c r="H18" s="754"/>
      <c r="I18" s="747"/>
      <c r="J18" s="747"/>
      <c r="K18" s="756">
        <f ca="1">ROUND(+C18/E18/12,2)</f>
        <v>6.16</v>
      </c>
    </row>
    <row r="19" spans="1:41" s="599" customFormat="1" ht="14.25" x14ac:dyDescent="0.2">
      <c r="A19" s="747"/>
      <c r="B19" s="747"/>
      <c r="C19" s="757"/>
      <c r="D19" s="747"/>
      <c r="E19" s="747"/>
      <c r="F19" s="747"/>
      <c r="G19" s="747"/>
      <c r="H19" s="754"/>
      <c r="I19" s="747"/>
      <c r="J19" s="747"/>
      <c r="K19" s="758"/>
    </row>
    <row r="20" spans="1:41" ht="14.25" x14ac:dyDescent="0.2">
      <c r="A20" s="747" t="s">
        <v>976</v>
      </c>
      <c r="B20" s="747"/>
      <c r="C20" s="759">
        <f ca="1">+'SCH-A'!D30-'SCH-A'!L30</f>
        <v>342850.67679354828</v>
      </c>
      <c r="D20" s="747"/>
      <c r="E20" s="747">
        <f>+E14</f>
        <v>141297</v>
      </c>
      <c r="F20" s="747"/>
      <c r="G20" s="753" t="s">
        <v>549</v>
      </c>
      <c r="H20" s="754"/>
      <c r="I20" s="747"/>
      <c r="J20" s="747"/>
      <c r="K20" s="772">
        <f ca="1">ROUND(+C20/E20/12,2)</f>
        <v>0.2</v>
      </c>
    </row>
    <row r="21" spans="1:41" ht="14.25" x14ac:dyDescent="0.2">
      <c r="A21" s="747"/>
      <c r="B21" s="747"/>
      <c r="C21" s="747"/>
      <c r="D21" s="747"/>
      <c r="E21" s="747"/>
      <c r="F21" s="747"/>
      <c r="G21" s="747"/>
      <c r="H21" s="747"/>
      <c r="I21" s="747"/>
      <c r="J21" s="747"/>
      <c r="K21" s="747"/>
    </row>
    <row r="22" spans="1:41" ht="15" thickBot="1" x14ac:dyDescent="0.25">
      <c r="A22" s="747" t="s">
        <v>553</v>
      </c>
      <c r="B22" s="747"/>
      <c r="C22" s="760">
        <f ca="1">SUM(C14:C20)</f>
        <v>23950263.48239952</v>
      </c>
      <c r="D22" s="747"/>
      <c r="E22" s="747"/>
      <c r="F22" s="747"/>
      <c r="G22" s="747"/>
      <c r="H22" s="747"/>
      <c r="I22" s="747"/>
      <c r="J22" s="747"/>
      <c r="K22" s="761">
        <f ca="1">SUM(K14:K20)</f>
        <v>14.85</v>
      </c>
    </row>
    <row r="23" spans="1:41" ht="15" thickTop="1" x14ac:dyDescent="0.2">
      <c r="A23" s="747"/>
      <c r="B23" s="747"/>
      <c r="C23" s="747"/>
      <c r="D23" s="747"/>
      <c r="E23" s="747"/>
      <c r="F23" s="747"/>
      <c r="G23" s="747"/>
      <c r="H23" s="747"/>
      <c r="I23" s="747"/>
      <c r="J23" s="747"/>
      <c r="K23" s="747"/>
    </row>
    <row r="24" spans="1:41" ht="14.25" x14ac:dyDescent="0.2">
      <c r="A24" s="747"/>
      <c r="B24" s="747"/>
      <c r="C24" s="747"/>
      <c r="D24" s="747"/>
      <c r="E24" s="747"/>
      <c r="F24" s="747"/>
      <c r="G24" s="747"/>
      <c r="H24" s="747"/>
      <c r="I24" s="747"/>
      <c r="J24" s="747"/>
      <c r="K24" s="747"/>
    </row>
    <row r="25" spans="1:41" ht="14.25" x14ac:dyDescent="0.2">
      <c r="A25" s="747"/>
      <c r="B25" s="747"/>
      <c r="C25" s="747"/>
      <c r="D25" s="747"/>
      <c r="E25" s="747"/>
      <c r="F25" s="747"/>
      <c r="G25" s="747"/>
      <c r="H25" s="747"/>
      <c r="I25" s="747"/>
      <c r="J25" s="747"/>
      <c r="K25" s="747"/>
    </row>
    <row r="26" spans="1:41" ht="15" x14ac:dyDescent="0.2">
      <c r="A26" s="744"/>
      <c r="B26" s="747"/>
      <c r="C26" s="744"/>
      <c r="D26" s="744"/>
      <c r="E26" s="762"/>
      <c r="F26" s="744"/>
      <c r="G26" s="744"/>
      <c r="H26" s="744"/>
      <c r="I26" s="763"/>
      <c r="J26" s="744"/>
      <c r="K26" s="744"/>
      <c r="Q26" s="142"/>
      <c r="R26" s="142"/>
      <c r="S26" s="142"/>
      <c r="T26" s="142"/>
      <c r="U26" s="142"/>
      <c r="V26" s="142"/>
      <c r="W26" s="142"/>
      <c r="X26" s="141"/>
      <c r="Y26" s="141"/>
      <c r="AC26" s="324" t="s">
        <v>337</v>
      </c>
      <c r="AE26" s="64"/>
      <c r="AF26" s="64"/>
      <c r="AG26" s="324" t="s">
        <v>554</v>
      </c>
      <c r="AH26" s="140"/>
      <c r="AK26" s="324" t="s">
        <v>533</v>
      </c>
      <c r="AL26" s="324" t="s">
        <v>532</v>
      </c>
    </row>
    <row r="27" spans="1:41" ht="15" x14ac:dyDescent="0.2">
      <c r="A27" s="747"/>
      <c r="B27" s="747"/>
      <c r="C27" s="748" t="s">
        <v>555</v>
      </c>
      <c r="D27" s="744"/>
      <c r="F27" s="744"/>
      <c r="G27" s="621" t="s">
        <v>532</v>
      </c>
      <c r="H27" s="744"/>
      <c r="J27" s="621"/>
      <c r="K27" s="621" t="s">
        <v>533</v>
      </c>
      <c r="Q27" s="870" t="s">
        <v>395</v>
      </c>
      <c r="R27" s="870"/>
      <c r="S27" s="870"/>
      <c r="T27" s="64"/>
      <c r="U27" s="870" t="s">
        <v>342</v>
      </c>
      <c r="V27" s="870"/>
      <c r="W27" s="870"/>
      <c r="X27" s="64"/>
      <c r="Y27" s="140" t="s">
        <v>556</v>
      </c>
      <c r="Z27" s="324"/>
      <c r="AA27" s="324" t="s">
        <v>394</v>
      </c>
      <c r="AB27" s="324"/>
      <c r="AC27" s="324" t="s">
        <v>252</v>
      </c>
      <c r="AD27" s="324"/>
      <c r="AE27" s="324" t="s">
        <v>544</v>
      </c>
      <c r="AF27" s="64"/>
      <c r="AG27" s="324" t="s">
        <v>557</v>
      </c>
      <c r="AH27" s="140"/>
      <c r="AI27" s="140" t="s">
        <v>555</v>
      </c>
      <c r="AJ27" s="140"/>
      <c r="AK27" s="140" t="s">
        <v>534</v>
      </c>
      <c r="AL27" s="140" t="s">
        <v>534</v>
      </c>
    </row>
    <row r="28" spans="1:41" ht="15" x14ac:dyDescent="0.2">
      <c r="A28" s="749" t="s">
        <v>558</v>
      </c>
      <c r="B28" s="747"/>
      <c r="C28" s="749" t="s">
        <v>244</v>
      </c>
      <c r="D28" s="744"/>
      <c r="F28" s="744"/>
      <c r="G28" s="749" t="s">
        <v>534</v>
      </c>
      <c r="H28" s="744"/>
      <c r="J28" s="621"/>
      <c r="K28" s="749" t="s">
        <v>534</v>
      </c>
      <c r="Q28" s="144" t="s">
        <v>244</v>
      </c>
      <c r="R28" s="140"/>
      <c r="S28" s="144" t="s">
        <v>559</v>
      </c>
      <c r="T28" s="64"/>
      <c r="U28" s="144" t="s">
        <v>244</v>
      </c>
      <c r="V28" s="140"/>
      <c r="W28" s="144" t="s">
        <v>560</v>
      </c>
      <c r="X28" s="64"/>
      <c r="Y28" s="144" t="s">
        <v>443</v>
      </c>
      <c r="Z28" s="324"/>
      <c r="AA28" s="144" t="s">
        <v>561</v>
      </c>
      <c r="AB28" s="324"/>
      <c r="AC28" s="144" t="s">
        <v>562</v>
      </c>
      <c r="AD28" s="324"/>
      <c r="AE28" s="367" t="s">
        <v>563</v>
      </c>
      <c r="AF28" s="64"/>
      <c r="AG28" s="144" t="s">
        <v>564</v>
      </c>
      <c r="AH28" s="142"/>
      <c r="AI28" s="144" t="s">
        <v>244</v>
      </c>
      <c r="AJ28" s="140"/>
      <c r="AK28" s="144" t="s">
        <v>548</v>
      </c>
      <c r="AL28" s="144" t="s">
        <v>548</v>
      </c>
    </row>
    <row r="29" spans="1:41" ht="15" x14ac:dyDescent="0.2">
      <c r="A29" s="764">
        <v>-1</v>
      </c>
      <c r="B29" s="765"/>
      <c r="C29" s="747"/>
      <c r="D29" s="744"/>
      <c r="F29" s="744"/>
      <c r="G29" s="763"/>
      <c r="H29" s="744"/>
      <c r="J29" s="744"/>
      <c r="K29" s="744"/>
      <c r="L29" s="16"/>
      <c r="M29" s="16"/>
      <c r="Q29" s="343">
        <v>-2</v>
      </c>
      <c r="R29" s="344"/>
      <c r="S29" s="345">
        <v>-3</v>
      </c>
      <c r="T29" s="344"/>
      <c r="U29" s="345">
        <v>-4</v>
      </c>
      <c r="V29" s="346"/>
      <c r="W29" s="346">
        <v>-5</v>
      </c>
      <c r="X29" s="346"/>
      <c r="Y29" s="346">
        <v>-6</v>
      </c>
      <c r="Z29" s="346"/>
      <c r="AA29" s="346">
        <v>-7</v>
      </c>
      <c r="AB29" s="346"/>
      <c r="AC29" s="346">
        <v>-8</v>
      </c>
      <c r="AD29" s="346"/>
      <c r="AE29" s="251">
        <v>-9</v>
      </c>
      <c r="AF29" s="346"/>
      <c r="AG29" s="347" t="s">
        <v>565</v>
      </c>
      <c r="AH29" s="142"/>
      <c r="AI29" s="142"/>
      <c r="AJ29" s="142"/>
      <c r="AK29" s="142"/>
      <c r="AL29" s="142"/>
    </row>
    <row r="30" spans="1:41" ht="15" x14ac:dyDescent="0.2">
      <c r="A30" s="747"/>
      <c r="B30" s="747"/>
      <c r="C30" s="747"/>
      <c r="D30" s="744"/>
      <c r="F30" s="744"/>
      <c r="G30" s="744"/>
      <c r="H30" s="744"/>
      <c r="J30" s="744"/>
      <c r="K30" s="744"/>
      <c r="L30" s="16"/>
      <c r="M30" s="16"/>
      <c r="Q30" s="486"/>
      <c r="R30" s="142"/>
      <c r="S30" s="64"/>
      <c r="T30" s="64"/>
      <c r="U30" s="64"/>
      <c r="V30" s="64"/>
      <c r="W30" s="64"/>
      <c r="X30" s="64"/>
      <c r="Y30" s="141"/>
      <c r="Z30" s="64"/>
      <c r="AA30" s="141"/>
      <c r="AB30" s="64"/>
      <c r="AC30" s="64"/>
      <c r="AD30" s="64"/>
      <c r="AE30" s="480"/>
      <c r="AH30" s="141"/>
      <c r="AI30" s="142"/>
      <c r="AJ30" s="142"/>
      <c r="AK30" s="142"/>
      <c r="AL30" s="142"/>
    </row>
    <row r="31" spans="1:41" ht="15" x14ac:dyDescent="0.2">
      <c r="A31" s="766" t="s">
        <v>566</v>
      </c>
      <c r="B31" s="747"/>
      <c r="C31" s="767">
        <v>1</v>
      </c>
      <c r="D31" s="744"/>
      <c r="F31" s="744"/>
      <c r="G31" s="768">
        <v>12.49</v>
      </c>
      <c r="H31" s="744"/>
      <c r="J31" s="769"/>
      <c r="K31" s="773">
        <v>14.85</v>
      </c>
      <c r="L31" s="16"/>
      <c r="M31" s="349">
        <f>+K31/G31-1</f>
        <v>0.18895116092874287</v>
      </c>
      <c r="Q31" s="487">
        <f>+'Meters &amp; Services'!D11</f>
        <v>1</v>
      </c>
      <c r="R31" s="342"/>
      <c r="S31" s="350">
        <f ca="1">+K14</f>
        <v>5.78</v>
      </c>
      <c r="T31" s="350"/>
      <c r="U31" s="488">
        <f>+'Meters &amp; Services'!D33</f>
        <v>1</v>
      </c>
      <c r="V31" s="350"/>
      <c r="W31" s="350">
        <f ca="1">+K16</f>
        <v>2.71</v>
      </c>
      <c r="X31" s="350"/>
      <c r="Y31" s="342">
        <f ca="1">+$K$18</f>
        <v>6.16</v>
      </c>
      <c r="Z31" s="350"/>
      <c r="AA31" s="350" t="e">
        <f>+#REF!</f>
        <v>#REF!</v>
      </c>
      <c r="AB31" s="350"/>
      <c r="AC31" s="350" t="e">
        <f ca="1">+AA31+Y31+W31+S31</f>
        <v>#REF!</v>
      </c>
      <c r="AD31" s="351"/>
      <c r="AE31" s="491">
        <f>+'Meters &amp; Services'!AD11*12</f>
        <v>1454904</v>
      </c>
      <c r="AG31" s="352" t="e">
        <f ca="1">+AE31*AC31</f>
        <v>#REF!</v>
      </c>
      <c r="AH31" s="141"/>
      <c r="AI31" s="348">
        <v>1</v>
      </c>
      <c r="AJ31" s="141"/>
      <c r="AK31" s="342">
        <f ca="1">ROUND(K22,1)</f>
        <v>14.9</v>
      </c>
      <c r="AL31" s="342">
        <f>+G31</f>
        <v>12.49</v>
      </c>
      <c r="AN31" s="353"/>
      <c r="AO31" s="354"/>
    </row>
    <row r="32" spans="1:41" ht="15" x14ac:dyDescent="0.2">
      <c r="A32" s="766"/>
      <c r="B32" s="747"/>
      <c r="C32" s="747"/>
      <c r="D32" s="744"/>
      <c r="F32" s="744"/>
      <c r="G32" s="744"/>
      <c r="H32" s="744"/>
      <c r="J32" s="770"/>
      <c r="K32" s="770"/>
      <c r="L32" s="16"/>
      <c r="M32" s="349"/>
      <c r="Q32" s="486"/>
      <c r="R32" s="355"/>
      <c r="S32" s="351"/>
      <c r="T32" s="351"/>
      <c r="U32" s="489"/>
      <c r="V32" s="351"/>
      <c r="W32" s="351"/>
      <c r="X32" s="351"/>
      <c r="Y32" s="355"/>
      <c r="Z32" s="351"/>
      <c r="AA32" s="351"/>
      <c r="AB32" s="351"/>
      <c r="AC32" s="351"/>
      <c r="AD32" s="351"/>
      <c r="AE32" s="480"/>
      <c r="AG32" s="356"/>
      <c r="AH32" s="141"/>
      <c r="AI32" s="141"/>
      <c r="AJ32" s="141"/>
      <c r="AK32" s="141"/>
      <c r="AL32" s="141"/>
      <c r="AN32" s="353"/>
      <c r="AO32" s="354"/>
    </row>
    <row r="33" spans="1:41" ht="15" x14ac:dyDescent="0.2">
      <c r="A33" s="766" t="s">
        <v>567</v>
      </c>
      <c r="B33" s="747"/>
      <c r="C33" s="771">
        <v>1.5</v>
      </c>
      <c r="D33" s="744"/>
      <c r="F33" s="744"/>
      <c r="G33" s="774">
        <v>18.739999999999998</v>
      </c>
      <c r="H33" s="744"/>
      <c r="J33" s="770"/>
      <c r="K33" s="770">
        <f>ROUND(K$31*C33,1)</f>
        <v>22.3</v>
      </c>
      <c r="L33" s="16"/>
      <c r="M33" s="349">
        <f>+K33/G33-1</f>
        <v>0.18996798292422645</v>
      </c>
      <c r="O33" s="493"/>
      <c r="Q33" s="487">
        <f>+'Meters &amp; Services'!D12</f>
        <v>1.4</v>
      </c>
      <c r="R33" s="355"/>
      <c r="S33" s="351">
        <f ca="1">ROUND(S$31*Q33,2)</f>
        <v>8.09</v>
      </c>
      <c r="T33" s="351"/>
      <c r="U33" s="489">
        <f>+'Meters &amp; Services'!D33</f>
        <v>1</v>
      </c>
      <c r="V33" s="351"/>
      <c r="W33" s="351">
        <f ca="1">ROUND(W$31*$U33,2)</f>
        <v>2.71</v>
      </c>
      <c r="X33" s="351"/>
      <c r="Y33" s="355">
        <f ca="1">+$K$18</f>
        <v>6.16</v>
      </c>
      <c r="Z33" s="351"/>
      <c r="AA33" s="351" t="e">
        <f>+#REF!</f>
        <v>#REF!</v>
      </c>
      <c r="AB33" s="351"/>
      <c r="AC33" s="351" t="e">
        <f ca="1">+AA33+Y33+W33+S33</f>
        <v>#REF!</v>
      </c>
      <c r="AD33" s="351"/>
      <c r="AE33" s="491">
        <f>+'Meters &amp; Services'!AD12*12</f>
        <v>24</v>
      </c>
      <c r="AG33" s="356">
        <v>0</v>
      </c>
      <c r="AH33" s="141"/>
      <c r="AI33" s="357">
        <v>1.5</v>
      </c>
      <c r="AJ33" s="141"/>
      <c r="AK33" s="341">
        <f ca="1">ROUND(AK$31*AI33,2)</f>
        <v>22.35</v>
      </c>
      <c r="AL33" s="358">
        <f>+G35</f>
        <v>31.23</v>
      </c>
      <c r="AO33" s="354"/>
    </row>
    <row r="34" spans="1:41" ht="15" x14ac:dyDescent="0.2">
      <c r="A34" s="766"/>
      <c r="B34" s="747"/>
      <c r="C34" s="771"/>
      <c r="D34" s="744"/>
      <c r="F34" s="744"/>
      <c r="G34" s="770"/>
      <c r="H34" s="744"/>
      <c r="J34" s="770"/>
      <c r="K34" s="770"/>
      <c r="L34" s="16"/>
      <c r="M34" s="349"/>
      <c r="O34" s="480"/>
      <c r="Q34" s="486"/>
      <c r="R34" s="355"/>
      <c r="S34" s="351"/>
      <c r="T34" s="351"/>
      <c r="U34" s="489"/>
      <c r="V34" s="351"/>
      <c r="W34" s="351"/>
      <c r="X34" s="351"/>
      <c r="Y34" s="355"/>
      <c r="Z34" s="351"/>
      <c r="AA34" s="351"/>
      <c r="AB34" s="351"/>
      <c r="AC34" s="351"/>
      <c r="AD34" s="351"/>
      <c r="AE34" s="480"/>
      <c r="AG34" s="356"/>
      <c r="AH34" s="141"/>
      <c r="AI34" s="357"/>
      <c r="AJ34" s="141"/>
      <c r="AK34" s="341"/>
      <c r="AL34" s="141"/>
      <c r="AO34" s="354"/>
    </row>
    <row r="35" spans="1:41" ht="15" x14ac:dyDescent="0.2">
      <c r="A35" s="766" t="s">
        <v>568</v>
      </c>
      <c r="B35" s="747"/>
      <c r="C35" s="771">
        <v>2.5</v>
      </c>
      <c r="D35" s="744"/>
      <c r="F35" s="744"/>
      <c r="G35" s="774">
        <v>31.23</v>
      </c>
      <c r="H35" s="744"/>
      <c r="J35" s="770"/>
      <c r="K35" s="770">
        <f>ROUND(K$31*C35,1)</f>
        <v>37.1</v>
      </c>
      <c r="L35" s="16"/>
      <c r="M35" s="349">
        <f>+K35/G35-1</f>
        <v>0.1879602945885368</v>
      </c>
      <c r="O35" s="493"/>
      <c r="Q35" s="487">
        <f>+'Meters &amp; Services'!D13</f>
        <v>1.8</v>
      </c>
      <c r="R35" s="355"/>
      <c r="S35" s="351">
        <f ca="1">ROUND(S$31*Q35,2)</f>
        <v>10.4</v>
      </c>
      <c r="T35" s="351"/>
      <c r="U35" s="489">
        <f>+'Meters &amp; Services'!D35</f>
        <v>2</v>
      </c>
      <c r="V35" s="351"/>
      <c r="W35" s="351">
        <f ca="1">ROUND(W$31*$U35,2)</f>
        <v>5.42</v>
      </c>
      <c r="X35" s="351"/>
      <c r="Y35" s="355">
        <f ca="1">+$K$18</f>
        <v>6.16</v>
      </c>
      <c r="Z35" s="351"/>
      <c r="AA35" s="351" t="e">
        <f>+#REF!+0.4</f>
        <v>#REF!</v>
      </c>
      <c r="AB35" s="351"/>
      <c r="AC35" s="351" t="e">
        <f ca="1">+AA35+Y35+W35+S35</f>
        <v>#REF!</v>
      </c>
      <c r="AD35" s="351"/>
      <c r="AE35" s="491">
        <f>+'Meters &amp; Services'!AD13*12</f>
        <v>52716</v>
      </c>
      <c r="AG35" s="356" t="e">
        <f ca="1">+AE35*AC35</f>
        <v>#REF!</v>
      </c>
      <c r="AH35" s="141"/>
      <c r="AI35" s="357">
        <v>2.5</v>
      </c>
      <c r="AJ35" s="141"/>
      <c r="AK35" s="341">
        <f ca="1">ROUND(AK$31*AI35,2)</f>
        <v>37.25</v>
      </c>
      <c r="AL35" s="358">
        <f>+G39</f>
        <v>99.92</v>
      </c>
      <c r="AN35" s="353"/>
      <c r="AO35" s="354"/>
    </row>
    <row r="36" spans="1:41" ht="15" x14ac:dyDescent="0.2">
      <c r="A36" s="766"/>
      <c r="B36" s="747"/>
      <c r="C36" s="771"/>
      <c r="D36" s="744"/>
      <c r="F36" s="744"/>
      <c r="G36" s="770"/>
      <c r="H36" s="744"/>
      <c r="J36" s="770"/>
      <c r="K36" s="770"/>
      <c r="L36" s="16"/>
      <c r="M36" s="349"/>
      <c r="O36" s="480"/>
      <c r="Q36" s="486"/>
      <c r="R36" s="355"/>
      <c r="S36" s="351"/>
      <c r="T36" s="351"/>
      <c r="U36" s="489"/>
      <c r="V36" s="351"/>
      <c r="W36" s="351"/>
      <c r="X36" s="351"/>
      <c r="Y36" s="355"/>
      <c r="Z36" s="351"/>
      <c r="AA36" s="351"/>
      <c r="AB36" s="351"/>
      <c r="AC36" s="351"/>
      <c r="AD36" s="351"/>
      <c r="AE36" s="480"/>
      <c r="AG36" s="356"/>
      <c r="AH36" s="141"/>
      <c r="AI36" s="357"/>
      <c r="AJ36" s="141"/>
      <c r="AK36" s="341"/>
      <c r="AL36" s="141"/>
      <c r="AN36" s="359"/>
      <c r="AO36" s="354"/>
    </row>
    <row r="37" spans="1:41" ht="15" x14ac:dyDescent="0.2">
      <c r="A37" s="766" t="s">
        <v>569</v>
      </c>
      <c r="B37" s="747"/>
      <c r="C37" s="771">
        <v>5</v>
      </c>
      <c r="D37" s="744"/>
      <c r="F37" s="744"/>
      <c r="G37" s="774">
        <v>62.45</v>
      </c>
      <c r="H37" s="744"/>
      <c r="J37" s="770"/>
      <c r="K37" s="770">
        <f>ROUND(K$31*C37,1)</f>
        <v>74.3</v>
      </c>
      <c r="L37" s="16"/>
      <c r="M37" s="349">
        <f>+K37/G37-1</f>
        <v>0.18975180144115278</v>
      </c>
      <c r="O37" s="493"/>
      <c r="Q37" s="487">
        <f>+'Meters &amp; Services'!D14</f>
        <v>3</v>
      </c>
      <c r="R37" s="355"/>
      <c r="S37" s="351">
        <f ca="1">ROUND(S$31*Q37,2)</f>
        <v>17.34</v>
      </c>
      <c r="T37" s="351"/>
      <c r="U37" s="489">
        <f>+'Meters &amp; Services'!D37</f>
        <v>2.2000000000000002</v>
      </c>
      <c r="V37" s="351"/>
      <c r="W37" s="351">
        <f ca="1">ROUND(W$31*$U37,2)</f>
        <v>5.96</v>
      </c>
      <c r="X37" s="351"/>
      <c r="Y37" s="355">
        <f ca="1">+$K$18</f>
        <v>6.16</v>
      </c>
      <c r="Z37" s="351"/>
      <c r="AA37" s="351" t="e">
        <f>+#REF!+0.5</f>
        <v>#REF!</v>
      </c>
      <c r="AB37" s="351"/>
      <c r="AC37" s="351" t="e">
        <f ca="1">+AA37+Y37+W37+S37</f>
        <v>#REF!</v>
      </c>
      <c r="AD37" s="351"/>
      <c r="AE37" s="491">
        <f>+'Meters &amp; Services'!AD14*12</f>
        <v>2628</v>
      </c>
      <c r="AG37" s="356" t="e">
        <f ca="1">+AE37*AC37</f>
        <v>#REF!</v>
      </c>
      <c r="AH37" s="141"/>
      <c r="AI37" s="357">
        <v>5</v>
      </c>
      <c r="AJ37" s="141"/>
      <c r="AK37" s="341">
        <f ca="1">ROUND(AK$31*AI37,2)</f>
        <v>74.5</v>
      </c>
      <c r="AL37" s="358">
        <f>+G43</f>
        <v>312.25</v>
      </c>
      <c r="AN37" s="353"/>
      <c r="AO37" s="354"/>
    </row>
    <row r="38" spans="1:41" ht="15" x14ac:dyDescent="0.2">
      <c r="A38" s="766"/>
      <c r="B38" s="747"/>
      <c r="C38" s="771"/>
      <c r="D38" s="744"/>
      <c r="F38" s="744"/>
      <c r="G38" s="770"/>
      <c r="H38" s="744"/>
      <c r="J38" s="770"/>
      <c r="K38" s="770"/>
      <c r="L38" s="16"/>
      <c r="M38" s="349"/>
      <c r="O38" s="480"/>
      <c r="Q38" s="486"/>
      <c r="R38" s="355"/>
      <c r="S38" s="351"/>
      <c r="T38" s="351"/>
      <c r="U38" s="489"/>
      <c r="V38" s="351"/>
      <c r="W38" s="351"/>
      <c r="X38" s="351"/>
      <c r="Y38" s="355"/>
      <c r="Z38" s="351"/>
      <c r="AA38" s="351"/>
      <c r="AB38" s="351"/>
      <c r="AC38" s="351"/>
      <c r="AD38" s="351"/>
      <c r="AE38" s="480"/>
      <c r="AG38" s="356"/>
      <c r="AH38" s="141"/>
      <c r="AI38" s="357"/>
      <c r="AJ38" s="141"/>
      <c r="AK38" s="341"/>
      <c r="AL38" s="141"/>
      <c r="AN38" s="359"/>
      <c r="AO38" s="354"/>
    </row>
    <row r="39" spans="1:41" ht="15" x14ac:dyDescent="0.2">
      <c r="A39" s="766" t="s">
        <v>570</v>
      </c>
      <c r="B39" s="747"/>
      <c r="C39" s="771">
        <v>8</v>
      </c>
      <c r="D39" s="744"/>
      <c r="F39" s="744"/>
      <c r="G39" s="774">
        <v>99.92</v>
      </c>
      <c r="H39" s="744"/>
      <c r="J39" s="770"/>
      <c r="K39" s="770">
        <f>ROUND(K$31*C39,1)</f>
        <v>118.8</v>
      </c>
      <c r="L39" s="16"/>
      <c r="M39" s="349">
        <f>+K39/G39-1</f>
        <v>0.18895116092874287</v>
      </c>
      <c r="O39" s="493"/>
      <c r="Q39" s="487">
        <f>+'Meters &amp; Services'!D15</f>
        <v>4</v>
      </c>
      <c r="R39" s="355"/>
      <c r="S39" s="351">
        <f ca="1">ROUND(S$31*Q39,2)</f>
        <v>23.12</v>
      </c>
      <c r="T39" s="351"/>
      <c r="U39" s="489">
        <f>+'Meters &amp; Services'!D39</f>
        <v>3.2</v>
      </c>
      <c r="V39" s="351"/>
      <c r="W39" s="351">
        <f ca="1">ROUND(W$31*$U39,2)</f>
        <v>8.67</v>
      </c>
      <c r="X39" s="351"/>
      <c r="Y39" s="355">
        <f ca="1">+$K$18</f>
        <v>6.16</v>
      </c>
      <c r="Z39" s="351"/>
      <c r="AA39" s="351" t="e">
        <f>+#REF!+0.6</f>
        <v>#REF!</v>
      </c>
      <c r="AB39" s="351"/>
      <c r="AC39" s="351" t="e">
        <f ca="1">+AA39+Y39+W39+S39</f>
        <v>#REF!</v>
      </c>
      <c r="AD39" s="351"/>
      <c r="AE39" s="491">
        <f>+'Meters &amp; Services'!AD15*12</f>
        <v>28596</v>
      </c>
      <c r="AG39" s="356" t="e">
        <f ca="1">+AE39*AC39</f>
        <v>#REF!</v>
      </c>
      <c r="AH39" s="141"/>
      <c r="AI39" s="357">
        <v>8</v>
      </c>
      <c r="AJ39" s="141"/>
      <c r="AK39" s="341">
        <f ca="1">ROUND(AK$31*AI39,2)</f>
        <v>119.2</v>
      </c>
      <c r="AL39" s="358">
        <f>+G47</f>
        <v>999.2</v>
      </c>
      <c r="AN39" s="353"/>
      <c r="AO39" s="354"/>
    </row>
    <row r="40" spans="1:41" ht="15" x14ac:dyDescent="0.2">
      <c r="A40" s="766"/>
      <c r="B40" s="747"/>
      <c r="C40" s="771"/>
      <c r="D40" s="744"/>
      <c r="F40" s="744"/>
      <c r="G40" s="770"/>
      <c r="H40" s="744"/>
      <c r="J40" s="770"/>
      <c r="K40" s="770"/>
      <c r="L40" s="16"/>
      <c r="M40" s="349"/>
      <c r="O40" s="480"/>
      <c r="Q40" s="486"/>
      <c r="R40" s="355"/>
      <c r="S40" s="351"/>
      <c r="T40" s="351"/>
      <c r="U40" s="489"/>
      <c r="V40" s="351"/>
      <c r="W40" s="351"/>
      <c r="X40" s="351"/>
      <c r="Y40" s="355"/>
      <c r="Z40" s="351"/>
      <c r="AA40" s="351"/>
      <c r="AB40" s="351"/>
      <c r="AC40" s="351"/>
      <c r="AD40" s="351"/>
      <c r="AE40" s="480"/>
      <c r="AG40" s="356"/>
      <c r="AH40" s="141"/>
      <c r="AI40" s="357"/>
      <c r="AJ40" s="141"/>
      <c r="AK40" s="341"/>
      <c r="AL40" s="141"/>
      <c r="AN40" s="359"/>
      <c r="AO40" s="354"/>
    </row>
    <row r="41" spans="1:41" ht="15" x14ac:dyDescent="0.2">
      <c r="A41" s="766" t="s">
        <v>571</v>
      </c>
      <c r="B41" s="747"/>
      <c r="C41" s="771">
        <v>15</v>
      </c>
      <c r="D41" s="744"/>
      <c r="F41" s="744"/>
      <c r="G41" s="774">
        <v>187.35</v>
      </c>
      <c r="H41" s="744"/>
      <c r="J41" s="770"/>
      <c r="K41" s="770">
        <f>ROUND(K$31*C41,1)</f>
        <v>222.8</v>
      </c>
      <c r="L41" s="16"/>
      <c r="M41" s="349">
        <f>+K41/G41-1</f>
        <v>0.18921804109954632</v>
      </c>
      <c r="O41" s="493"/>
      <c r="Q41" s="487">
        <f>+'Meters &amp; Services'!D16</f>
        <v>12</v>
      </c>
      <c r="R41" s="355"/>
      <c r="S41" s="351">
        <f ca="1">ROUND(S$31*Q41,2)</f>
        <v>69.36</v>
      </c>
      <c r="T41" s="351"/>
      <c r="U41" s="489">
        <f>+U39</f>
        <v>3.2</v>
      </c>
      <c r="V41" s="351"/>
      <c r="W41" s="351">
        <f ca="1">ROUND(W$31*$U41,2)</f>
        <v>8.67</v>
      </c>
      <c r="X41" s="351"/>
      <c r="Y41" s="355">
        <f ca="1">+$K$18</f>
        <v>6.16</v>
      </c>
      <c r="Z41" s="351"/>
      <c r="AA41" s="351" t="e">
        <f>+#REF!+0.7</f>
        <v>#REF!</v>
      </c>
      <c r="AB41" s="351"/>
      <c r="AC41" s="351" t="e">
        <f ca="1">+AA41+Y41+W41+S41</f>
        <v>#REF!</v>
      </c>
      <c r="AD41" s="351"/>
      <c r="AE41" s="491">
        <f>+'Meters &amp; Services'!AD16*12</f>
        <v>36</v>
      </c>
      <c r="AG41" s="356" t="e">
        <f ca="1">+AE41*AC41</f>
        <v>#REF!</v>
      </c>
      <c r="AH41" s="141"/>
      <c r="AI41" s="357">
        <v>15</v>
      </c>
      <c r="AJ41" s="141"/>
      <c r="AK41" s="341">
        <f ca="1">ROUND(AK$31*AI41,2)</f>
        <v>223.5</v>
      </c>
      <c r="AL41" s="358" t="e">
        <f>+#REF!</f>
        <v>#REF!</v>
      </c>
      <c r="AN41" s="353"/>
      <c r="AO41" s="354"/>
    </row>
    <row r="42" spans="1:41" ht="15" x14ac:dyDescent="0.2">
      <c r="A42" s="766"/>
      <c r="B42" s="747"/>
      <c r="C42" s="771"/>
      <c r="D42" s="744"/>
      <c r="F42" s="744"/>
      <c r="G42" s="770"/>
      <c r="H42" s="744"/>
      <c r="J42" s="770"/>
      <c r="K42" s="770"/>
      <c r="L42" s="16"/>
      <c r="M42" s="349"/>
      <c r="O42" s="480"/>
      <c r="Q42" s="486"/>
      <c r="R42" s="355"/>
      <c r="S42" s="351"/>
      <c r="T42" s="351"/>
      <c r="U42" s="489"/>
      <c r="V42" s="351"/>
      <c r="W42" s="351"/>
      <c r="X42" s="351"/>
      <c r="Y42" s="355"/>
      <c r="Z42" s="351"/>
      <c r="AA42" s="351"/>
      <c r="AB42" s="351"/>
      <c r="AC42" s="351"/>
      <c r="AD42" s="351"/>
      <c r="AE42" s="480"/>
      <c r="AG42" s="356"/>
      <c r="AH42" s="141"/>
      <c r="AI42" s="357"/>
      <c r="AJ42" s="141"/>
      <c r="AK42" s="341"/>
      <c r="AL42" s="141"/>
      <c r="AN42" s="359"/>
      <c r="AO42" s="354"/>
    </row>
    <row r="43" spans="1:41" ht="15" x14ac:dyDescent="0.2">
      <c r="A43" s="766" t="s">
        <v>572</v>
      </c>
      <c r="B43" s="747"/>
      <c r="C43" s="771">
        <v>25</v>
      </c>
      <c r="D43" s="744"/>
      <c r="F43" s="744"/>
      <c r="G43" s="774">
        <v>312.25</v>
      </c>
      <c r="H43" s="744"/>
      <c r="J43" s="770"/>
      <c r="K43" s="770">
        <f>ROUND(K$31*C43,1)</f>
        <v>371.3</v>
      </c>
      <c r="L43" s="16"/>
      <c r="M43" s="349">
        <f>+K43/G43-1</f>
        <v>0.18911128903122498</v>
      </c>
      <c r="O43" s="493"/>
      <c r="Q43" s="487">
        <f>+'Meters &amp; Services'!D17</f>
        <v>20</v>
      </c>
      <c r="R43" s="355"/>
      <c r="S43" s="351">
        <f ca="1">ROUND(S$31*Q43,2)</f>
        <v>115.6</v>
      </c>
      <c r="T43" s="351"/>
      <c r="U43" s="489">
        <f>+'Meters &amp; Services'!D41</f>
        <v>3.5</v>
      </c>
      <c r="V43" s="351"/>
      <c r="W43" s="351">
        <f ca="1">ROUND(W$31*$U43,2)</f>
        <v>9.49</v>
      </c>
      <c r="X43" s="351"/>
      <c r="Y43" s="355">
        <f ca="1">+$K$18</f>
        <v>6.16</v>
      </c>
      <c r="Z43" s="351"/>
      <c r="AA43" s="351" t="e">
        <f>+#REF!+0.8</f>
        <v>#REF!</v>
      </c>
      <c r="AB43" s="351"/>
      <c r="AC43" s="351" t="e">
        <f ca="1">+AA43+Y43+W43+S43</f>
        <v>#REF!</v>
      </c>
      <c r="AD43" s="351"/>
      <c r="AE43" s="491">
        <f>+'Meters &amp; Services'!AD17*12</f>
        <v>1080</v>
      </c>
      <c r="AG43" s="356" t="e">
        <f ca="1">+AE43*AC43</f>
        <v>#REF!</v>
      </c>
      <c r="AH43" s="141"/>
      <c r="AI43" s="357">
        <v>25</v>
      </c>
      <c r="AJ43" s="141"/>
      <c r="AK43" s="341">
        <f ca="1">ROUND(AK$31*AI43,2)</f>
        <v>372.5</v>
      </c>
      <c r="AL43" s="358" t="e">
        <f>+#REF!</f>
        <v>#REF!</v>
      </c>
      <c r="AN43" s="353"/>
      <c r="AO43" s="354"/>
    </row>
    <row r="44" spans="1:41" ht="15" x14ac:dyDescent="0.2">
      <c r="A44" s="766"/>
      <c r="B44" s="747"/>
      <c r="C44" s="771"/>
      <c r="D44" s="744"/>
      <c r="F44" s="744"/>
      <c r="G44" s="770"/>
      <c r="H44" s="744"/>
      <c r="J44" s="770"/>
      <c r="K44" s="770"/>
      <c r="L44" s="16"/>
      <c r="M44" s="349"/>
      <c r="O44" s="480"/>
      <c r="Q44" s="486"/>
      <c r="R44" s="355"/>
      <c r="S44" s="351"/>
      <c r="T44" s="351"/>
      <c r="U44" s="489"/>
      <c r="V44" s="351"/>
      <c r="W44" s="351"/>
      <c r="X44" s="351"/>
      <c r="Y44" s="355"/>
      <c r="Z44" s="351"/>
      <c r="AA44" s="351"/>
      <c r="AB44" s="351"/>
      <c r="AC44" s="351"/>
      <c r="AD44" s="351"/>
      <c r="AE44" s="480"/>
      <c r="AG44" s="356"/>
      <c r="AH44" s="141"/>
      <c r="AI44" s="357"/>
      <c r="AJ44" s="141"/>
      <c r="AK44" s="341"/>
      <c r="AL44" s="141"/>
      <c r="AN44" s="359"/>
      <c r="AO44" s="354"/>
    </row>
    <row r="45" spans="1:41" ht="15" x14ac:dyDescent="0.2">
      <c r="A45" s="766" t="s">
        <v>573</v>
      </c>
      <c r="B45" s="747"/>
      <c r="C45" s="771">
        <v>50</v>
      </c>
      <c r="D45" s="744"/>
      <c r="F45" s="744"/>
      <c r="G45" s="774">
        <v>624.5</v>
      </c>
      <c r="H45" s="744"/>
      <c r="J45" s="770"/>
      <c r="K45" s="770">
        <f>ROUND(K$31*C45,1)</f>
        <v>742.5</v>
      </c>
      <c r="L45" s="16"/>
      <c r="M45" s="349">
        <f>+K45/G45-1</f>
        <v>0.18895116092874309</v>
      </c>
      <c r="O45" s="493"/>
      <c r="Q45" s="487">
        <f>+'Meters &amp; Services'!D18</f>
        <v>30</v>
      </c>
      <c r="R45" s="355"/>
      <c r="S45" s="351">
        <f ca="1">ROUND(S$31*Q45,2)</f>
        <v>173.4</v>
      </c>
      <c r="T45" s="351"/>
      <c r="U45" s="489">
        <f>+'Meters &amp; Services'!D43</f>
        <v>4</v>
      </c>
      <c r="V45" s="351"/>
      <c r="W45" s="351">
        <f ca="1">ROUND(W$31*$U45,2)</f>
        <v>10.84</v>
      </c>
      <c r="X45" s="351"/>
      <c r="Y45" s="355">
        <f ca="1">+$K$18</f>
        <v>6.16</v>
      </c>
      <c r="Z45" s="351"/>
      <c r="AA45" s="351" t="e">
        <f>+#REF!+0.9</f>
        <v>#REF!</v>
      </c>
      <c r="AB45" s="351"/>
      <c r="AC45" s="351" t="e">
        <f ca="1">+AA45+Y45+W45+S45</f>
        <v>#REF!</v>
      </c>
      <c r="AD45" s="351"/>
      <c r="AE45" s="491">
        <f>+'Meters &amp; Services'!AD18*12</f>
        <v>504</v>
      </c>
      <c r="AG45" s="356" t="e">
        <f ca="1">+AE45*AC45</f>
        <v>#REF!</v>
      </c>
      <c r="AH45" s="141"/>
      <c r="AI45" s="357">
        <v>50</v>
      </c>
      <c r="AJ45" s="141"/>
      <c r="AK45" s="341">
        <f ca="1">ROUND(AK$31*AI45,2)</f>
        <v>745</v>
      </c>
      <c r="AL45" s="358" t="e">
        <f>+#REF!</f>
        <v>#REF!</v>
      </c>
      <c r="AN45" s="353"/>
      <c r="AO45" s="354"/>
    </row>
    <row r="46" spans="1:41" ht="15" x14ac:dyDescent="0.2">
      <c r="A46" s="766"/>
      <c r="B46" s="747"/>
      <c r="C46" s="771"/>
      <c r="D46" s="744"/>
      <c r="F46" s="744"/>
      <c r="G46" s="770"/>
      <c r="H46" s="744"/>
      <c r="J46" s="770"/>
      <c r="K46" s="770"/>
      <c r="L46" s="16"/>
      <c r="M46" s="349"/>
      <c r="O46" s="480"/>
      <c r="Q46" s="486"/>
      <c r="R46" s="355"/>
      <c r="S46" s="351"/>
      <c r="T46" s="351"/>
      <c r="U46" s="489"/>
      <c r="V46" s="351"/>
      <c r="W46" s="351"/>
      <c r="X46" s="351"/>
      <c r="Y46" s="355"/>
      <c r="Z46" s="351"/>
      <c r="AA46" s="351"/>
      <c r="AB46" s="351"/>
      <c r="AC46" s="351"/>
      <c r="AD46" s="351"/>
      <c r="AE46" s="480"/>
      <c r="AG46" s="356"/>
      <c r="AH46" s="141"/>
      <c r="AI46" s="357"/>
      <c r="AJ46" s="141"/>
      <c r="AK46" s="341"/>
      <c r="AL46" s="141"/>
      <c r="AN46" s="359"/>
      <c r="AO46" s="354"/>
    </row>
    <row r="47" spans="1:41" ht="15" x14ac:dyDescent="0.2">
      <c r="A47" s="766" t="s">
        <v>574</v>
      </c>
      <c r="B47" s="747"/>
      <c r="C47" s="771">
        <v>80</v>
      </c>
      <c r="D47" s="744"/>
      <c r="F47" s="744"/>
      <c r="G47" s="774">
        <v>999.2</v>
      </c>
      <c r="H47" s="744"/>
      <c r="J47" s="770"/>
      <c r="K47" s="770">
        <f>ROUND(K$31*C47,1)</f>
        <v>1188</v>
      </c>
      <c r="L47" s="16"/>
      <c r="M47" s="349">
        <f>+K47/G47-1</f>
        <v>0.18895116092874287</v>
      </c>
      <c r="O47" s="493"/>
      <c r="Q47" s="487">
        <f>+'Meters &amp; Services'!D19</f>
        <v>40</v>
      </c>
      <c r="R47" s="355"/>
      <c r="S47" s="351">
        <f ca="1">ROUND(S$31*Q47,2)</f>
        <v>231.2</v>
      </c>
      <c r="T47" s="351"/>
      <c r="U47" s="489">
        <f>+'Meters &amp; Services'!D45</f>
        <v>5.0999999999999996</v>
      </c>
      <c r="V47" s="351"/>
      <c r="W47" s="351">
        <f ca="1">ROUND(W$31*$U47,2)</f>
        <v>13.82</v>
      </c>
      <c r="X47" s="351"/>
      <c r="Y47" s="355">
        <f ca="1">+$K$18</f>
        <v>6.16</v>
      </c>
      <c r="Z47" s="351"/>
      <c r="AA47" s="351" t="e">
        <f>+#REF!+1</f>
        <v>#REF!</v>
      </c>
      <c r="AB47" s="351"/>
      <c r="AC47" s="351" t="e">
        <f ca="1">+AA47+Y47+W47+S47</f>
        <v>#REF!</v>
      </c>
      <c r="AD47" s="351"/>
      <c r="AE47" s="491">
        <f>+'Meters &amp; Services'!AD19*12</f>
        <v>168</v>
      </c>
      <c r="AG47" s="360" t="e">
        <f ca="1">+AE47*AC47</f>
        <v>#REF!</v>
      </c>
      <c r="AH47" s="141"/>
      <c r="AI47" s="357">
        <v>80</v>
      </c>
      <c r="AJ47" s="141"/>
      <c r="AK47" s="341">
        <f ca="1">ROUND(AK$31*AI47,2)</f>
        <v>1192</v>
      </c>
      <c r="AL47" s="358" t="e">
        <f>+#REF!</f>
        <v>#REF!</v>
      </c>
      <c r="AN47" s="353"/>
      <c r="AO47" s="354"/>
    </row>
    <row r="48" spans="1:41" ht="15" x14ac:dyDescent="0.2">
      <c r="A48" s="744"/>
      <c r="B48" s="744"/>
      <c r="C48" s="744"/>
      <c r="D48" s="744"/>
      <c r="E48" s="744"/>
      <c r="F48" s="744"/>
      <c r="G48" s="744"/>
      <c r="H48" s="744"/>
      <c r="I48" s="770"/>
      <c r="J48" s="770"/>
      <c r="K48" s="770"/>
      <c r="L48" s="16"/>
      <c r="M48" s="16"/>
      <c r="Q48" s="142"/>
      <c r="S48" s="64"/>
      <c r="T48" s="64"/>
      <c r="U48" s="490"/>
      <c r="V48" s="64"/>
      <c r="W48" s="64"/>
      <c r="X48" s="64"/>
      <c r="Y48" s="64"/>
      <c r="Z48" s="64"/>
      <c r="AA48" s="64"/>
      <c r="AB48" s="64"/>
      <c r="AC48" s="64"/>
      <c r="AD48" s="64"/>
      <c r="AE48" s="356"/>
      <c r="AG48" s="248"/>
    </row>
    <row r="49" spans="1:41" ht="15" x14ac:dyDescent="0.2">
      <c r="I49" s="328"/>
      <c r="J49" s="328"/>
      <c r="K49" s="328"/>
      <c r="L49" s="16"/>
      <c r="M49" s="16"/>
      <c r="S49" s="64"/>
      <c r="T49" s="64"/>
      <c r="U49" s="284"/>
      <c r="V49" s="64"/>
      <c r="W49" s="64"/>
      <c r="X49" s="64"/>
      <c r="Y49" s="64"/>
      <c r="Z49" s="64"/>
      <c r="AA49" s="64"/>
      <c r="AB49" s="64"/>
      <c r="AC49" s="361" t="s">
        <v>528</v>
      </c>
      <c r="AD49" s="64"/>
      <c r="AG49" s="356" t="e">
        <f ca="1">SUM(AG31:AG47)</f>
        <v>#REF!</v>
      </c>
      <c r="AH49" s="356"/>
      <c r="AI49" s="356"/>
      <c r="AJ49" s="356"/>
      <c r="AN49" s="354"/>
      <c r="AO49" s="354"/>
    </row>
    <row r="50" spans="1:41" ht="15" x14ac:dyDescent="0.2">
      <c r="I50" s="16"/>
      <c r="J50" s="16"/>
      <c r="K50" s="16"/>
      <c r="L50" s="16"/>
      <c r="M50" s="16"/>
      <c r="S50" s="64"/>
      <c r="T50" s="64"/>
      <c r="U50" s="64"/>
      <c r="V50" s="64"/>
      <c r="W50" s="64"/>
      <c r="X50" s="64"/>
      <c r="Y50" s="64"/>
      <c r="Z50" s="64"/>
      <c r="AA50" s="64"/>
      <c r="AB50" s="64"/>
      <c r="AC50" s="64"/>
      <c r="AD50" s="64"/>
    </row>
    <row r="51" spans="1:41" ht="15" x14ac:dyDescent="0.2">
      <c r="A51" s="144"/>
      <c r="I51" s="16"/>
      <c r="J51" s="16"/>
      <c r="K51" s="16"/>
      <c r="L51" s="16"/>
      <c r="M51" s="16"/>
      <c r="S51" s="64"/>
      <c r="T51" s="64"/>
      <c r="U51" s="64"/>
      <c r="V51" s="64"/>
      <c r="W51" s="64"/>
      <c r="X51" s="64"/>
      <c r="Y51" s="64"/>
      <c r="Z51" s="64"/>
      <c r="AA51" s="64"/>
      <c r="AB51" s="361" t="s">
        <v>575</v>
      </c>
      <c r="AD51" s="64"/>
      <c r="AG51" s="492"/>
      <c r="AH51" s="82"/>
      <c r="AJ51" s="248"/>
    </row>
    <row r="52" spans="1:41" ht="15" x14ac:dyDescent="0.2">
      <c r="A52" s="382"/>
      <c r="I52" s="16"/>
      <c r="J52" s="16"/>
      <c r="K52" s="16"/>
      <c r="L52" s="16"/>
      <c r="M52" s="16"/>
      <c r="S52" s="64"/>
      <c r="T52" s="64"/>
      <c r="U52" s="64"/>
      <c r="V52" s="64"/>
      <c r="W52" s="64"/>
      <c r="X52" s="64"/>
      <c r="Y52" s="64"/>
      <c r="Z52" s="64"/>
      <c r="AA52" s="64"/>
      <c r="AB52" s="64"/>
      <c r="AC52" s="64"/>
      <c r="AD52" s="64"/>
    </row>
    <row r="53" spans="1:41" ht="15.75" thickBot="1" x14ac:dyDescent="0.25">
      <c r="A53" s="382"/>
      <c r="I53" s="16"/>
      <c r="J53" s="16"/>
      <c r="K53" s="16"/>
      <c r="L53" s="16"/>
      <c r="M53" s="16"/>
      <c r="AC53" s="64" t="s">
        <v>337</v>
      </c>
      <c r="AG53" s="362" t="e">
        <f ca="1">+AG51+AG49</f>
        <v>#REF!</v>
      </c>
      <c r="AH53" s="326"/>
      <c r="AI53" s="326"/>
      <c r="AJ53" s="326"/>
    </row>
    <row r="54" spans="1:41" ht="13.5" thickTop="1" x14ac:dyDescent="0.2"/>
  </sheetData>
  <mergeCells count="6">
    <mergeCell ref="Q27:S27"/>
    <mergeCell ref="U27:W27"/>
    <mergeCell ref="A4:K4"/>
    <mergeCell ref="A6:K6"/>
    <mergeCell ref="G11:I11"/>
    <mergeCell ref="G12:I12"/>
  </mergeCells>
  <phoneticPr fontId="14" type="noConversion"/>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U55"/>
  <sheetViews>
    <sheetView tabSelected="1" view="pageLayout" topLeftCell="A11" zoomScaleNormal="80" workbookViewId="0">
      <selection activeCell="M516" sqref="M516"/>
    </sheetView>
  </sheetViews>
  <sheetFormatPr defaultRowHeight="12.75" x14ac:dyDescent="0.2"/>
  <cols>
    <col min="2" max="2" width="16.21875" customWidth="1"/>
    <col min="3" max="3" width="2" customWidth="1"/>
    <col min="4" max="4" width="13.77734375" bestFit="1" customWidth="1"/>
    <col min="5" max="5" width="1.77734375" customWidth="1"/>
    <col min="6" max="6" width="8.109375" customWidth="1"/>
    <col min="7" max="7" width="3.5546875" customWidth="1"/>
    <col min="8" max="8" width="12.88671875" customWidth="1"/>
    <col min="9" max="9" width="2.5546875" customWidth="1"/>
    <col min="10" max="10" width="8.5546875" customWidth="1"/>
    <col min="11" max="11" width="3.6640625" customWidth="1"/>
    <col min="12" max="12" width="14.33203125" bestFit="1" customWidth="1"/>
    <col min="13" max="13" width="3.109375" bestFit="1" customWidth="1"/>
    <col min="15" max="15" width="3.5546875" customWidth="1"/>
    <col min="16" max="16" width="12.5546875" bestFit="1" customWidth="1"/>
    <col min="17" max="17" width="2.33203125" customWidth="1"/>
    <col min="18" max="18" width="8.33203125" customWidth="1"/>
  </cols>
  <sheetData>
    <row r="6" spans="2:18" ht="15" x14ac:dyDescent="0.2">
      <c r="B6" s="867" t="s">
        <v>8</v>
      </c>
      <c r="C6" s="867"/>
      <c r="D6" s="867"/>
      <c r="E6" s="867"/>
      <c r="F6" s="867"/>
      <c r="G6" s="867"/>
      <c r="H6" s="867"/>
      <c r="I6" s="867"/>
      <c r="J6" s="867"/>
      <c r="K6" s="867"/>
      <c r="L6" s="867"/>
      <c r="M6" s="867"/>
      <c r="N6" s="867"/>
      <c r="O6" s="867"/>
      <c r="P6" s="867"/>
      <c r="Q6" s="867"/>
      <c r="R6" s="867"/>
    </row>
    <row r="7" spans="2:18" ht="15" x14ac:dyDescent="0.2">
      <c r="B7" s="867"/>
      <c r="C7" s="867"/>
      <c r="D7" s="867"/>
      <c r="E7" s="867"/>
      <c r="F7" s="867"/>
      <c r="G7" s="867"/>
      <c r="H7" s="867"/>
      <c r="I7" s="867"/>
      <c r="J7" s="867"/>
      <c r="K7" s="867"/>
      <c r="L7" s="867"/>
      <c r="M7" s="867"/>
      <c r="N7" s="867"/>
      <c r="O7" s="867"/>
      <c r="P7" s="867"/>
      <c r="Q7" s="867"/>
      <c r="R7" s="867"/>
    </row>
    <row r="8" spans="2:18" ht="6.6" customHeight="1" x14ac:dyDescent="0.2">
      <c r="B8" s="141"/>
      <c r="C8" s="141"/>
      <c r="D8" s="141"/>
      <c r="E8" s="141"/>
      <c r="F8" s="141"/>
      <c r="G8" s="141"/>
      <c r="H8" s="141"/>
      <c r="I8" s="141"/>
      <c r="J8" s="141"/>
      <c r="K8" s="141"/>
      <c r="L8" s="141"/>
      <c r="M8" s="142"/>
      <c r="N8" s="142"/>
      <c r="O8" s="142"/>
      <c r="P8" s="142"/>
      <c r="Q8" s="142"/>
      <c r="R8" s="142"/>
    </row>
    <row r="9" spans="2:18" ht="15" x14ac:dyDescent="0.2">
      <c r="B9" s="867" t="s">
        <v>424</v>
      </c>
      <c r="C9" s="867"/>
      <c r="D9" s="867"/>
      <c r="E9" s="867"/>
      <c r="F9" s="867"/>
      <c r="G9" s="867"/>
      <c r="H9" s="867"/>
      <c r="I9" s="867"/>
      <c r="J9" s="867"/>
      <c r="K9" s="867"/>
      <c r="L9" s="867"/>
      <c r="M9" s="867"/>
      <c r="N9" s="867"/>
      <c r="O9" s="867"/>
      <c r="P9" s="867"/>
      <c r="Q9" s="867"/>
      <c r="R9" s="867"/>
    </row>
    <row r="10" spans="2:18" ht="15" x14ac:dyDescent="0.2">
      <c r="B10" s="871" t="s">
        <v>985</v>
      </c>
      <c r="C10" s="867"/>
      <c r="D10" s="867"/>
      <c r="E10" s="867"/>
      <c r="F10" s="867"/>
      <c r="G10" s="867"/>
      <c r="H10" s="867"/>
      <c r="I10" s="867"/>
      <c r="J10" s="867"/>
      <c r="K10" s="867"/>
      <c r="L10" s="867"/>
      <c r="M10" s="867"/>
      <c r="N10" s="867"/>
      <c r="O10" s="867"/>
      <c r="P10" s="867"/>
      <c r="Q10" s="867"/>
      <c r="R10" s="867"/>
    </row>
    <row r="11" spans="2:18" ht="15.75" x14ac:dyDescent="0.25">
      <c r="B11" s="527"/>
      <c r="C11" s="527"/>
      <c r="D11" s="527"/>
      <c r="E11" s="527"/>
      <c r="F11" s="527"/>
      <c r="G11" s="527"/>
      <c r="H11" s="527"/>
      <c r="I11" s="527"/>
      <c r="J11" s="527"/>
      <c r="K11" s="527"/>
      <c r="L11" s="527"/>
      <c r="M11" s="528"/>
      <c r="N11" s="528"/>
      <c r="O11" s="528"/>
      <c r="P11" s="528"/>
      <c r="Q11" s="528"/>
      <c r="R11" s="528"/>
    </row>
    <row r="12" spans="2:18" ht="9.6" customHeight="1" x14ac:dyDescent="0.2">
      <c r="B12" s="141"/>
      <c r="C12" s="141"/>
      <c r="D12" s="141"/>
      <c r="E12" s="141"/>
      <c r="F12" s="141"/>
      <c r="G12" s="141"/>
      <c r="H12" s="141"/>
      <c r="I12" s="141"/>
      <c r="J12" s="141"/>
      <c r="K12" s="141"/>
      <c r="L12" s="141"/>
      <c r="M12" s="142"/>
      <c r="N12" s="142"/>
      <c r="O12" s="142"/>
      <c r="P12" s="142"/>
      <c r="Q12" s="142"/>
      <c r="R12" s="142"/>
    </row>
    <row r="13" spans="2:18" ht="15" x14ac:dyDescent="0.2">
      <c r="B13" s="143"/>
      <c r="C13" s="143"/>
      <c r="D13" s="870" t="s">
        <v>425</v>
      </c>
      <c r="E13" s="870"/>
      <c r="F13" s="870"/>
      <c r="G13" s="141"/>
      <c r="H13" s="141"/>
      <c r="I13" s="141"/>
      <c r="J13" s="141"/>
      <c r="K13" s="141"/>
      <c r="L13" s="141"/>
      <c r="M13" s="142"/>
      <c r="N13" s="142"/>
      <c r="O13" s="142"/>
      <c r="P13" s="870" t="s">
        <v>426</v>
      </c>
      <c r="Q13" s="870"/>
      <c r="R13" s="870"/>
    </row>
    <row r="14" spans="2:18" ht="15" x14ac:dyDescent="0.2">
      <c r="B14" s="140" t="s">
        <v>252</v>
      </c>
      <c r="C14" s="140"/>
      <c r="D14" s="168" t="s">
        <v>427</v>
      </c>
      <c r="G14" s="141"/>
      <c r="H14" s="870" t="s">
        <v>428</v>
      </c>
      <c r="I14" s="870"/>
      <c r="J14" s="870"/>
      <c r="K14" s="141"/>
      <c r="L14" s="870" t="s">
        <v>429</v>
      </c>
      <c r="M14" s="870"/>
      <c r="N14" s="870"/>
      <c r="O14" s="142"/>
      <c r="P14" s="142"/>
      <c r="Q14" s="142"/>
      <c r="R14" s="140" t="s">
        <v>288</v>
      </c>
    </row>
    <row r="15" spans="2:18" ht="15" x14ac:dyDescent="0.2">
      <c r="B15" s="144" t="s">
        <v>203</v>
      </c>
      <c r="C15" s="143"/>
      <c r="D15" s="144" t="s">
        <v>448</v>
      </c>
      <c r="E15" s="141"/>
      <c r="F15" s="144" t="s">
        <v>288</v>
      </c>
      <c r="G15" s="141"/>
      <c r="H15" s="144" t="s">
        <v>427</v>
      </c>
      <c r="I15" s="141"/>
      <c r="J15" s="144" t="s">
        <v>288</v>
      </c>
      <c r="K15" s="141"/>
      <c r="L15" s="144" t="s">
        <v>427</v>
      </c>
      <c r="M15" s="141"/>
      <c r="N15" s="144" t="s">
        <v>288</v>
      </c>
      <c r="O15" s="142"/>
      <c r="P15" s="144" t="s">
        <v>427</v>
      </c>
      <c r="Q15" s="141"/>
      <c r="R15" s="144" t="s">
        <v>430</v>
      </c>
    </row>
    <row r="16" spans="2:18" ht="15" x14ac:dyDescent="0.2">
      <c r="B16" s="145" t="s">
        <v>205</v>
      </c>
      <c r="C16" s="146"/>
      <c r="D16" s="145" t="s">
        <v>227</v>
      </c>
      <c r="E16" s="146"/>
      <c r="F16" s="145" t="s">
        <v>207</v>
      </c>
      <c r="G16" s="146"/>
      <c r="H16" s="145" t="s">
        <v>229</v>
      </c>
      <c r="I16" s="146"/>
      <c r="J16" s="145" t="s">
        <v>241</v>
      </c>
      <c r="K16" s="141"/>
      <c r="L16" s="145" t="s">
        <v>255</v>
      </c>
      <c r="M16" s="146"/>
      <c r="N16" s="145" t="s">
        <v>262</v>
      </c>
      <c r="O16" s="142"/>
      <c r="P16" s="145" t="s">
        <v>431</v>
      </c>
      <c r="Q16" s="146"/>
      <c r="R16" s="145" t="s">
        <v>432</v>
      </c>
    </row>
    <row r="17" spans="1:21" ht="15" x14ac:dyDescent="0.2">
      <c r="B17" s="141"/>
      <c r="C17" s="141"/>
      <c r="D17" s="141"/>
      <c r="E17" s="141"/>
      <c r="F17" s="141"/>
      <c r="G17" s="141"/>
      <c r="H17" s="141"/>
      <c r="I17" s="141"/>
      <c r="J17" s="141"/>
      <c r="K17" s="141"/>
      <c r="L17" s="172"/>
      <c r="M17" s="141"/>
      <c r="N17" s="141"/>
      <c r="O17" s="142"/>
      <c r="P17" s="141"/>
      <c r="Q17" s="141"/>
      <c r="R17" s="141"/>
    </row>
    <row r="18" spans="1:21" ht="15" x14ac:dyDescent="0.2">
      <c r="A18" s="166"/>
      <c r="B18" s="141" t="s">
        <v>208</v>
      </c>
      <c r="C18" s="141"/>
      <c r="D18" s="147">
        <f ca="1">+'COS 1'!L275</f>
        <v>55923037.086277232</v>
      </c>
      <c r="E18" s="141"/>
      <c r="F18" s="139">
        <f ca="1">ROUND(D18/D$32,3)</f>
        <v>0.56499999999999995</v>
      </c>
      <c r="G18" s="141"/>
      <c r="H18" s="147">
        <f>+'[7]Sch M'!$Q13</f>
        <v>47597938</v>
      </c>
      <c r="I18" s="323"/>
      <c r="J18" s="139">
        <f>ROUND(H18/H$32,3)-0.001</f>
        <v>0.55600000000000005</v>
      </c>
      <c r="K18" s="141"/>
      <c r="L18" s="147">
        <f>+'[7]Sch M'!$V13</f>
        <v>55922389</v>
      </c>
      <c r="M18" s="495"/>
      <c r="N18" s="139">
        <f>ROUND(L18/L$32,3)</f>
        <v>0.56499999999999995</v>
      </c>
      <c r="O18" s="142"/>
      <c r="P18" s="147">
        <f>+L18-H18</f>
        <v>8324451</v>
      </c>
      <c r="Q18" s="141"/>
      <c r="R18" s="139">
        <f>+P18/H18</f>
        <v>0.17489100053031709</v>
      </c>
      <c r="S18" s="246"/>
      <c r="U18" s="532"/>
    </row>
    <row r="19" spans="1:21" ht="15" x14ac:dyDescent="0.2">
      <c r="A19" s="166"/>
      <c r="B19" s="141"/>
      <c r="C19" s="141"/>
      <c r="D19" s="141"/>
      <c r="E19" s="141"/>
      <c r="F19" s="139"/>
      <c r="G19" s="141"/>
      <c r="H19" s="147"/>
      <c r="I19" s="141"/>
      <c r="J19" s="139"/>
      <c r="K19" s="141"/>
      <c r="L19" s="147"/>
      <c r="M19" s="400"/>
      <c r="N19" s="141"/>
      <c r="O19" s="142"/>
      <c r="P19" s="141"/>
      <c r="Q19" s="141"/>
      <c r="R19" s="139"/>
      <c r="U19" s="531"/>
    </row>
    <row r="20" spans="1:21" ht="15" x14ac:dyDescent="0.2">
      <c r="A20" s="166"/>
      <c r="B20" s="141" t="s">
        <v>209</v>
      </c>
      <c r="C20" s="141"/>
      <c r="D20" s="146">
        <f ca="1">+'COS 1'!N275</f>
        <v>23691014.904259875</v>
      </c>
      <c r="E20" s="141"/>
      <c r="F20" s="139">
        <f t="shared" ref="F20:F30" ca="1" si="0">ROUND(D20/D$32,3)</f>
        <v>0.23899999999999999</v>
      </c>
      <c r="G20" s="141"/>
      <c r="H20" s="165">
        <f>+'[7]Sch M'!$Q14+'[7]Sch M'!$Q$20</f>
        <v>21253039</v>
      </c>
      <c r="I20" s="745" t="s">
        <v>530</v>
      </c>
      <c r="J20" s="139">
        <f>ROUND(H20/H$32,3)-0.001</f>
        <v>0.248</v>
      </c>
      <c r="K20" s="141"/>
      <c r="L20" s="165">
        <f>+'[7]Sch M'!$V14+'[7]Sch M'!$V$20</f>
        <v>24009706</v>
      </c>
      <c r="M20" s="323" t="s">
        <v>530</v>
      </c>
      <c r="N20" s="139">
        <f>ROUND(L20/L$32,3)</f>
        <v>0.24299999999999999</v>
      </c>
      <c r="O20" s="142"/>
      <c r="P20" s="146">
        <f>+L20-H20</f>
        <v>2756667</v>
      </c>
      <c r="Q20" s="141"/>
      <c r="R20" s="139">
        <f>+P20/H20</f>
        <v>0.12970695626164333</v>
      </c>
      <c r="S20" s="246"/>
      <c r="U20" s="532"/>
    </row>
    <row r="21" spans="1:21" ht="15" x14ac:dyDescent="0.2">
      <c r="A21" s="166"/>
      <c r="B21" s="141"/>
      <c r="C21" s="141"/>
      <c r="D21" s="146"/>
      <c r="E21" s="141"/>
      <c r="F21" s="139"/>
      <c r="G21" s="141"/>
      <c r="H21" s="165"/>
      <c r="I21" s="141"/>
      <c r="J21" s="139"/>
      <c r="K21" s="141"/>
      <c r="L21" s="165"/>
      <c r="M21" s="400"/>
      <c r="N21" s="141"/>
      <c r="O21" s="142"/>
      <c r="P21" s="146"/>
      <c r="Q21" s="141"/>
      <c r="R21" s="139"/>
      <c r="U21" s="531"/>
    </row>
    <row r="22" spans="1:21" ht="15" x14ac:dyDescent="0.2">
      <c r="A22" s="166"/>
      <c r="B22" s="141" t="s">
        <v>210</v>
      </c>
      <c r="C22" s="141"/>
      <c r="D22" s="146">
        <f ca="1">+'COS 1'!P275</f>
        <v>3421732.2541818721</v>
      </c>
      <c r="E22" s="141"/>
      <c r="F22" s="139">
        <f t="shared" ca="1" si="0"/>
        <v>3.5000000000000003E-2</v>
      </c>
      <c r="G22" s="141"/>
      <c r="H22" s="165">
        <f>+'[7]Sch M'!$Q15</f>
        <v>2540483</v>
      </c>
      <c r="I22" s="141"/>
      <c r="J22" s="139">
        <f t="shared" ref="J22:J30" si="1">ROUND(H22/H$32,3)</f>
        <v>0.03</v>
      </c>
      <c r="K22" s="141"/>
      <c r="L22" s="165">
        <f>+'[7]Sch M'!$V15</f>
        <v>3097546</v>
      </c>
      <c r="M22" s="400"/>
      <c r="N22" s="139">
        <f>ROUND(L22/L$32,3)</f>
        <v>3.1E-2</v>
      </c>
      <c r="O22" s="142"/>
      <c r="P22" s="146">
        <f>+L22-H22</f>
        <v>557063</v>
      </c>
      <c r="Q22" s="141"/>
      <c r="R22" s="139">
        <f>+P22/H22</f>
        <v>0.2192744450563141</v>
      </c>
      <c r="S22" s="246"/>
      <c r="U22" s="532"/>
    </row>
    <row r="23" spans="1:21" ht="15" x14ac:dyDescent="0.2">
      <c r="A23" s="166"/>
      <c r="B23" s="141"/>
      <c r="C23" s="141"/>
      <c r="D23" s="146"/>
      <c r="E23" s="141"/>
      <c r="F23" s="139"/>
      <c r="G23" s="141"/>
      <c r="H23" s="165"/>
      <c r="I23" s="141"/>
      <c r="J23" s="139"/>
      <c r="K23" s="141"/>
      <c r="L23" s="165"/>
      <c r="M23" s="400"/>
      <c r="N23" s="141"/>
      <c r="O23" s="142"/>
      <c r="P23" s="146"/>
      <c r="Q23" s="141"/>
      <c r="R23" s="139"/>
      <c r="U23" s="531"/>
    </row>
    <row r="24" spans="1:21" ht="15" x14ac:dyDescent="0.2">
      <c r="A24" s="166"/>
      <c r="B24" s="141" t="s">
        <v>433</v>
      </c>
      <c r="C24" s="141"/>
      <c r="D24" s="146">
        <f ca="1">+'COS 1'!R275</f>
        <v>6958932.2805095315</v>
      </c>
      <c r="E24" s="141"/>
      <c r="F24" s="139">
        <f ca="1">ROUND(D24/D$32,3)</f>
        <v>7.0000000000000007E-2</v>
      </c>
      <c r="G24" s="141"/>
      <c r="H24" s="165">
        <f>+'[7]Sch M'!$Q16</f>
        <v>5904766</v>
      </c>
      <c r="I24" s="141"/>
      <c r="J24" s="139">
        <f t="shared" si="1"/>
        <v>6.9000000000000006E-2</v>
      </c>
      <c r="K24" s="141"/>
      <c r="L24" s="165">
        <f>+'[7]Sch M'!$V16</f>
        <v>6951883</v>
      </c>
      <c r="M24" s="400"/>
      <c r="N24" s="139">
        <f>ROUND(L24/L$32,3)</f>
        <v>7.0000000000000007E-2</v>
      </c>
      <c r="O24" s="142"/>
      <c r="P24" s="146">
        <f>+L24-H24</f>
        <v>1047117</v>
      </c>
      <c r="Q24" s="141"/>
      <c r="R24" s="139">
        <f>+P24/H24</f>
        <v>0.17733420765530761</v>
      </c>
      <c r="S24" s="246"/>
      <c r="U24" s="532"/>
    </row>
    <row r="25" spans="1:21" ht="15" x14ac:dyDescent="0.2">
      <c r="A25" s="166"/>
      <c r="B25" s="141"/>
      <c r="C25" s="141"/>
      <c r="D25" s="146"/>
      <c r="E25" s="141"/>
      <c r="F25" s="139"/>
      <c r="G25" s="141"/>
      <c r="H25" s="165"/>
      <c r="I25" s="141"/>
      <c r="J25" s="139"/>
      <c r="K25" s="141"/>
      <c r="L25" s="165"/>
      <c r="M25" s="400"/>
      <c r="N25" s="141"/>
      <c r="O25" s="142"/>
      <c r="P25" s="146"/>
      <c r="Q25" s="141"/>
      <c r="R25" s="139"/>
      <c r="U25" s="531"/>
    </row>
    <row r="26" spans="1:21" ht="15" x14ac:dyDescent="0.2">
      <c r="A26" s="166"/>
      <c r="B26" s="141" t="s">
        <v>333</v>
      </c>
      <c r="C26" s="141"/>
      <c r="D26" s="146">
        <f ca="1">+'COS 1'!T275</f>
        <v>1892980.3445502608</v>
      </c>
      <c r="E26" s="141"/>
      <c r="F26" s="139">
        <f t="shared" ca="1" si="0"/>
        <v>1.9E-2</v>
      </c>
      <c r="G26" s="141"/>
      <c r="H26" s="165">
        <f>+'[7]Sch M'!$Q17</f>
        <v>1774742</v>
      </c>
      <c r="I26" s="141"/>
      <c r="J26" s="139">
        <f t="shared" si="1"/>
        <v>2.1000000000000001E-2</v>
      </c>
      <c r="K26" s="141"/>
      <c r="L26" s="165">
        <f>+'[7]Sch M'!$V17</f>
        <v>1886689</v>
      </c>
      <c r="M26" s="400"/>
      <c r="N26" s="139">
        <f>ROUND(L26/L$32,3)</f>
        <v>1.9E-2</v>
      </c>
      <c r="O26" s="142"/>
      <c r="P26" s="146">
        <f>+L26-H26</f>
        <v>111947</v>
      </c>
      <c r="Q26" s="141"/>
      <c r="R26" s="139">
        <f>+P26/H26</f>
        <v>6.3077900900525258E-2</v>
      </c>
      <c r="S26" s="246"/>
      <c r="U26" s="532"/>
    </row>
    <row r="27" spans="1:21" ht="15" x14ac:dyDescent="0.2">
      <c r="A27" s="166"/>
      <c r="B27" s="141"/>
      <c r="C27" s="141"/>
      <c r="D27" s="146"/>
      <c r="E27" s="141"/>
      <c r="F27" s="139"/>
      <c r="G27" s="141"/>
      <c r="H27" s="165"/>
      <c r="I27" s="141"/>
      <c r="J27" s="139"/>
      <c r="K27" s="141"/>
      <c r="L27" s="165"/>
      <c r="M27" s="400"/>
      <c r="N27" s="141"/>
      <c r="O27" s="142"/>
      <c r="P27" s="146"/>
      <c r="Q27" s="141"/>
      <c r="R27" s="139"/>
      <c r="U27" s="531"/>
    </row>
    <row r="28" spans="1:21" ht="15" x14ac:dyDescent="0.2">
      <c r="A28" s="166"/>
      <c r="B28" s="141" t="s">
        <v>434</v>
      </c>
      <c r="C28" s="141"/>
      <c r="D28" s="146">
        <f ca="1">+'COS 1'!V275</f>
        <v>2418314.8415201483</v>
      </c>
      <c r="E28" s="141"/>
      <c r="F28" s="139">
        <f ca="1">ROUND(D28/D$32,3)+0.001</f>
        <v>2.5000000000000001E-2</v>
      </c>
      <c r="G28" s="141"/>
      <c r="H28" s="165">
        <f>+'[7]Sch M'!$Q18</f>
        <v>2699847</v>
      </c>
      <c r="I28" s="141"/>
      <c r="J28" s="139">
        <f t="shared" si="1"/>
        <v>3.2000000000000001E-2</v>
      </c>
      <c r="K28" s="141"/>
      <c r="L28" s="165">
        <f>+'[7]Sch M'!$V18</f>
        <v>2780586</v>
      </c>
      <c r="M28" s="400"/>
      <c r="N28" s="139">
        <f>ROUND(L28/L$32,3)</f>
        <v>2.8000000000000001E-2</v>
      </c>
      <c r="O28" s="142"/>
      <c r="P28" s="146">
        <f>+L28-H28</f>
        <v>80739</v>
      </c>
      <c r="Q28" s="141"/>
      <c r="R28" s="139">
        <f>+P28/H28</f>
        <v>2.9905027951583923E-2</v>
      </c>
      <c r="S28" s="246"/>
      <c r="U28" s="532"/>
    </row>
    <row r="29" spans="1:21" ht="15" x14ac:dyDescent="0.2">
      <c r="B29" s="141"/>
      <c r="C29" s="141"/>
      <c r="D29" s="146"/>
      <c r="E29" s="141"/>
      <c r="F29" s="139"/>
      <c r="G29" s="141"/>
      <c r="H29" s="165"/>
      <c r="I29" s="141"/>
      <c r="J29" s="139"/>
      <c r="K29" s="141"/>
      <c r="L29" s="165"/>
      <c r="M29" s="400"/>
      <c r="N29" s="139"/>
      <c r="O29" s="142"/>
      <c r="P29" s="146"/>
      <c r="Q29" s="141"/>
      <c r="R29" s="139"/>
      <c r="U29" s="531"/>
    </row>
    <row r="30" spans="1:21" ht="15" x14ac:dyDescent="0.2">
      <c r="B30" s="141" t="s">
        <v>435</v>
      </c>
      <c r="C30" s="141"/>
      <c r="D30" s="149">
        <f ca="1">+'COS 1'!X275</f>
        <v>4658818.6767935483</v>
      </c>
      <c r="E30" s="141"/>
      <c r="F30" s="148">
        <f t="shared" ca="1" si="0"/>
        <v>4.7E-2</v>
      </c>
      <c r="G30" s="141"/>
      <c r="H30" s="541">
        <f>+'[7]Sch M'!$Q19</f>
        <v>3740506</v>
      </c>
      <c r="I30" s="141"/>
      <c r="J30" s="148">
        <f t="shared" si="1"/>
        <v>4.3999999999999997E-2</v>
      </c>
      <c r="K30" s="141"/>
      <c r="L30" s="541">
        <f>+'[7]Sch M'!$V19</f>
        <v>4315968</v>
      </c>
      <c r="M30" s="400"/>
      <c r="N30" s="148">
        <f>ROUND(L30/L$32,3)</f>
        <v>4.3999999999999997E-2</v>
      </c>
      <c r="O30" s="142"/>
      <c r="P30" s="149">
        <f>+L30-H30</f>
        <v>575462</v>
      </c>
      <c r="Q30" s="141"/>
      <c r="R30" s="139">
        <f>+P30/H30</f>
        <v>0.15384603045684195</v>
      </c>
      <c r="U30" s="532"/>
    </row>
    <row r="31" spans="1:21" ht="15" x14ac:dyDescent="0.2">
      <c r="B31" s="141"/>
      <c r="C31" s="141"/>
      <c r="D31" s="146"/>
      <c r="E31" s="141"/>
      <c r="F31" s="141"/>
      <c r="G31" s="141"/>
      <c r="H31" s="146"/>
      <c r="I31" s="141"/>
      <c r="J31" s="141"/>
      <c r="K31" s="141"/>
      <c r="L31" s="146"/>
      <c r="M31" s="141"/>
      <c r="N31" s="141"/>
      <c r="O31" s="142"/>
      <c r="P31" s="146"/>
      <c r="Q31" s="141"/>
      <c r="R31" s="139"/>
      <c r="T31" s="247"/>
      <c r="U31" s="531"/>
    </row>
    <row r="32" spans="1:21" ht="15.75" thickBot="1" x14ac:dyDescent="0.25">
      <c r="B32" s="141" t="s">
        <v>436</v>
      </c>
      <c r="C32" s="141"/>
      <c r="D32" s="146">
        <f ca="1">SUM(D18:D30)</f>
        <v>98964830.388092473</v>
      </c>
      <c r="E32" s="141"/>
      <c r="F32" s="150">
        <f ca="1">SUM(F18:F30)</f>
        <v>1</v>
      </c>
      <c r="G32" s="141"/>
      <c r="H32" s="146">
        <f>SUM(H18:H30)</f>
        <v>85511321</v>
      </c>
      <c r="I32" s="141"/>
      <c r="J32" s="150">
        <f>SUM(J18:J30)</f>
        <v>1</v>
      </c>
      <c r="K32" s="141"/>
      <c r="L32" s="146">
        <f>SUM(L18:L30)</f>
        <v>98964767</v>
      </c>
      <c r="M32" s="141"/>
      <c r="N32" s="150">
        <f>SUM(N18:N30)</f>
        <v>1</v>
      </c>
      <c r="O32" s="142"/>
      <c r="P32" s="146">
        <f>SUM(P18:P30)</f>
        <v>13453446</v>
      </c>
      <c r="Q32" s="141"/>
      <c r="R32" s="139">
        <f>+P32/H32</f>
        <v>0.15732941372756948</v>
      </c>
      <c r="U32" s="532"/>
    </row>
    <row r="33" spans="2:18" ht="15.75" thickTop="1" x14ac:dyDescent="0.2">
      <c r="B33" s="141"/>
      <c r="C33" s="141"/>
      <c r="D33" s="146"/>
      <c r="E33" s="141"/>
      <c r="F33" s="141"/>
      <c r="G33" s="141"/>
      <c r="H33" s="146"/>
      <c r="I33" s="141"/>
      <c r="J33" s="141"/>
      <c r="K33" s="141"/>
      <c r="L33" s="146"/>
      <c r="M33" s="141"/>
      <c r="N33" s="141"/>
      <c r="O33" s="142"/>
      <c r="P33" s="146"/>
      <c r="Q33" s="141"/>
      <c r="R33" s="139"/>
    </row>
    <row r="34" spans="2:18" ht="15" x14ac:dyDescent="0.2">
      <c r="B34" s="151" t="s">
        <v>437</v>
      </c>
      <c r="C34" s="151"/>
      <c r="D34" s="149">
        <f>+'COS 1'!J272</f>
        <v>2839675</v>
      </c>
      <c r="E34" s="151"/>
      <c r="F34" s="151"/>
      <c r="G34" s="151"/>
      <c r="H34" s="541">
        <f>+'[7]Sch M'!$Q36+'COS 1'!J270</f>
        <v>2839675</v>
      </c>
      <c r="I34" s="742"/>
      <c r="J34" s="151"/>
      <c r="K34" s="151"/>
      <c r="L34" s="541">
        <f>+H34</f>
        <v>2839675</v>
      </c>
      <c r="M34" s="742"/>
      <c r="N34" s="151"/>
      <c r="O34" s="152"/>
      <c r="P34" s="149">
        <f>+L34-H34</f>
        <v>0</v>
      </c>
      <c r="Q34" s="151"/>
      <c r="R34" s="139">
        <f>+P34/H34</f>
        <v>0</v>
      </c>
    </row>
    <row r="35" spans="2:18" ht="15" x14ac:dyDescent="0.2">
      <c r="B35" s="141"/>
      <c r="C35" s="141"/>
      <c r="D35" s="141"/>
      <c r="E35" s="141"/>
      <c r="F35" s="141"/>
      <c r="G35" s="141"/>
      <c r="H35" s="141"/>
      <c r="I35" s="141"/>
      <c r="J35" s="141"/>
      <c r="K35" s="141"/>
      <c r="L35" s="141"/>
      <c r="M35" s="141"/>
      <c r="N35" s="141"/>
      <c r="O35" s="142"/>
      <c r="P35" s="141"/>
      <c r="Q35" s="141"/>
      <c r="R35" s="139"/>
    </row>
    <row r="36" spans="2:18" ht="15.75" thickBot="1" x14ac:dyDescent="0.25">
      <c r="B36" s="141" t="s">
        <v>438</v>
      </c>
      <c r="C36" s="141"/>
      <c r="D36" s="153">
        <f ca="1">+D34+D32</f>
        <v>101804505.38809247</v>
      </c>
      <c r="E36" s="141"/>
      <c r="F36" s="141"/>
      <c r="G36" s="141"/>
      <c r="H36" s="153">
        <f>+H34+H32</f>
        <v>88350996</v>
      </c>
      <c r="I36" s="141"/>
      <c r="J36" s="141"/>
      <c r="K36" s="141"/>
      <c r="L36" s="153">
        <f>+L34+L32</f>
        <v>101804442</v>
      </c>
      <c r="M36" s="141"/>
      <c r="N36" s="141"/>
      <c r="O36" s="142"/>
      <c r="P36" s="153">
        <f>+L36-H36</f>
        <v>13453446</v>
      </c>
      <c r="Q36" s="141"/>
      <c r="R36" s="139">
        <f>+P36/H36</f>
        <v>0.15227271461659583</v>
      </c>
    </row>
    <row r="37" spans="2:18" ht="13.5" thickTop="1" x14ac:dyDescent="0.2">
      <c r="B37" s="542"/>
    </row>
    <row r="38" spans="2:18" ht="15" x14ac:dyDescent="0.2">
      <c r="B38" s="746" t="s">
        <v>966</v>
      </c>
    </row>
    <row r="39" spans="2:18" ht="15" x14ac:dyDescent="0.2">
      <c r="B39" s="16"/>
      <c r="C39" s="16"/>
      <c r="D39" s="159"/>
      <c r="L39" s="113"/>
    </row>
    <row r="40" spans="2:18" ht="15" x14ac:dyDescent="0.2">
      <c r="B40" s="16"/>
      <c r="C40" s="16"/>
      <c r="D40" s="160"/>
      <c r="H40" s="113"/>
      <c r="L40" s="248"/>
    </row>
    <row r="41" spans="2:18" x14ac:dyDescent="0.2">
      <c r="D41" s="113"/>
      <c r="H41" s="113"/>
      <c r="P41" s="113"/>
    </row>
    <row r="42" spans="2:18" x14ac:dyDescent="0.2">
      <c r="H42" s="248"/>
    </row>
    <row r="43" spans="2:18" x14ac:dyDescent="0.2">
      <c r="L43" s="113"/>
    </row>
    <row r="46" spans="2:18" x14ac:dyDescent="0.2">
      <c r="L46" s="523"/>
    </row>
    <row r="47" spans="2:18" x14ac:dyDescent="0.2">
      <c r="L47" s="522"/>
    </row>
    <row r="48" spans="2:18" x14ac:dyDescent="0.2">
      <c r="H48" s="82"/>
      <c r="L48" s="82"/>
    </row>
    <row r="49" spans="4:12" x14ac:dyDescent="0.2">
      <c r="H49" s="82"/>
      <c r="L49" s="82"/>
    </row>
    <row r="50" spans="4:12" x14ac:dyDescent="0.2">
      <c r="H50" s="82"/>
      <c r="L50" s="82"/>
    </row>
    <row r="51" spans="4:12" x14ac:dyDescent="0.2">
      <c r="H51" s="82"/>
      <c r="L51" s="363"/>
    </row>
    <row r="52" spans="4:12" x14ac:dyDescent="0.2">
      <c r="D52" s="247"/>
      <c r="H52" s="82"/>
      <c r="L52" s="82"/>
    </row>
    <row r="53" spans="4:12" x14ac:dyDescent="0.2">
      <c r="H53" s="82"/>
      <c r="L53" s="82"/>
    </row>
    <row r="54" spans="4:12" x14ac:dyDescent="0.2">
      <c r="H54" s="82"/>
      <c r="L54" s="82"/>
    </row>
    <row r="55" spans="4:12" x14ac:dyDescent="0.2">
      <c r="H55" s="82"/>
      <c r="L55" s="82"/>
    </row>
  </sheetData>
  <mergeCells count="8">
    <mergeCell ref="H14:J14"/>
    <mergeCell ref="L14:N14"/>
    <mergeCell ref="B6:R6"/>
    <mergeCell ref="B9:R9"/>
    <mergeCell ref="B10:R10"/>
    <mergeCell ref="D13:F13"/>
    <mergeCell ref="P13:R13"/>
    <mergeCell ref="B7:R7"/>
  </mergeCells>
  <phoneticPr fontId="14" type="noConversion"/>
  <pageMargins left="0.7" right="0.7" top="0.75" bottom="0.75" header="0.3" footer="0.3"/>
  <pageSetup orientation="landscape" r:id="rId1"/>
  <headerFooter>
    <oddHeader>&amp;R&amp;9KAW_R_PSCDR1_NUM014_Attachment 1
Case No. 2015-00418
Page &amp;P of &amp;N</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tabSelected="1" view="pageLayout" topLeftCell="A26" zoomScaleNormal="100" workbookViewId="0">
      <selection activeCell="M516" sqref="M516"/>
    </sheetView>
  </sheetViews>
  <sheetFormatPr defaultRowHeight="12.75" x14ac:dyDescent="0.2"/>
  <cols>
    <col min="1" max="1" width="14.33203125" style="515" bestFit="1" customWidth="1"/>
    <col min="2" max="2" width="9.21875" customWidth="1"/>
    <col min="3" max="3" width="31" customWidth="1"/>
    <col min="4" max="4" width="11.5546875" customWidth="1"/>
    <col min="5" max="5" width="12.44140625" customWidth="1"/>
    <col min="6" max="6" width="11" customWidth="1"/>
    <col min="7" max="7" width="14.33203125" style="116" customWidth="1"/>
    <col min="8" max="8" width="13.88671875" style="480" bestFit="1" customWidth="1"/>
    <col min="9" max="9" width="2.21875" customWidth="1"/>
    <col min="10" max="10" width="10.6640625" bestFit="1" customWidth="1"/>
    <col min="15" max="15" width="9.109375" bestFit="1" customWidth="1"/>
    <col min="17" max="17" width="11.5546875" bestFit="1" customWidth="1"/>
    <col min="21" max="21" width="11.44140625" customWidth="1"/>
    <col min="23" max="23" width="11.5546875" bestFit="1" customWidth="1"/>
    <col min="24" max="24" width="10" bestFit="1" customWidth="1"/>
    <col min="25" max="25" width="11.5546875" bestFit="1" customWidth="1"/>
    <col min="27" max="27" width="10" bestFit="1" customWidth="1"/>
    <col min="28" max="28" width="11.6640625" bestFit="1" customWidth="1"/>
  </cols>
  <sheetData>
    <row r="1" spans="1:8" x14ac:dyDescent="0.2">
      <c r="B1" t="s">
        <v>453</v>
      </c>
      <c r="E1" s="374"/>
    </row>
    <row r="2" spans="1:8" x14ac:dyDescent="0.2">
      <c r="B2" t="s">
        <v>454</v>
      </c>
    </row>
    <row r="3" spans="1:8" x14ac:dyDescent="0.2">
      <c r="B3" t="s">
        <v>455</v>
      </c>
      <c r="D3" t="s">
        <v>456</v>
      </c>
      <c r="E3" t="s">
        <v>458</v>
      </c>
      <c r="F3" t="s">
        <v>923</v>
      </c>
      <c r="G3" s="116" t="s">
        <v>930</v>
      </c>
    </row>
    <row r="4" spans="1:8" x14ac:dyDescent="0.2">
      <c r="D4" t="s">
        <v>457</v>
      </c>
      <c r="E4" t="s">
        <v>893</v>
      </c>
      <c r="F4" t="s">
        <v>459</v>
      </c>
      <c r="G4" s="116" t="s">
        <v>931</v>
      </c>
      <c r="H4" s="480" t="s">
        <v>460</v>
      </c>
    </row>
    <row r="5" spans="1:8" x14ac:dyDescent="0.2">
      <c r="B5">
        <v>301000</v>
      </c>
      <c r="C5" t="s">
        <v>462</v>
      </c>
      <c r="D5" s="82">
        <f>+'[12]UPIS linkin'!$BA11</f>
        <v>37450.43</v>
      </c>
      <c r="E5" s="82"/>
      <c r="H5" s="82">
        <f t="shared" ref="H5:H36" si="0">+D5+E5+F5+G5</f>
        <v>37450.43</v>
      </c>
    </row>
    <row r="6" spans="1:8" x14ac:dyDescent="0.2">
      <c r="B6">
        <v>302000</v>
      </c>
      <c r="C6" t="s">
        <v>463</v>
      </c>
      <c r="D6" s="82">
        <f>+'[12]UPIS linkin'!$BA12</f>
        <v>70260.820000000036</v>
      </c>
      <c r="E6" s="82"/>
      <c r="H6" s="82">
        <f t="shared" si="0"/>
        <v>70260.820000000036</v>
      </c>
    </row>
    <row r="7" spans="1:8" x14ac:dyDescent="0.2">
      <c r="B7">
        <v>339100</v>
      </c>
      <c r="C7" t="s">
        <v>464</v>
      </c>
      <c r="D7" s="82">
        <f>+'[12]UPIS linkin'!$BA$57+'[12]UPIS linkin'!$BA$58</f>
        <v>811952.31961538433</v>
      </c>
      <c r="E7" s="82">
        <f>+'[12]Accum depr linkin'!$BA57+'[12]Accum depr linkin'!$BA$58</f>
        <v>-455505.12263666675</v>
      </c>
      <c r="H7" s="82">
        <f t="shared" si="0"/>
        <v>356447.19697871758</v>
      </c>
    </row>
    <row r="8" spans="1:8" s="480" customFormat="1" x14ac:dyDescent="0.2">
      <c r="A8" s="515"/>
      <c r="B8" s="319">
        <v>339300</v>
      </c>
      <c r="C8" s="319" t="s">
        <v>892</v>
      </c>
      <c r="D8" s="174"/>
      <c r="E8" s="82"/>
      <c r="G8" s="116"/>
      <c r="H8" s="82">
        <f t="shared" si="0"/>
        <v>0</v>
      </c>
    </row>
    <row r="9" spans="1:8" x14ac:dyDescent="0.2">
      <c r="B9">
        <v>339600</v>
      </c>
      <c r="C9" t="s">
        <v>465</v>
      </c>
      <c r="D9" s="82"/>
      <c r="E9" s="82"/>
      <c r="H9" s="82">
        <f t="shared" si="0"/>
        <v>0</v>
      </c>
    </row>
    <row r="10" spans="1:8" x14ac:dyDescent="0.2">
      <c r="B10">
        <v>303200</v>
      </c>
      <c r="C10" t="s">
        <v>466</v>
      </c>
      <c r="D10" s="82">
        <f>+'[12]UPIS linkin'!$BA$13</f>
        <v>1117540.9099999999</v>
      </c>
      <c r="E10" s="82"/>
      <c r="H10" s="82">
        <f t="shared" si="0"/>
        <v>1117540.9099999999</v>
      </c>
    </row>
    <row r="11" spans="1:8" x14ac:dyDescent="0.2">
      <c r="B11">
        <v>304100</v>
      </c>
      <c r="C11" t="s">
        <v>467</v>
      </c>
      <c r="D11" s="82">
        <f>+'[12]UPIS linkin'!$BA$17</f>
        <v>21197791.025384642</v>
      </c>
      <c r="E11" s="82">
        <f>+'[12]Accum depr linkin'!$BA17</f>
        <v>-2779696.0012074467</v>
      </c>
      <c r="H11" s="82">
        <f t="shared" si="0"/>
        <v>18418095.024177194</v>
      </c>
    </row>
    <row r="12" spans="1:8" x14ac:dyDescent="0.2">
      <c r="B12">
        <v>305000</v>
      </c>
      <c r="C12" t="s">
        <v>468</v>
      </c>
      <c r="D12" s="82">
        <f>+'[12]UPIS linkin'!$BA$26</f>
        <v>851671.61333333387</v>
      </c>
      <c r="E12" s="82">
        <f>+'[12]Accum depr linkin'!$BA26</f>
        <v>-291448.81191776373</v>
      </c>
      <c r="H12" s="82">
        <f t="shared" si="0"/>
        <v>560222.80141557008</v>
      </c>
    </row>
    <row r="13" spans="1:8" x14ac:dyDescent="0.2">
      <c r="B13">
        <v>306000</v>
      </c>
      <c r="C13" t="s">
        <v>469</v>
      </c>
      <c r="D13" s="82">
        <f>+'[12]UPIS linkin'!$BA$27</f>
        <v>1984278.4857692299</v>
      </c>
      <c r="E13" s="82">
        <f>+'[12]Accum depr linkin'!$BA27</f>
        <v>-457127.36359380902</v>
      </c>
      <c r="H13" s="82">
        <f t="shared" si="0"/>
        <v>1527151.1221754209</v>
      </c>
    </row>
    <row r="14" spans="1:8" x14ac:dyDescent="0.2">
      <c r="B14">
        <v>307000</v>
      </c>
      <c r="C14" t="s">
        <v>470</v>
      </c>
      <c r="D14" s="82"/>
      <c r="E14" s="82"/>
      <c r="H14" s="82">
        <f t="shared" si="0"/>
        <v>0</v>
      </c>
    </row>
    <row r="15" spans="1:8" x14ac:dyDescent="0.2">
      <c r="B15">
        <v>309000</v>
      </c>
      <c r="C15" t="s">
        <v>471</v>
      </c>
      <c r="D15" s="82">
        <f>+'[12]UPIS linkin'!$BA$28</f>
        <v>18571193.686666682</v>
      </c>
      <c r="E15" s="82">
        <f>+'[12]Accum depr linkin'!$BA28</f>
        <v>-4226186.7002100479</v>
      </c>
      <c r="H15" s="82">
        <f t="shared" si="0"/>
        <v>14345006.986456634</v>
      </c>
    </row>
    <row r="16" spans="1:8" x14ac:dyDescent="0.2">
      <c r="B16">
        <v>303300</v>
      </c>
      <c r="C16" t="s">
        <v>472</v>
      </c>
      <c r="D16" s="82">
        <f>+'[12]UPIS linkin'!$BA$14</f>
        <v>277216.12000000005</v>
      </c>
      <c r="E16" s="82">
        <f>+'[12]Accum depr linkin'!$BA14</f>
        <v>0</v>
      </c>
      <c r="H16" s="82">
        <f t="shared" si="0"/>
        <v>277216.12000000005</v>
      </c>
    </row>
    <row r="17" spans="1:9" x14ac:dyDescent="0.2">
      <c r="B17">
        <v>304200</v>
      </c>
      <c r="C17" t="s">
        <v>473</v>
      </c>
      <c r="D17" s="82">
        <f>+'[12]UPIS linkin'!$BA$18</f>
        <v>10082746.72666668</v>
      </c>
      <c r="E17" s="82">
        <f>+'[12]Accum depr linkin'!$BA18</f>
        <v>-2809595.169541108</v>
      </c>
      <c r="H17" s="82">
        <f t="shared" si="0"/>
        <v>7273151.5571255721</v>
      </c>
    </row>
    <row r="18" spans="1:9" x14ac:dyDescent="0.2">
      <c r="B18">
        <v>310000</v>
      </c>
      <c r="C18" t="s">
        <v>882</v>
      </c>
      <c r="D18" s="82">
        <f>+'[12]UPIS linkin'!$BA$29</f>
        <v>3256561.4341025651</v>
      </c>
      <c r="E18" s="82">
        <f>+'[12]Accum depr linkin'!$BA29</f>
        <v>-663206.87933193648</v>
      </c>
      <c r="H18" s="82">
        <f t="shared" si="0"/>
        <v>2593354.5547706285</v>
      </c>
    </row>
    <row r="19" spans="1:9" x14ac:dyDescent="0.2">
      <c r="B19">
        <v>311200</v>
      </c>
      <c r="C19" t="s">
        <v>474</v>
      </c>
      <c r="D19" s="82">
        <f>+'[12]UPIS linkin'!$BA30</f>
        <v>12893361.489615384</v>
      </c>
      <c r="E19" s="82">
        <f>+'[12]Accum depr linkin'!$BA30</f>
        <v>-2721160.6673149099</v>
      </c>
      <c r="H19" s="82">
        <f t="shared" si="0"/>
        <v>10172200.822300475</v>
      </c>
    </row>
    <row r="20" spans="1:9" x14ac:dyDescent="0.2">
      <c r="B20">
        <v>311300</v>
      </c>
      <c r="C20" t="s">
        <v>475</v>
      </c>
      <c r="D20" s="82">
        <f>+'[12]UPIS linkin'!$BA32</f>
        <v>432759.61000000039</v>
      </c>
      <c r="E20" s="82">
        <f>+'[12]Accum depr linkin'!$BA32</f>
        <v>-22625.079855833334</v>
      </c>
      <c r="H20" s="82">
        <f t="shared" si="0"/>
        <v>410134.53014416707</v>
      </c>
    </row>
    <row r="21" spans="1:9" x14ac:dyDescent="0.2">
      <c r="B21">
        <v>311400</v>
      </c>
      <c r="C21" t="s">
        <v>476</v>
      </c>
      <c r="D21" s="82">
        <f>+'[12]UPIS linkin'!$BA33</f>
        <v>7727.880000000001</v>
      </c>
      <c r="E21" s="82">
        <f>+'[12]Accum depr linkin'!$BA33</f>
        <v>-288.106852</v>
      </c>
      <c r="H21" s="82">
        <f t="shared" si="0"/>
        <v>7439.7731480000011</v>
      </c>
    </row>
    <row r="22" spans="1:9" x14ac:dyDescent="0.2">
      <c r="B22">
        <v>311500</v>
      </c>
      <c r="C22" t="s">
        <v>477</v>
      </c>
      <c r="D22" s="82">
        <f>+'[12]UPIS linkin'!$BA34</f>
        <v>-19088.146666666667</v>
      </c>
      <c r="E22" s="82">
        <f>+'[12]Accum depr linkin'!$BA34</f>
        <v>-1243412.7211796443</v>
      </c>
      <c r="H22" s="82">
        <f t="shared" si="0"/>
        <v>-1262500.8678463111</v>
      </c>
    </row>
    <row r="23" spans="1:9" x14ac:dyDescent="0.2">
      <c r="B23">
        <v>311520</v>
      </c>
      <c r="C23" t="s">
        <v>478</v>
      </c>
      <c r="D23" s="82">
        <f>+'[12]UPIS linkin'!$BA31</f>
        <v>15961789.835128205</v>
      </c>
      <c r="E23" s="82">
        <f>+'[12]Accum depr linkin'!$BA31</f>
        <v>-536542.97402051906</v>
      </c>
      <c r="H23" s="82">
        <f t="shared" si="0"/>
        <v>15425246.861107687</v>
      </c>
    </row>
    <row r="24" spans="1:9" s="480" customFormat="1" x14ac:dyDescent="0.2">
      <c r="A24" s="515"/>
      <c r="B24" s="480">
        <v>311530</v>
      </c>
      <c r="C24" s="480" t="s">
        <v>894</v>
      </c>
      <c r="D24" s="82"/>
      <c r="E24" s="82">
        <f>+'[12]Accum depr linkin'!$BA$35</f>
        <v>242.36999999999992</v>
      </c>
      <c r="G24" s="116"/>
      <c r="H24" s="82">
        <f t="shared" si="0"/>
        <v>242.36999999999992</v>
      </c>
    </row>
    <row r="25" spans="1:9" x14ac:dyDescent="0.2">
      <c r="B25">
        <v>311540</v>
      </c>
      <c r="C25" t="s">
        <v>479</v>
      </c>
      <c r="D25" s="82">
        <f>+'[12]UPIS linkin'!$BA36</f>
        <v>89060.120000000097</v>
      </c>
      <c r="E25" s="82">
        <f>+'[12]Accum depr linkin'!$BA36</f>
        <v>70259.737618041545</v>
      </c>
      <c r="H25" s="82">
        <f t="shared" si="0"/>
        <v>159319.85761804163</v>
      </c>
      <c r="I25" s="82"/>
    </row>
    <row r="26" spans="1:9" x14ac:dyDescent="0.2">
      <c r="B26">
        <v>303400</v>
      </c>
      <c r="C26" t="s">
        <v>480</v>
      </c>
      <c r="D26" s="82">
        <f>+'[12]UPIS linkin'!$BA$15</f>
        <v>800183.34</v>
      </c>
      <c r="E26" s="82">
        <f>+'[12]Accum depr linkin'!$BA15</f>
        <v>0</v>
      </c>
      <c r="H26" s="82">
        <f t="shared" si="0"/>
        <v>800183.34</v>
      </c>
    </row>
    <row r="27" spans="1:9" x14ac:dyDescent="0.2">
      <c r="B27">
        <v>304300</v>
      </c>
      <c r="C27" t="s">
        <v>481</v>
      </c>
      <c r="D27" s="82">
        <f>+'[12]UPIS linkin'!$BA$19</f>
        <v>42698644.207333289</v>
      </c>
      <c r="E27" s="82">
        <f>+'[12]Accum depr linkin'!$BA19</f>
        <v>-6146225.8974980926</v>
      </c>
      <c r="H27" s="82">
        <f t="shared" si="0"/>
        <v>36552418.309835196</v>
      </c>
    </row>
    <row r="28" spans="1:9" s="319" customFormat="1" x14ac:dyDescent="0.2">
      <c r="B28" s="319">
        <v>320100</v>
      </c>
      <c r="C28" s="319" t="s">
        <v>482</v>
      </c>
      <c r="D28" s="82">
        <f>+'[12]UPIS linkin'!$BA$37</f>
        <v>46100314.733179532</v>
      </c>
      <c r="E28" s="82">
        <f>+'[12]Accum depr linkin'!$BA37</f>
        <v>-11951445.610387342</v>
      </c>
      <c r="G28" s="404"/>
      <c r="H28" s="174">
        <f t="shared" si="0"/>
        <v>34148869.122792192</v>
      </c>
    </row>
    <row r="29" spans="1:9" s="319" customFormat="1" x14ac:dyDescent="0.2">
      <c r="B29" s="319">
        <v>3201001</v>
      </c>
      <c r="C29" s="319" t="s">
        <v>483</v>
      </c>
      <c r="D29" s="82"/>
      <c r="E29" s="82"/>
      <c r="G29" s="404"/>
      <c r="H29" s="174">
        <f t="shared" si="0"/>
        <v>0</v>
      </c>
    </row>
    <row r="30" spans="1:9" s="319" customFormat="1" x14ac:dyDescent="0.2">
      <c r="B30" s="319">
        <v>320200</v>
      </c>
      <c r="C30" s="319" t="s">
        <v>484</v>
      </c>
      <c r="D30" s="82">
        <f>+'[12]UPIS linkin'!$BA$38</f>
        <v>742339.73000000021</v>
      </c>
      <c r="E30" s="82">
        <f>+'[12]Accum depr linkin'!$BA38</f>
        <v>-903316.14345916605</v>
      </c>
      <c r="G30" s="404"/>
      <c r="H30" s="174">
        <f t="shared" si="0"/>
        <v>-160976.41345916584</v>
      </c>
      <c r="I30" s="174"/>
    </row>
    <row r="31" spans="1:9" s="319" customFormat="1" x14ac:dyDescent="0.2">
      <c r="B31" s="319">
        <v>303500</v>
      </c>
      <c r="C31" s="319" t="s">
        <v>485</v>
      </c>
      <c r="D31" s="174">
        <f>+'[12]UPIS linkin'!$BA$16</f>
        <v>7474952.3199999975</v>
      </c>
      <c r="E31" s="82">
        <f>+'[12]Accum depr linkin'!$BA16</f>
        <v>0</v>
      </c>
      <c r="G31" s="404"/>
      <c r="H31" s="174">
        <f t="shared" si="0"/>
        <v>7474952.3199999975</v>
      </c>
    </row>
    <row r="32" spans="1:9" s="319" customFormat="1" x14ac:dyDescent="0.2">
      <c r="B32" s="319">
        <v>304400</v>
      </c>
      <c r="C32" s="319" t="s">
        <v>486</v>
      </c>
      <c r="D32" s="174">
        <f>+'[12]UPIS linkin'!$BA$20</f>
        <v>936907.83666666772</v>
      </c>
      <c r="E32" s="82">
        <f>+'[12]Accum depr linkin'!$BA20</f>
        <v>-655692.41423043108</v>
      </c>
      <c r="G32" s="404"/>
      <c r="H32" s="174">
        <f t="shared" si="0"/>
        <v>281215.42243623664</v>
      </c>
    </row>
    <row r="33" spans="1:21" s="319" customFormat="1" x14ac:dyDescent="0.2">
      <c r="B33" s="319">
        <v>330000</v>
      </c>
      <c r="C33" s="319" t="s">
        <v>487</v>
      </c>
      <c r="D33" s="174">
        <f>+'[12]UPIS linkin'!$BA39</f>
        <v>1771358.2399999995</v>
      </c>
      <c r="E33" s="82">
        <f>+'[12]Accum depr linkin'!$BA39</f>
        <v>-252469.81721066681</v>
      </c>
      <c r="F33" s="174"/>
      <c r="G33" s="404"/>
      <c r="H33" s="174">
        <f t="shared" si="0"/>
        <v>1518888.4227893327</v>
      </c>
    </row>
    <row r="34" spans="1:21" s="319" customFormat="1" x14ac:dyDescent="0.2">
      <c r="B34" s="319">
        <v>330100</v>
      </c>
      <c r="C34" s="319" t="s">
        <v>488</v>
      </c>
      <c r="D34" s="174">
        <f>+'[12]UPIS linkin'!$BA40</f>
        <v>14165130.553333323</v>
      </c>
      <c r="E34" s="82">
        <f>+'[12]Accum depr linkin'!$BA40</f>
        <v>-4435153.2504054373</v>
      </c>
      <c r="F34" s="174"/>
      <c r="G34" s="404"/>
      <c r="H34" s="174">
        <f t="shared" si="0"/>
        <v>9729977.3029278852</v>
      </c>
      <c r="I34" s="174"/>
      <c r="R34" s="832"/>
      <c r="S34" s="832"/>
      <c r="T34" s="832"/>
    </row>
    <row r="35" spans="1:21" s="319" customFormat="1" x14ac:dyDescent="0.2">
      <c r="B35" s="319">
        <v>330200</v>
      </c>
      <c r="C35" s="319" t="s">
        <v>489</v>
      </c>
      <c r="D35" s="174">
        <f>+'[12]UPIS linkin'!$BA41</f>
        <v>3146708.7205128223</v>
      </c>
      <c r="E35" s="82">
        <f>+'[12]Accum depr linkin'!$BA41</f>
        <v>-280848.53299396817</v>
      </c>
      <c r="F35" s="174"/>
      <c r="G35" s="404"/>
      <c r="H35" s="174">
        <f t="shared" si="0"/>
        <v>2865860.1875188542</v>
      </c>
      <c r="O35" s="833"/>
      <c r="P35" s="833"/>
      <c r="Q35" s="834"/>
      <c r="R35" s="834"/>
      <c r="S35" s="834"/>
      <c r="T35" s="834"/>
      <c r="U35" s="834"/>
    </row>
    <row r="36" spans="1:21" s="319" customFormat="1" x14ac:dyDescent="0.2">
      <c r="A36" s="404"/>
      <c r="B36" s="319">
        <v>330400</v>
      </c>
      <c r="C36" s="319" t="s">
        <v>490</v>
      </c>
      <c r="D36" s="174">
        <f>+'[12]UPIS linkin'!$BA42</f>
        <v>1096315.6099999999</v>
      </c>
      <c r="E36" s="82">
        <f>+'[12]Accum depr linkin'!$BA42</f>
        <v>-173036.17434699999</v>
      </c>
      <c r="G36" s="404"/>
      <c r="H36" s="174">
        <f t="shared" si="0"/>
        <v>923279.43565299991</v>
      </c>
      <c r="I36" s="174"/>
      <c r="J36" s="174">
        <f>SUM(H37:H41)</f>
        <v>210805095.55795035</v>
      </c>
      <c r="L36" s="484"/>
      <c r="O36" s="174"/>
      <c r="P36" s="174"/>
      <c r="Q36" s="174"/>
    </row>
    <row r="37" spans="1:21" s="319" customFormat="1" ht="14.25" customHeight="1" x14ac:dyDescent="0.2">
      <c r="A37" s="404"/>
      <c r="B37" s="319">
        <v>331001</v>
      </c>
      <c r="C37" s="319" t="s">
        <v>884</v>
      </c>
      <c r="D37" s="404">
        <f>+'[12]UPIS linkin'!$BA43</f>
        <v>304540650.92475069</v>
      </c>
      <c r="E37" s="174">
        <f>+'[12]Accum depr linkin'!$BA43</f>
        <v>-46934885.80996453</v>
      </c>
      <c r="F37" s="174">
        <f>+'[8]CIAC link in'!$AY$65</f>
        <v>-21211635.081981227</v>
      </c>
      <c r="G37" s="404">
        <f>+'[12]Advances linkin'!$BA$6</f>
        <v>-14060794.186153848</v>
      </c>
      <c r="H37" s="174">
        <f>+D37+E37+F37+G37</f>
        <v>222333335.84665105</v>
      </c>
      <c r="I37" s="404"/>
      <c r="J37" s="404">
        <v>4227993.4213837516</v>
      </c>
      <c r="K37" s="404"/>
      <c r="L37" s="484"/>
      <c r="P37" s="835"/>
      <c r="Q37" s="404"/>
      <c r="R37" s="174"/>
      <c r="S37" s="174"/>
      <c r="U37" s="174"/>
    </row>
    <row r="38" spans="1:21" s="319" customFormat="1" x14ac:dyDescent="0.2">
      <c r="A38" s="404"/>
      <c r="C38" s="319" t="s">
        <v>883</v>
      </c>
      <c r="D38" s="404">
        <f>+'[12]UPIS linkin'!$BA44</f>
        <v>-2967.8666666666677</v>
      </c>
      <c r="E38" s="174">
        <f>+'[12]Accum depr linkin'!$BA44</f>
        <v>-1106443.919989998</v>
      </c>
      <c r="F38" s="174"/>
      <c r="G38" s="404"/>
      <c r="H38" s="174">
        <f t="shared" ref="H38:H76" si="1">+D38+E38+F38+G38</f>
        <v>-1109411.7866566647</v>
      </c>
      <c r="I38" s="404"/>
      <c r="J38" s="404">
        <v>7416604.0403563138</v>
      </c>
      <c r="K38" s="404"/>
      <c r="L38" s="484"/>
      <c r="P38" s="835"/>
      <c r="Q38" s="404"/>
      <c r="R38" s="174"/>
      <c r="S38" s="174"/>
      <c r="T38" s="174"/>
      <c r="U38" s="174"/>
    </row>
    <row r="39" spans="1:21" s="319" customFormat="1" x14ac:dyDescent="0.2">
      <c r="A39" s="404"/>
      <c r="C39" s="319" t="s">
        <v>885</v>
      </c>
      <c r="D39" s="404">
        <f>+'[12]UPIS linkin'!$BA45</f>
        <v>-515.19999999999993</v>
      </c>
      <c r="E39" s="174">
        <f>+'[12]Accum depr linkin'!$BA45</f>
        <v>-2404205.1057066699</v>
      </c>
      <c r="F39" s="174"/>
      <c r="G39" s="404"/>
      <c r="H39" s="174">
        <f t="shared" si="1"/>
        <v>-2404720.30570667</v>
      </c>
      <c r="I39" s="404"/>
      <c r="J39" s="404">
        <v>57482928.256195366</v>
      </c>
      <c r="K39" s="404"/>
      <c r="L39" s="484"/>
      <c r="P39" s="835"/>
      <c r="Q39" s="404"/>
      <c r="R39" s="174"/>
      <c r="S39" s="174"/>
      <c r="T39" s="174"/>
      <c r="U39" s="174"/>
    </row>
    <row r="40" spans="1:21" s="319" customFormat="1" x14ac:dyDescent="0.2">
      <c r="A40" s="404"/>
      <c r="C40" s="319" t="s">
        <v>886</v>
      </c>
      <c r="D40" s="404">
        <f>+'[12]UPIS linkin'!$BA46</f>
        <v>0</v>
      </c>
      <c r="E40" s="174">
        <f>+'[12]Accum depr linkin'!$BA46</f>
        <v>-1321799.1499999999</v>
      </c>
      <c r="F40" s="174"/>
      <c r="G40" s="404"/>
      <c r="H40" s="174">
        <f t="shared" si="1"/>
        <v>-1321799.1499999999</v>
      </c>
      <c r="I40" s="404"/>
      <c r="J40" s="404">
        <v>53184342.26455041</v>
      </c>
      <c r="K40" s="404"/>
      <c r="L40" s="484"/>
      <c r="P40" s="835"/>
      <c r="Q40" s="404"/>
      <c r="R40" s="174"/>
      <c r="S40" s="174"/>
      <c r="T40" s="174"/>
      <c r="U40" s="174"/>
    </row>
    <row r="41" spans="1:21" s="319" customFormat="1" x14ac:dyDescent="0.2">
      <c r="A41" s="740"/>
      <c r="C41" s="319" t="s">
        <v>887</v>
      </c>
      <c r="D41" s="404">
        <f>+'[12]UPIS linkin'!$BA47</f>
        <v>-506.18666666666655</v>
      </c>
      <c r="E41" s="174">
        <f>+'[12]Accum depr linkin'!$BA47</f>
        <v>-6691802.8596706726</v>
      </c>
      <c r="F41" s="174"/>
      <c r="G41" s="404"/>
      <c r="H41" s="174">
        <f t="shared" si="1"/>
        <v>-6692309.0463373391</v>
      </c>
      <c r="I41" s="404"/>
      <c r="J41" s="404">
        <v>88493227.575464517</v>
      </c>
      <c r="K41" s="404"/>
      <c r="L41" s="484"/>
      <c r="P41" s="835"/>
      <c r="Q41" s="404"/>
      <c r="R41" s="174"/>
      <c r="S41" s="174"/>
      <c r="T41" s="174"/>
      <c r="U41" s="174"/>
    </row>
    <row r="42" spans="1:21" s="319" customFormat="1" x14ac:dyDescent="0.2">
      <c r="A42" s="485"/>
      <c r="B42" s="319">
        <v>333000</v>
      </c>
      <c r="C42" s="319" t="s">
        <v>491</v>
      </c>
      <c r="D42" s="404">
        <f>+'[12]UPIS linkin'!$BA48</f>
        <v>51746247.211948864</v>
      </c>
      <c r="E42" s="82">
        <f>+'[12]Accum depr linkin'!$BA48</f>
        <v>-24327075.76770566</v>
      </c>
      <c r="F42" s="174">
        <f>+'[8]CIAC link in'!$AY$66</f>
        <v>-18757211.991481535</v>
      </c>
      <c r="G42" s="404"/>
      <c r="H42" s="174">
        <f t="shared" si="1"/>
        <v>8661959.4527616687</v>
      </c>
      <c r="I42" s="404"/>
      <c r="J42" s="404">
        <f>SUM(J37:J41)</f>
        <v>210805095.55795035</v>
      </c>
      <c r="K42" s="404"/>
      <c r="L42" s="484"/>
      <c r="R42" s="174"/>
      <c r="U42" s="174"/>
    </row>
    <row r="43" spans="1:21" s="319" customFormat="1" x14ac:dyDescent="0.2">
      <c r="B43" s="319">
        <v>334100</v>
      </c>
      <c r="C43" s="319" t="s">
        <v>492</v>
      </c>
      <c r="D43" s="404">
        <f>+'[12]UPIS linkin'!$BA49</f>
        <v>25385999.895641033</v>
      </c>
      <c r="E43" s="82">
        <f>+'[12]Accum depr linkin'!$BA49</f>
        <v>-1252559.8603536587</v>
      </c>
      <c r="F43" s="174">
        <f>+'[8]CIAC link in'!$AY$67</f>
        <v>-15553091.86016462</v>
      </c>
      <c r="G43" s="404"/>
      <c r="H43" s="174">
        <f t="shared" si="1"/>
        <v>8580348.1751227528</v>
      </c>
      <c r="I43" s="404"/>
      <c r="J43" s="404"/>
      <c r="K43" s="404"/>
      <c r="L43" s="484"/>
    </row>
    <row r="44" spans="1:21" s="319" customFormat="1" x14ac:dyDescent="0.2">
      <c r="B44" s="319">
        <v>334110</v>
      </c>
      <c r="C44" s="319" t="s">
        <v>493</v>
      </c>
      <c r="D44" s="404">
        <f>+'[12]UPIS linkin'!$BA50</f>
        <v>-5450.0666666666657</v>
      </c>
      <c r="E44" s="82">
        <f>+'[12]Accum depr linkin'!$BA50</f>
        <v>-474414.91900659783</v>
      </c>
      <c r="F44" s="174"/>
      <c r="G44" s="404"/>
      <c r="H44" s="174">
        <f t="shared" si="1"/>
        <v>-479864.98567326448</v>
      </c>
      <c r="I44" s="404"/>
      <c r="J44" s="404"/>
      <c r="K44" s="404"/>
      <c r="L44" s="484"/>
    </row>
    <row r="45" spans="1:21" s="319" customFormat="1" x14ac:dyDescent="0.2">
      <c r="B45" s="319">
        <v>334120</v>
      </c>
      <c r="C45" s="319" t="s">
        <v>494</v>
      </c>
      <c r="D45" s="404">
        <f>+'[12]UPIS linkin'!$BA51</f>
        <v>-32037.373333333333</v>
      </c>
      <c r="E45" s="82">
        <f>+'[12]Accum depr linkin'!$BA51</f>
        <v>673394.75872408925</v>
      </c>
      <c r="F45" s="174"/>
      <c r="G45" s="404"/>
      <c r="H45" s="174">
        <f t="shared" si="1"/>
        <v>641357.38539075595</v>
      </c>
      <c r="I45" s="404"/>
      <c r="J45" s="404"/>
      <c r="K45" s="404"/>
      <c r="L45" s="484"/>
    </row>
    <row r="46" spans="1:21" s="319" customFormat="1" x14ac:dyDescent="0.2">
      <c r="B46" s="319">
        <v>334130</v>
      </c>
      <c r="C46" s="319" t="s">
        <v>495</v>
      </c>
      <c r="D46" s="404">
        <f>+'[12]UPIS linkin'!$BA52</f>
        <v>-38012.413333333338</v>
      </c>
      <c r="E46" s="82">
        <f>+'[12]Accum depr linkin'!$BA52</f>
        <v>-526500.87905492994</v>
      </c>
      <c r="F46" s="174"/>
      <c r="G46" s="404"/>
      <c r="H46" s="174">
        <f t="shared" si="1"/>
        <v>-564513.29238826327</v>
      </c>
      <c r="I46" s="404"/>
      <c r="J46" s="404"/>
      <c r="K46" s="404"/>
      <c r="L46" s="484"/>
      <c r="O46" s="836"/>
    </row>
    <row r="47" spans="1:21" s="319" customFormat="1" x14ac:dyDescent="0.2">
      <c r="B47" s="319">
        <v>334131</v>
      </c>
      <c r="C47" s="319" t="s">
        <v>888</v>
      </c>
      <c r="D47" s="404">
        <f>+'[12]UPIS linkin'!$BA53</f>
        <v>-71.16</v>
      </c>
      <c r="E47" s="82">
        <f>+'[12]Accum depr linkin'!$BA53</f>
        <v>-70519.798524791709</v>
      </c>
      <c r="F47" s="174"/>
      <c r="G47" s="404"/>
      <c r="H47" s="174">
        <f t="shared" si="1"/>
        <v>-70590.958524791713</v>
      </c>
      <c r="I47" s="404"/>
      <c r="J47" s="404"/>
      <c r="K47" s="404"/>
      <c r="L47" s="484"/>
      <c r="O47" s="836"/>
    </row>
    <row r="48" spans="1:21" s="319" customFormat="1" x14ac:dyDescent="0.2">
      <c r="B48" s="319">
        <v>334200</v>
      </c>
      <c r="C48" s="319" t="s">
        <v>496</v>
      </c>
      <c r="D48" s="404">
        <f>+'[12]UPIS linkin'!$BA54</f>
        <v>23953447.28333332</v>
      </c>
      <c r="E48" s="82">
        <f>+'[12]Accum depr linkin'!$BA54</f>
        <v>-8438899.8218959458</v>
      </c>
      <c r="F48" s="174"/>
      <c r="G48" s="404"/>
      <c r="H48" s="174">
        <f t="shared" si="1"/>
        <v>15514547.461437374</v>
      </c>
      <c r="I48" s="404"/>
      <c r="J48" s="404"/>
      <c r="K48" s="404"/>
      <c r="L48" s="484"/>
      <c r="R48" s="832"/>
      <c r="S48" s="832"/>
      <c r="T48" s="832"/>
    </row>
    <row r="49" spans="1:29" s="319" customFormat="1" x14ac:dyDescent="0.2">
      <c r="B49" s="319">
        <v>334300</v>
      </c>
      <c r="C49" s="319" t="s">
        <v>497</v>
      </c>
      <c r="D49" s="404">
        <f>+'[12]UPIS linkin'!$BA55</f>
        <v>950066.62000000046</v>
      </c>
      <c r="E49" s="82">
        <f>+'[12]Accum depr linkin'!$BA55</f>
        <v>18948.554109312481</v>
      </c>
      <c r="F49" s="174"/>
      <c r="G49" s="404"/>
      <c r="H49" s="174">
        <f t="shared" si="1"/>
        <v>969015.17410931294</v>
      </c>
      <c r="I49" s="404"/>
      <c r="J49" s="404"/>
      <c r="K49" s="404"/>
      <c r="L49" s="484"/>
      <c r="O49" s="833"/>
      <c r="P49" s="833"/>
      <c r="Q49" s="834"/>
      <c r="R49" s="834"/>
      <c r="S49" s="834"/>
      <c r="T49" s="834"/>
      <c r="U49" s="834"/>
    </row>
    <row r="50" spans="1:29" s="319" customFormat="1" x14ac:dyDescent="0.2">
      <c r="B50" s="319">
        <v>335000</v>
      </c>
      <c r="C50" s="319" t="s">
        <v>498</v>
      </c>
      <c r="D50" s="404">
        <f>+'[12]UPIS linkin'!$BA56</f>
        <v>19923900.267994635</v>
      </c>
      <c r="E50" s="82">
        <f>+'[12]Accum depr linkin'!$BA56</f>
        <v>-4512257.6757786535</v>
      </c>
      <c r="F50" s="174">
        <f>+'[8]CIAC link in'!$AY$68</f>
        <v>-3034495.9069030774</v>
      </c>
      <c r="G50" s="404"/>
      <c r="H50" s="174">
        <f t="shared" si="1"/>
        <v>12377146.685312904</v>
      </c>
      <c r="I50" s="404"/>
      <c r="J50" s="404"/>
      <c r="K50" s="404"/>
      <c r="L50" s="484"/>
      <c r="O50" s="174"/>
      <c r="P50" s="174"/>
      <c r="Q50" s="174"/>
      <c r="W50" s="834"/>
      <c r="X50" s="834"/>
      <c r="Y50" s="834"/>
      <c r="Z50" s="834"/>
      <c r="AA50" s="834"/>
      <c r="AB50" s="834"/>
    </row>
    <row r="51" spans="1:29" s="319" customFormat="1" x14ac:dyDescent="0.2">
      <c r="B51" s="319">
        <v>304500</v>
      </c>
      <c r="C51" s="319" t="s">
        <v>499</v>
      </c>
      <c r="D51" s="404">
        <f>+'[12]UPIS linkin'!$BA21</f>
        <v>5167323.8630769206</v>
      </c>
      <c r="E51" s="82">
        <f>+'[12]Accum depr linkin'!$BA21</f>
        <v>-673042.45238051587</v>
      </c>
      <c r="G51" s="404"/>
      <c r="H51" s="174">
        <f t="shared" si="1"/>
        <v>4494281.410696405</v>
      </c>
      <c r="I51" s="404"/>
      <c r="J51" s="404"/>
      <c r="K51" s="485"/>
      <c r="L51" s="484"/>
      <c r="P51" s="835"/>
      <c r="Q51" s="404"/>
      <c r="R51" s="174"/>
      <c r="S51" s="174"/>
      <c r="U51" s="174"/>
      <c r="W51" s="837"/>
      <c r="X51" s="837"/>
      <c r="Y51" s="837"/>
      <c r="Z51" s="838"/>
      <c r="AA51" s="837"/>
      <c r="AB51" s="837"/>
    </row>
    <row r="52" spans="1:29" s="319" customFormat="1" ht="15" x14ac:dyDescent="0.35">
      <c r="B52" s="319">
        <v>304600</v>
      </c>
      <c r="C52" s="319" t="s">
        <v>500</v>
      </c>
      <c r="D52" s="404">
        <f>+'[12]UPIS linkin'!$BA22+'[12]UPIS linkin'!$BA$23</f>
        <v>5768194.2333333306</v>
      </c>
      <c r="E52" s="82">
        <f>+'[12]Accum depr linkin'!$BA22+'[12]Accum depr linkin'!$BA$23</f>
        <v>-1638285.5243544239</v>
      </c>
      <c r="G52" s="404"/>
      <c r="H52" s="174">
        <f t="shared" si="1"/>
        <v>4129908.7089789067</v>
      </c>
      <c r="I52" s="404"/>
      <c r="J52" s="404"/>
      <c r="K52" s="174"/>
      <c r="P52" s="835"/>
      <c r="Q52" s="404"/>
      <c r="R52" s="174"/>
      <c r="S52" s="174"/>
      <c r="T52" s="174"/>
      <c r="U52" s="174"/>
      <c r="W52" s="839"/>
      <c r="X52" s="839"/>
      <c r="Y52" s="839"/>
      <c r="Z52" s="838"/>
      <c r="AA52" s="839"/>
      <c r="AB52" s="839"/>
    </row>
    <row r="53" spans="1:29" s="319" customFormat="1" x14ac:dyDescent="0.2">
      <c r="B53" s="319">
        <v>304700</v>
      </c>
      <c r="C53" s="319" t="s">
        <v>501</v>
      </c>
      <c r="D53" s="404">
        <f>+'[12]UPIS linkin'!$BA24</f>
        <v>1766443.66</v>
      </c>
      <c r="E53" s="82">
        <f>+'[12]Accum depr linkin'!$BA24</f>
        <v>-492536.88278966618</v>
      </c>
      <c r="F53" s="174"/>
      <c r="G53" s="404"/>
      <c r="H53" s="174">
        <f t="shared" si="1"/>
        <v>1273906.7772103339</v>
      </c>
      <c r="I53" s="404"/>
      <c r="J53" s="404"/>
      <c r="K53" s="404"/>
      <c r="U53" s="174"/>
      <c r="W53" s="837"/>
      <c r="X53" s="837"/>
      <c r="Y53" s="837"/>
      <c r="AA53" s="837"/>
      <c r="AB53" s="837"/>
    </row>
    <row r="54" spans="1:29" s="319" customFormat="1" x14ac:dyDescent="0.2">
      <c r="B54" s="319">
        <v>304800</v>
      </c>
      <c r="C54" s="319" t="s">
        <v>502</v>
      </c>
      <c r="D54" s="404">
        <f>+'[12]UPIS linkin'!$BA25</f>
        <v>1343917.8833333342</v>
      </c>
      <c r="E54" s="82">
        <f>+'[12]Accum depr linkin'!$BA25</f>
        <v>-170478.2754214165</v>
      </c>
      <c r="G54" s="404"/>
      <c r="H54" s="174">
        <f t="shared" si="1"/>
        <v>1173439.6079119178</v>
      </c>
    </row>
    <row r="55" spans="1:29" s="319" customFormat="1" x14ac:dyDescent="0.2">
      <c r="B55" s="319">
        <v>340100</v>
      </c>
      <c r="C55" s="319" t="s">
        <v>503</v>
      </c>
      <c r="D55" s="404">
        <f>+'[12]UPIS linkin'!$BA59</f>
        <v>879904.27820512885</v>
      </c>
      <c r="E55" s="82">
        <f>+'[12]Accum depr linkin'!$BA59</f>
        <v>-295222.61629460461</v>
      </c>
      <c r="G55" s="404"/>
      <c r="H55" s="174">
        <f t="shared" si="1"/>
        <v>584681.66191052424</v>
      </c>
    </row>
    <row r="56" spans="1:29" s="319" customFormat="1" x14ac:dyDescent="0.2">
      <c r="B56" s="319">
        <v>340210</v>
      </c>
      <c r="C56" s="319" t="s">
        <v>504</v>
      </c>
      <c r="D56" s="404">
        <f>+'[12]UPIS linkin'!$BA60</f>
        <v>1854567.9600000007</v>
      </c>
      <c r="E56" s="82">
        <f>+'[12]Accum depr linkin'!$BA60</f>
        <v>-208828.23600000003</v>
      </c>
      <c r="G56" s="404"/>
      <c r="H56" s="174">
        <f t="shared" si="1"/>
        <v>1645739.7240000006</v>
      </c>
    </row>
    <row r="57" spans="1:29" s="319" customFormat="1" x14ac:dyDescent="0.2">
      <c r="B57" s="319">
        <v>340220</v>
      </c>
      <c r="C57" s="319" t="s">
        <v>505</v>
      </c>
      <c r="D57" s="404">
        <f>+'[12]UPIS linkin'!$BA61</f>
        <v>-185402.04000000004</v>
      </c>
      <c r="E57" s="82">
        <f>+'[12]Accum depr linkin'!$BA61</f>
        <v>-160842.34512500011</v>
      </c>
      <c r="G57" s="404"/>
      <c r="H57" s="174">
        <f t="shared" si="1"/>
        <v>-346244.38512500015</v>
      </c>
    </row>
    <row r="58" spans="1:29" s="319" customFormat="1" x14ac:dyDescent="0.2">
      <c r="B58" s="319">
        <v>340230</v>
      </c>
      <c r="C58" s="319" t="s">
        <v>506</v>
      </c>
      <c r="D58" s="404">
        <f>+'[12]UPIS linkin'!$BA62</f>
        <v>-24712.719999999994</v>
      </c>
      <c r="E58" s="82">
        <f>+'[12]Accum depr linkin'!$BA62</f>
        <v>-617888.68641666544</v>
      </c>
      <c r="G58" s="404"/>
      <c r="H58" s="174">
        <f t="shared" si="1"/>
        <v>-642601.40641666541</v>
      </c>
    </row>
    <row r="59" spans="1:29" s="319" customFormat="1" x14ac:dyDescent="0.2">
      <c r="B59" s="319">
        <v>340300</v>
      </c>
      <c r="C59" s="319" t="s">
        <v>889</v>
      </c>
      <c r="D59" s="404">
        <f>+'[12]UPIS linkin'!$BA64</f>
        <v>1566816.8733333349</v>
      </c>
      <c r="E59" s="82">
        <f>+'[12]Accum depr linkin'!$BA64</f>
        <v>774748.74154380313</v>
      </c>
      <c r="G59" s="404"/>
      <c r="H59" s="174">
        <f t="shared" si="1"/>
        <v>2341565.6148771383</v>
      </c>
    </row>
    <row r="60" spans="1:29" s="319" customFormat="1" x14ac:dyDescent="0.2">
      <c r="B60" s="319">
        <v>340315</v>
      </c>
      <c r="C60" s="319" t="s">
        <v>891</v>
      </c>
      <c r="D60" s="404">
        <f>+'[12]UPIS linkin'!$BA65</f>
        <v>11705720.720000001</v>
      </c>
      <c r="E60" s="82">
        <f>+'[12]Accum depr linkin'!$BA65</f>
        <v>-5074097.0126666697</v>
      </c>
      <c r="G60" s="404"/>
      <c r="H60" s="174">
        <f t="shared" si="1"/>
        <v>6631623.707333331</v>
      </c>
    </row>
    <row r="61" spans="1:29" x14ac:dyDescent="0.2">
      <c r="B61">
        <v>340320</v>
      </c>
      <c r="C61" t="s">
        <v>507</v>
      </c>
      <c r="D61" s="404">
        <f>+'[12]UPIS linkin'!$BA66</f>
        <v>0</v>
      </c>
      <c r="E61" s="82">
        <f>+'[12]Accum depr linkin'!$BA66</f>
        <v>-117366.60999999994</v>
      </c>
      <c r="H61" s="82">
        <f t="shared" si="1"/>
        <v>-117366.60999999994</v>
      </c>
      <c r="N61" s="319"/>
      <c r="O61" s="319"/>
      <c r="P61" s="319"/>
      <c r="Q61" s="319"/>
      <c r="R61" s="319"/>
      <c r="S61" s="319"/>
      <c r="T61" s="319"/>
      <c r="U61" s="319"/>
      <c r="V61" s="319"/>
      <c r="W61" s="319"/>
      <c r="X61" s="319"/>
      <c r="Y61" s="319"/>
      <c r="Z61" s="319"/>
      <c r="AA61" s="319"/>
      <c r="AB61" s="319"/>
      <c r="AC61" s="319"/>
    </row>
    <row r="62" spans="1:29" s="480" customFormat="1" x14ac:dyDescent="0.2">
      <c r="A62" s="515"/>
      <c r="B62" s="480">
        <v>340325</v>
      </c>
      <c r="C62" s="480" t="s">
        <v>890</v>
      </c>
      <c r="D62" s="404">
        <f>+'[12]UPIS linkin'!$BA67</f>
        <v>-2222.2266666666669</v>
      </c>
      <c r="E62" s="82">
        <f>+'[12]Accum depr linkin'!$BA67</f>
        <v>-265252.56126388902</v>
      </c>
      <c r="G62" s="116"/>
      <c r="H62" s="82">
        <f t="shared" si="1"/>
        <v>-267474.7879305557</v>
      </c>
      <c r="N62" s="319"/>
      <c r="O62" s="319"/>
      <c r="P62" s="319"/>
      <c r="Q62" s="319"/>
      <c r="R62" s="319"/>
      <c r="S62" s="319"/>
      <c r="T62" s="319"/>
      <c r="U62" s="319"/>
      <c r="V62" s="319"/>
      <c r="W62" s="319"/>
      <c r="X62" s="319"/>
      <c r="Y62" s="319"/>
      <c r="Z62" s="319"/>
      <c r="AA62" s="319"/>
      <c r="AB62" s="319"/>
      <c r="AC62" s="319"/>
    </row>
    <row r="63" spans="1:29" x14ac:dyDescent="0.2">
      <c r="B63">
        <v>340330</v>
      </c>
      <c r="C63" t="s">
        <v>508</v>
      </c>
      <c r="D63" s="404">
        <f>+'[12]UPIS linkin'!$BA68</f>
        <v>-2057.0533333333328</v>
      </c>
      <c r="E63" s="82">
        <f>+'[12]Accum depr linkin'!$BA68</f>
        <v>-107439.05565277788</v>
      </c>
      <c r="H63" s="82">
        <f t="shared" si="1"/>
        <v>-109496.10898611121</v>
      </c>
      <c r="N63" s="319"/>
      <c r="O63" s="319"/>
      <c r="P63" s="319"/>
      <c r="Q63" s="319"/>
      <c r="R63" s="319"/>
      <c r="S63" s="319"/>
      <c r="T63" s="319"/>
      <c r="U63" s="319"/>
      <c r="V63" s="319"/>
      <c r="W63" s="319"/>
      <c r="X63" s="319"/>
      <c r="Y63" s="319"/>
      <c r="Z63" s="319"/>
      <c r="AA63" s="319"/>
      <c r="AB63" s="319"/>
      <c r="AC63" s="319"/>
    </row>
    <row r="64" spans="1:29" x14ac:dyDescent="0.2">
      <c r="B64">
        <v>340500</v>
      </c>
      <c r="C64" t="s">
        <v>509</v>
      </c>
      <c r="D64" s="404">
        <f>+'[12]UPIS linkin'!$BA69</f>
        <v>5516.4066666666658</v>
      </c>
      <c r="E64" s="82">
        <f>+'[12]Accum depr linkin'!$BA69</f>
        <v>3118.3851113611131</v>
      </c>
      <c r="H64" s="82">
        <f t="shared" si="1"/>
        <v>8634.7917780277785</v>
      </c>
      <c r="N64" s="319"/>
      <c r="O64" s="319"/>
      <c r="P64" s="319"/>
      <c r="Q64" s="319"/>
      <c r="R64" s="319"/>
      <c r="S64" s="319"/>
      <c r="T64" s="319"/>
      <c r="U64" s="319"/>
      <c r="V64" s="319"/>
      <c r="W64" s="319"/>
      <c r="X64" s="319"/>
      <c r="Y64" s="319"/>
      <c r="Z64" s="319"/>
      <c r="AA64" s="319"/>
      <c r="AB64" s="319"/>
      <c r="AC64" s="319"/>
    </row>
    <row r="65" spans="2:29" x14ac:dyDescent="0.2">
      <c r="B65">
        <v>341100</v>
      </c>
      <c r="C65" t="s">
        <v>510</v>
      </c>
      <c r="D65" s="404">
        <f>+'[12]UPIS linkin'!$BA70</f>
        <v>1821612.5166666671</v>
      </c>
      <c r="E65" s="82">
        <f>+'[12]Accum depr linkin'!$BA70</f>
        <v>-219760.04416266506</v>
      </c>
      <c r="F65" s="248"/>
      <c r="H65" s="82">
        <f t="shared" si="1"/>
        <v>1601852.472504002</v>
      </c>
      <c r="N65" s="319"/>
      <c r="O65" s="319"/>
      <c r="P65" s="319"/>
      <c r="Q65" s="319"/>
      <c r="R65" s="319"/>
      <c r="S65" s="319"/>
      <c r="T65" s="319"/>
      <c r="U65" s="319"/>
      <c r="V65" s="319"/>
      <c r="W65" s="319"/>
      <c r="X65" s="319"/>
      <c r="Y65" s="319"/>
      <c r="Z65" s="319"/>
      <c r="AA65" s="319"/>
      <c r="AB65" s="319"/>
      <c r="AC65" s="319"/>
    </row>
    <row r="66" spans="2:29" x14ac:dyDescent="0.2">
      <c r="B66">
        <v>341200</v>
      </c>
      <c r="C66" t="s">
        <v>511</v>
      </c>
      <c r="D66" s="404">
        <f>+'[12]UPIS linkin'!$BA71</f>
        <v>2512704.103333334</v>
      </c>
      <c r="E66" s="82">
        <f>+'[12]Accum depr linkin'!$BA71</f>
        <v>-250282.60245152033</v>
      </c>
      <c r="H66" s="82">
        <f t="shared" si="1"/>
        <v>2262421.5008818135</v>
      </c>
      <c r="N66" s="319"/>
      <c r="O66" s="319"/>
      <c r="P66" s="319"/>
      <c r="Q66" s="319"/>
      <c r="R66" s="319"/>
      <c r="S66" s="319"/>
      <c r="T66" s="319"/>
      <c r="U66" s="319"/>
      <c r="V66" s="319"/>
      <c r="W66" s="319"/>
      <c r="X66" s="319"/>
      <c r="Y66" s="319"/>
      <c r="Z66" s="319"/>
      <c r="AA66" s="319"/>
      <c r="AB66" s="319"/>
      <c r="AC66" s="319"/>
    </row>
    <row r="67" spans="2:29" x14ac:dyDescent="0.2">
      <c r="B67">
        <v>341300</v>
      </c>
      <c r="C67" t="s">
        <v>512</v>
      </c>
      <c r="D67" s="404">
        <f>+'[12]UPIS linkin'!$BA72</f>
        <v>330851.26000000013</v>
      </c>
      <c r="E67" s="82">
        <f>+'[12]Accum depr linkin'!$BA72</f>
        <v>-192589.28323361569</v>
      </c>
      <c r="H67" s="82">
        <f t="shared" si="1"/>
        <v>138261.97676638444</v>
      </c>
      <c r="N67" s="319"/>
      <c r="O67" s="319"/>
      <c r="P67" s="319"/>
      <c r="Q67" s="319"/>
      <c r="R67" s="319"/>
      <c r="S67" s="319"/>
      <c r="T67" s="319"/>
      <c r="U67" s="319"/>
      <c r="V67" s="319"/>
      <c r="W67" s="319"/>
      <c r="X67" s="319"/>
      <c r="Y67" s="319"/>
      <c r="Z67" s="319"/>
      <c r="AA67" s="319"/>
      <c r="AB67" s="319"/>
      <c r="AC67" s="319"/>
    </row>
    <row r="68" spans="2:29" x14ac:dyDescent="0.2">
      <c r="B68">
        <v>341400</v>
      </c>
      <c r="C68" t="s">
        <v>513</v>
      </c>
      <c r="D68" s="404">
        <f>+'[12]UPIS linkin'!$BA73</f>
        <v>897299.30333333416</v>
      </c>
      <c r="E68" s="82">
        <f>+'[12]Accum depr linkin'!$BA73</f>
        <v>-265094.62732842407</v>
      </c>
      <c r="H68" s="82">
        <f t="shared" si="1"/>
        <v>632204.67600491014</v>
      </c>
      <c r="N68" s="319"/>
      <c r="O68" s="319"/>
      <c r="P68" s="319"/>
      <c r="Q68" s="319"/>
      <c r="R68" s="319"/>
      <c r="S68" s="319"/>
      <c r="T68" s="319"/>
      <c r="U68" s="319"/>
      <c r="V68" s="319"/>
      <c r="W68" s="319"/>
      <c r="X68" s="319"/>
      <c r="Y68" s="319"/>
      <c r="Z68" s="319"/>
      <c r="AA68" s="319"/>
      <c r="AB68" s="319"/>
      <c r="AC68" s="319"/>
    </row>
    <row r="69" spans="2:29" x14ac:dyDescent="0.2">
      <c r="B69">
        <v>342000</v>
      </c>
      <c r="C69" t="s">
        <v>514</v>
      </c>
      <c r="D69" s="404">
        <f>+'[12]UPIS linkin'!$BA74</f>
        <v>64773.849999999962</v>
      </c>
      <c r="E69" s="82">
        <f>+'[12]Accum depr linkin'!$BA74</f>
        <v>5995.6625416666666</v>
      </c>
      <c r="H69" s="82">
        <f t="shared" si="1"/>
        <v>70769.512541666627</v>
      </c>
    </row>
    <row r="70" spans="2:29" x14ac:dyDescent="0.2">
      <c r="B70">
        <v>343000</v>
      </c>
      <c r="C70" t="s">
        <v>515</v>
      </c>
      <c r="D70" s="404">
        <f>+'[12]UPIS linkin'!$BA75</f>
        <v>2684721.3558974392</v>
      </c>
      <c r="E70" s="82">
        <f>+'[12]Accum depr linkin'!$BA75</f>
        <v>-1021777.278212074</v>
      </c>
      <c r="H70" s="82">
        <f t="shared" si="1"/>
        <v>1662944.0776853652</v>
      </c>
    </row>
    <row r="71" spans="2:29" x14ac:dyDescent="0.2">
      <c r="B71">
        <v>344000</v>
      </c>
      <c r="C71" t="s">
        <v>516</v>
      </c>
      <c r="D71" s="404">
        <f>+'[12]UPIS linkin'!$BA76</f>
        <v>1238805.6900000016</v>
      </c>
      <c r="E71" s="82">
        <f>+'[12]Accum depr linkin'!$BA76</f>
        <v>-345158.45959854132</v>
      </c>
      <c r="H71" s="82">
        <f t="shared" si="1"/>
        <v>893647.23040146031</v>
      </c>
    </row>
    <row r="72" spans="2:29" x14ac:dyDescent="0.2">
      <c r="B72">
        <v>345000</v>
      </c>
      <c r="C72" t="s">
        <v>517</v>
      </c>
      <c r="D72" s="404">
        <f>+'[12]UPIS linkin'!$BA77</f>
        <v>1365836.0866666681</v>
      </c>
      <c r="E72" s="82">
        <f>+'[12]Accum depr linkin'!$BA77</f>
        <v>-902202.32769799931</v>
      </c>
      <c r="H72" s="82">
        <f t="shared" si="1"/>
        <v>463633.75896866876</v>
      </c>
    </row>
    <row r="73" spans="2:29" x14ac:dyDescent="0.2">
      <c r="B73">
        <v>346100</v>
      </c>
      <c r="C73" t="s">
        <v>518</v>
      </c>
      <c r="D73" s="404">
        <f>+'[12]UPIS linkin'!$BA78</f>
        <v>247632.67333333351</v>
      </c>
      <c r="E73" s="82">
        <f>+'[12]Accum depr linkin'!$BA78</f>
        <v>31888.967032034714</v>
      </c>
      <c r="H73" s="82">
        <f t="shared" si="1"/>
        <v>279521.64036536822</v>
      </c>
    </row>
    <row r="74" spans="2:29" x14ac:dyDescent="0.2">
      <c r="B74">
        <v>346190</v>
      </c>
      <c r="C74" t="s">
        <v>519</v>
      </c>
      <c r="D74" s="404">
        <f>+'[12]UPIS linkin'!$BA79</f>
        <v>3723028.8856410258</v>
      </c>
      <c r="E74" s="82">
        <f>+'[12]Accum depr linkin'!$BA79</f>
        <v>-875465.38626717601</v>
      </c>
      <c r="H74" s="82">
        <f t="shared" si="1"/>
        <v>2847563.4993738499</v>
      </c>
    </row>
    <row r="75" spans="2:29" x14ac:dyDescent="0.2">
      <c r="B75">
        <v>346200</v>
      </c>
      <c r="C75" t="s">
        <v>520</v>
      </c>
      <c r="D75" s="404">
        <f>+'[12]UPIS linkin'!$BA80</f>
        <v>87870.343333333352</v>
      </c>
      <c r="E75" s="82">
        <f>+'[12]Accum depr linkin'!$BA80</f>
        <v>96421.277352409699</v>
      </c>
      <c r="H75" s="82">
        <f t="shared" si="1"/>
        <v>184291.62068574305</v>
      </c>
    </row>
    <row r="76" spans="2:29" x14ac:dyDescent="0.2">
      <c r="B76">
        <v>347000</v>
      </c>
      <c r="C76" t="s">
        <v>521</v>
      </c>
      <c r="D76" s="404">
        <f>+'[12]UPIS linkin'!$BA81</f>
        <v>1692272.830000001</v>
      </c>
      <c r="E76" s="82">
        <f>+'[12]Accum depr linkin'!$BA81</f>
        <v>-670587.51552083238</v>
      </c>
      <c r="H76" s="82">
        <f t="shared" si="1"/>
        <v>1021685.3144791686</v>
      </c>
    </row>
    <row r="77" spans="2:29" x14ac:dyDescent="0.2">
      <c r="B77">
        <v>348000</v>
      </c>
      <c r="C77" t="s">
        <v>522</v>
      </c>
      <c r="D77" s="404">
        <f>+'[12]UPIS linkin'!$BA82</f>
        <v>135288.92346153848</v>
      </c>
      <c r="E77" s="82">
        <f>+'[12]Accum depr linkin'!$BA82</f>
        <v>-120750.52764583327</v>
      </c>
      <c r="H77" s="82">
        <f>+D77+E77+F77+G77+E78</f>
        <v>14538.395815705211</v>
      </c>
    </row>
    <row r="78" spans="2:29" x14ac:dyDescent="0.2">
      <c r="B78" s="319">
        <v>354200</v>
      </c>
      <c r="C78" s="319" t="s">
        <v>895</v>
      </c>
      <c r="D78" s="319"/>
      <c r="E78" s="319"/>
      <c r="F78" s="319"/>
      <c r="G78" s="404"/>
      <c r="H78" s="174">
        <f>+(D78+E78+F78+G78)*0</f>
        <v>0</v>
      </c>
    </row>
    <row r="79" spans="2:29" x14ac:dyDescent="0.2">
      <c r="D79" s="116">
        <f>SUM(D5:D78)</f>
        <v>679624591.24725854</v>
      </c>
      <c r="E79" s="116">
        <f>SUM(E5:E78)</f>
        <v>-152076278.86229748</v>
      </c>
      <c r="F79" s="404">
        <f>SUM(F5:F78)</f>
        <v>-58556434.840530463</v>
      </c>
      <c r="G79" s="116">
        <f>SUM(G5:G78)</f>
        <v>-14060794.186153848</v>
      </c>
      <c r="H79" s="116">
        <f>SUM(H5:H78)</f>
        <v>454931083.35827655</v>
      </c>
    </row>
    <row r="80" spans="2:29" x14ac:dyDescent="0.2">
      <c r="D80" s="82">
        <f>+'[12]UPIS linkin'!$BA$83</f>
        <v>679624591.24725854</v>
      </c>
      <c r="E80" s="82">
        <f>+'[12]Accum depr linkin'!$BA$83</f>
        <v>-152076278.86229751</v>
      </c>
      <c r="F80" s="174">
        <f>+'[12]CIAC link in'!$BA$30</f>
        <v>0</v>
      </c>
      <c r="H80" s="248"/>
    </row>
    <row r="81" spans="4:8" x14ac:dyDescent="0.2">
      <c r="D81" s="113">
        <f>+D79-D80</f>
        <v>0</v>
      </c>
      <c r="E81" s="113">
        <f>+E79-E80</f>
        <v>0</v>
      </c>
      <c r="F81" s="113"/>
      <c r="G81" s="113"/>
      <c r="H81" s="113"/>
    </row>
    <row r="82" spans="4:8" x14ac:dyDescent="0.2">
      <c r="E82" s="248"/>
      <c r="F82" s="319"/>
      <c r="H82" s="116"/>
    </row>
    <row r="84" spans="4:8" x14ac:dyDescent="0.2">
      <c r="F84" s="517"/>
      <c r="H84" s="82"/>
    </row>
    <row r="85" spans="4:8" x14ac:dyDescent="0.2">
      <c r="F85" s="248"/>
      <c r="H85" s="82"/>
    </row>
    <row r="88" spans="4:8" x14ac:dyDescent="0.2">
      <c r="F88" s="82"/>
    </row>
    <row r="89" spans="4:8" x14ac:dyDescent="0.2">
      <c r="F89" s="326"/>
    </row>
  </sheetData>
  <phoneticPr fontId="14" type="noConversion"/>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88"/>
  <sheetViews>
    <sheetView tabSelected="1" view="pageLayout" topLeftCell="D1" zoomScaleNormal="100" workbookViewId="0">
      <selection activeCell="M516" sqref="M516"/>
    </sheetView>
  </sheetViews>
  <sheetFormatPr defaultRowHeight="12.75" x14ac:dyDescent="0.2"/>
  <cols>
    <col min="1" max="1" width="9.5546875" style="59" customWidth="1"/>
    <col min="2" max="2" width="10.77734375" style="59" customWidth="1"/>
    <col min="3" max="3" width="11" style="116" customWidth="1"/>
    <col min="4" max="4" width="5.6640625" style="412" bestFit="1" customWidth="1"/>
    <col min="5" max="5" width="1" style="116" customWidth="1"/>
    <col min="6" max="6" width="33.109375" style="63" customWidth="1"/>
    <col min="7" max="7" width="1.44140625" style="63" customWidth="1"/>
    <col min="8" max="8" width="4.6640625" style="74" customWidth="1"/>
    <col min="9" max="9" width="1.44140625" style="59" customWidth="1"/>
    <col min="10" max="10" width="9.6640625" style="77" bestFit="1" customWidth="1"/>
    <col min="11" max="11" width="1.33203125" style="59" customWidth="1"/>
    <col min="12" max="12" width="10.109375" style="77" customWidth="1"/>
    <col min="13" max="13" width="1.109375" style="77" customWidth="1"/>
    <col min="14" max="14" width="9.77734375" style="77" customWidth="1"/>
    <col min="15" max="15" width="1.44140625" style="77" customWidth="1"/>
    <col min="16" max="16" width="9.33203125" style="77" bestFit="1" customWidth="1"/>
    <col min="17" max="17" width="1.5546875" style="77" customWidth="1"/>
    <col min="18" max="18" width="9.33203125" style="77" bestFit="1" customWidth="1"/>
    <col min="19" max="19" width="1.44140625" style="77" customWidth="1"/>
    <col min="20" max="20" width="8.88671875" style="77" customWidth="1"/>
    <col min="21" max="21" width="1.21875" style="77" customWidth="1"/>
    <col min="22" max="22" width="9" style="77" customWidth="1"/>
    <col min="23" max="23" width="1.33203125" style="77" customWidth="1"/>
    <col min="24" max="24" width="9.6640625" style="77" customWidth="1"/>
    <col min="25" max="25" width="2.44140625" customWidth="1"/>
    <col min="26" max="26" width="9.33203125" customWidth="1"/>
    <col min="27" max="27" width="12.33203125" customWidth="1"/>
    <col min="28" max="28" width="1.77734375" customWidth="1"/>
    <col min="29" max="29" width="40.6640625" style="59" bestFit="1" customWidth="1"/>
    <col min="30" max="30" width="1.33203125" customWidth="1"/>
    <col min="31" max="31" width="4" customWidth="1"/>
    <col min="32" max="32" width="1.6640625" customWidth="1"/>
    <col min="33" max="33" width="10.77734375" bestFit="1" customWidth="1"/>
    <col min="34" max="34" width="2.5546875" customWidth="1"/>
    <col min="35" max="35" width="10.77734375" bestFit="1" customWidth="1"/>
    <col min="36" max="36" width="0.88671875" customWidth="1"/>
    <col min="37" max="37" width="10.77734375" bestFit="1" customWidth="1"/>
    <col min="38" max="38" width="1.21875" customWidth="1"/>
    <col min="39" max="39" width="9.6640625" customWidth="1"/>
    <col min="40" max="40" width="1.21875" customWidth="1"/>
    <col min="41" max="41" width="10.109375" customWidth="1"/>
    <col min="42" max="42" width="0.88671875" customWidth="1"/>
    <col min="43" max="43" width="11.109375" customWidth="1"/>
    <col min="44" max="44" width="0.88671875" customWidth="1"/>
    <col min="45" max="45" width="10.77734375" customWidth="1"/>
    <col min="46" max="46" width="1.33203125" customWidth="1"/>
    <col min="47" max="47" width="10.77734375" customWidth="1"/>
    <col min="48" max="48" width="0.77734375" customWidth="1"/>
    <col min="49" max="49" width="9.77734375" customWidth="1"/>
    <col min="50" max="50" width="0.77734375" customWidth="1"/>
    <col min="51" max="51" width="9.77734375" customWidth="1"/>
    <col min="52" max="52" width="3.21875" customWidth="1"/>
    <col min="53" max="53" width="10.21875" customWidth="1"/>
  </cols>
  <sheetData>
    <row r="1" spans="1:56" s="64" customFormat="1" ht="15" x14ac:dyDescent="0.2">
      <c r="C1" s="159"/>
      <c r="D1" s="408"/>
      <c r="E1" s="159"/>
      <c r="F1" s="846" t="s">
        <v>7</v>
      </c>
      <c r="G1" s="846"/>
      <c r="H1" s="846"/>
      <c r="I1" s="846"/>
      <c r="J1" s="846"/>
      <c r="K1" s="846"/>
      <c r="L1" s="846"/>
      <c r="M1" s="846"/>
      <c r="N1" s="846"/>
      <c r="O1" s="846"/>
      <c r="P1" s="846"/>
      <c r="Q1" s="846"/>
      <c r="R1" s="846"/>
      <c r="S1" s="846"/>
      <c r="T1" s="846"/>
      <c r="U1" s="846"/>
      <c r="V1" s="846"/>
      <c r="W1" s="846"/>
      <c r="X1" s="846"/>
      <c r="AC1" s="364" t="s">
        <v>7</v>
      </c>
      <c r="AD1" s="364"/>
      <c r="AE1" s="364"/>
      <c r="AF1" s="364"/>
      <c r="AG1" s="364"/>
      <c r="AH1" s="364"/>
      <c r="AI1" s="364"/>
      <c r="AJ1" s="364"/>
      <c r="AK1" s="364"/>
      <c r="AL1" s="364"/>
      <c r="AM1" s="364"/>
      <c r="AN1" s="364"/>
      <c r="AO1" s="364"/>
      <c r="AP1" s="364"/>
      <c r="AQ1" s="364"/>
      <c r="AR1" s="364"/>
      <c r="AS1" s="364"/>
      <c r="AT1" s="364"/>
      <c r="AU1" s="364"/>
      <c r="AV1" s="364"/>
      <c r="AW1" s="364"/>
      <c r="AX1" s="364"/>
      <c r="AY1" s="364"/>
    </row>
    <row r="2" spans="1:56" s="64" customFormat="1" ht="13.5" customHeight="1" x14ac:dyDescent="0.2">
      <c r="C2" s="159"/>
      <c r="D2" s="408"/>
      <c r="E2" s="159"/>
      <c r="F2" s="844"/>
      <c r="G2" s="844"/>
      <c r="H2" s="844"/>
      <c r="I2" s="844"/>
      <c r="J2" s="844"/>
      <c r="K2" s="844"/>
      <c r="L2" s="844"/>
      <c r="M2" s="844"/>
      <c r="N2" s="844"/>
      <c r="O2" s="844"/>
      <c r="P2" s="844"/>
      <c r="Q2" s="844"/>
      <c r="R2" s="844"/>
      <c r="S2" s="844"/>
      <c r="T2" s="844"/>
      <c r="U2" s="844"/>
      <c r="V2" s="844"/>
      <c r="W2" s="844"/>
      <c r="X2" s="844"/>
      <c r="AC2" s="844"/>
      <c r="AD2" s="844"/>
      <c r="AE2" s="844"/>
      <c r="AF2" s="844"/>
      <c r="AG2" s="844"/>
      <c r="AH2" s="844"/>
      <c r="AI2" s="844"/>
      <c r="AJ2" s="844"/>
      <c r="AK2" s="844"/>
      <c r="AL2" s="844"/>
      <c r="AM2" s="844"/>
      <c r="AN2" s="844"/>
      <c r="AO2" s="844"/>
      <c r="AP2" s="844"/>
      <c r="AQ2" s="844"/>
      <c r="AR2" s="844"/>
      <c r="AS2" s="844"/>
      <c r="AT2" s="844"/>
      <c r="AU2" s="844"/>
      <c r="AV2" s="364"/>
      <c r="AW2" s="364"/>
      <c r="AX2" s="364"/>
      <c r="AY2" s="364"/>
    </row>
    <row r="3" spans="1:56" s="64" customFormat="1" ht="16.149999999999999" customHeight="1" x14ac:dyDescent="0.2">
      <c r="C3" s="159"/>
      <c r="D3" s="408"/>
      <c r="E3" s="159"/>
      <c r="F3" s="847" t="s">
        <v>977</v>
      </c>
      <c r="G3" s="846"/>
      <c r="H3" s="846"/>
      <c r="I3" s="846"/>
      <c r="J3" s="846"/>
      <c r="K3" s="846"/>
      <c r="L3" s="846"/>
      <c r="M3" s="846"/>
      <c r="N3" s="846"/>
      <c r="O3" s="846"/>
      <c r="P3" s="846"/>
      <c r="Q3" s="846"/>
      <c r="R3" s="846"/>
      <c r="S3" s="846"/>
      <c r="T3" s="846"/>
      <c r="U3" s="846"/>
      <c r="V3" s="846"/>
      <c r="W3" s="846"/>
      <c r="X3" s="846"/>
      <c r="AC3" s="775" t="s">
        <v>978</v>
      </c>
      <c r="AD3" s="364"/>
      <c r="AE3" s="364"/>
      <c r="AF3" s="364"/>
      <c r="AG3" s="364"/>
      <c r="AH3" s="364"/>
      <c r="AI3" s="364"/>
      <c r="AJ3" s="364"/>
      <c r="AK3" s="364"/>
      <c r="AL3" s="364"/>
      <c r="AM3" s="364"/>
      <c r="AN3" s="364"/>
      <c r="AO3" s="364"/>
      <c r="AP3" s="364"/>
      <c r="AQ3" s="364"/>
      <c r="AR3" s="364"/>
      <c r="AS3" s="364"/>
      <c r="AT3" s="364"/>
      <c r="AU3" s="364"/>
      <c r="AV3" s="364"/>
      <c r="AW3" s="364"/>
      <c r="AX3" s="364"/>
      <c r="AY3" s="364"/>
    </row>
    <row r="4" spans="1:56" s="64" customFormat="1" ht="11.85" customHeight="1" x14ac:dyDescent="0.2">
      <c r="C4" s="159"/>
      <c r="D4" s="408"/>
      <c r="E4" s="159"/>
      <c r="F4" s="97"/>
      <c r="G4" s="97"/>
      <c r="H4" s="97"/>
      <c r="I4" s="97"/>
      <c r="J4" s="97"/>
      <c r="K4" s="97"/>
      <c r="L4" s="97"/>
      <c r="M4" s="97"/>
      <c r="N4" s="97"/>
      <c r="O4" s="97"/>
      <c r="P4" s="97"/>
      <c r="Q4" s="97"/>
      <c r="R4" s="97"/>
      <c r="S4" s="97"/>
      <c r="T4" s="97"/>
      <c r="U4" s="97"/>
      <c r="V4" s="97"/>
      <c r="W4" s="97"/>
      <c r="X4" s="97"/>
    </row>
    <row r="5" spans="1:56" s="60" customFormat="1" ht="7.9" customHeight="1" x14ac:dyDescent="0.2">
      <c r="C5" s="401"/>
      <c r="D5" s="409"/>
      <c r="E5" s="401"/>
      <c r="F5" s="65"/>
      <c r="G5" s="65"/>
      <c r="H5" s="73"/>
      <c r="I5" s="65"/>
      <c r="J5" s="78"/>
      <c r="K5" s="65"/>
      <c r="L5" s="78"/>
      <c r="M5" s="79"/>
      <c r="N5"/>
      <c r="O5"/>
      <c r="P5"/>
      <c r="Q5"/>
      <c r="R5"/>
      <c r="S5"/>
      <c r="T5"/>
      <c r="U5"/>
      <c r="V5"/>
      <c r="W5"/>
      <c r="X5"/>
    </row>
    <row r="6" spans="1:56" s="60" customFormat="1" ht="15" customHeight="1" x14ac:dyDescent="0.2">
      <c r="C6" s="401"/>
      <c r="D6" s="409"/>
      <c r="E6" s="401"/>
      <c r="F6" s="65"/>
      <c r="G6" s="65"/>
      <c r="H6" s="73" t="s">
        <v>204</v>
      </c>
      <c r="I6" s="65"/>
      <c r="J6" s="78" t="s">
        <v>151</v>
      </c>
      <c r="K6" s="65"/>
      <c r="L6" s="78"/>
      <c r="M6" s="79"/>
      <c r="N6"/>
      <c r="O6"/>
      <c r="P6"/>
      <c r="Q6"/>
      <c r="R6" s="67" t="s">
        <v>375</v>
      </c>
      <c r="S6" s="67"/>
      <c r="T6" s="67" t="s">
        <v>334</v>
      </c>
      <c r="U6" s="67"/>
      <c r="V6" s="845" t="s">
        <v>251</v>
      </c>
      <c r="W6" s="845"/>
      <c r="X6" s="845"/>
      <c r="AC6" s="65"/>
      <c r="AD6" s="65"/>
      <c r="AE6" s="73" t="s">
        <v>204</v>
      </c>
      <c r="AF6" s="65"/>
      <c r="AG6" s="78" t="s">
        <v>151</v>
      </c>
      <c r="AS6" s="60" t="s">
        <v>442</v>
      </c>
      <c r="AU6" s="60" t="s">
        <v>578</v>
      </c>
      <c r="AW6" s="60" t="s">
        <v>154</v>
      </c>
      <c r="AY6" s="60" t="s">
        <v>576</v>
      </c>
    </row>
    <row r="7" spans="1:56" s="67" customFormat="1" ht="11.85" customHeight="1" x14ac:dyDescent="0.2">
      <c r="A7" s="60"/>
      <c r="B7" s="60"/>
      <c r="C7" s="401"/>
      <c r="D7" s="410" t="s">
        <v>152</v>
      </c>
      <c r="E7" s="406"/>
      <c r="F7" s="407"/>
      <c r="G7" s="66"/>
      <c r="H7" s="76" t="s">
        <v>150</v>
      </c>
      <c r="I7" s="65"/>
      <c r="J7" s="81" t="s">
        <v>338</v>
      </c>
      <c r="K7" s="65"/>
      <c r="L7" s="81" t="s">
        <v>208</v>
      </c>
      <c r="M7" s="79"/>
      <c r="N7" s="80" t="s">
        <v>209</v>
      </c>
      <c r="O7" s="79"/>
      <c r="P7" s="80" t="s">
        <v>210</v>
      </c>
      <c r="Q7" s="79"/>
      <c r="R7" s="80" t="s">
        <v>157</v>
      </c>
      <c r="S7" s="79"/>
      <c r="T7" s="80" t="s">
        <v>335</v>
      </c>
      <c r="U7" s="79"/>
      <c r="V7" s="80" t="s">
        <v>153</v>
      </c>
      <c r="W7" s="79"/>
      <c r="X7" s="80" t="s">
        <v>375</v>
      </c>
      <c r="AC7" s="68" t="s">
        <v>152</v>
      </c>
      <c r="AD7" s="66"/>
      <c r="AE7" s="76" t="s">
        <v>150</v>
      </c>
      <c r="AF7" s="65"/>
      <c r="AG7" s="81" t="s">
        <v>338</v>
      </c>
      <c r="AI7" s="365" t="s">
        <v>439</v>
      </c>
      <c r="AJ7" s="60"/>
      <c r="AK7" s="365" t="s">
        <v>440</v>
      </c>
      <c r="AL7" s="60"/>
      <c r="AM7" s="365" t="s">
        <v>441</v>
      </c>
      <c r="AN7" s="60"/>
      <c r="AO7" s="365" t="s">
        <v>395</v>
      </c>
      <c r="AP7" s="60"/>
      <c r="AQ7" s="365" t="s">
        <v>342</v>
      </c>
      <c r="AR7" s="60"/>
      <c r="AS7" s="365" t="s">
        <v>443</v>
      </c>
      <c r="AT7" s="60"/>
      <c r="AU7" s="365" t="s">
        <v>579</v>
      </c>
      <c r="AV7" s="60"/>
      <c r="AW7" s="365" t="s">
        <v>338</v>
      </c>
      <c r="AX7" s="60"/>
      <c r="AY7" s="365" t="s">
        <v>338</v>
      </c>
      <c r="AZ7" s="60"/>
      <c r="BA7" s="60"/>
    </row>
    <row r="8" spans="1:56" s="75" customFormat="1" ht="14.25" customHeight="1" x14ac:dyDescent="0.2">
      <c r="A8" s="74"/>
      <c r="B8" s="74"/>
      <c r="C8" s="401"/>
      <c r="D8" s="842" t="s">
        <v>205</v>
      </c>
      <c r="E8" s="843"/>
      <c r="F8" s="843"/>
      <c r="G8" s="72"/>
      <c r="H8" s="71">
        <v>-2</v>
      </c>
      <c r="I8" s="73"/>
      <c r="J8" s="78">
        <v>-3</v>
      </c>
      <c r="K8" s="73"/>
      <c r="L8" s="78">
        <v>-4</v>
      </c>
      <c r="M8" s="79"/>
      <c r="N8" s="79">
        <v>-5</v>
      </c>
      <c r="O8" s="79"/>
      <c r="P8" s="79">
        <v>-6</v>
      </c>
      <c r="Q8" s="79"/>
      <c r="R8" s="79">
        <v>-7</v>
      </c>
      <c r="S8" s="79"/>
      <c r="T8" s="79">
        <v>-8</v>
      </c>
      <c r="U8" s="79"/>
      <c r="V8" s="79">
        <v>-9</v>
      </c>
      <c r="W8" s="79"/>
      <c r="X8" s="79">
        <v>-10</v>
      </c>
      <c r="AC8" s="71">
        <v>-1</v>
      </c>
      <c r="AD8" s="72"/>
      <c r="AE8" s="71">
        <v>-2</v>
      </c>
      <c r="AF8" s="73"/>
      <c r="AG8" s="78">
        <v>-3</v>
      </c>
      <c r="AH8" s="72"/>
      <c r="AI8" s="71">
        <v>-4</v>
      </c>
      <c r="AJ8" s="73"/>
      <c r="AK8" s="78">
        <v>-5</v>
      </c>
      <c r="AL8" s="72"/>
      <c r="AM8" s="71">
        <v>-6</v>
      </c>
      <c r="AN8" s="73"/>
      <c r="AO8" s="78">
        <v>-7</v>
      </c>
      <c r="AP8" s="72"/>
      <c r="AQ8" s="71">
        <v>-8</v>
      </c>
      <c r="AR8" s="73"/>
      <c r="AS8" s="78">
        <v>-9</v>
      </c>
      <c r="AT8" s="72"/>
      <c r="AU8" s="71">
        <v>-10</v>
      </c>
      <c r="AV8" s="73"/>
      <c r="AW8" s="78">
        <v>-11</v>
      </c>
      <c r="AX8" s="72"/>
      <c r="AY8" s="71">
        <v>-12</v>
      </c>
      <c r="AZ8" s="74"/>
      <c r="BA8" s="74"/>
    </row>
    <row r="9" spans="1:56" s="67" customFormat="1" ht="9" customHeight="1" x14ac:dyDescent="0.2">
      <c r="A9" s="60"/>
      <c r="B9" s="60"/>
      <c r="C9" s="402"/>
      <c r="D9" s="411"/>
      <c r="E9" s="402"/>
      <c r="F9" s="66"/>
      <c r="G9" s="66"/>
      <c r="H9" s="71"/>
      <c r="I9" s="65"/>
      <c r="J9" s="78"/>
      <c r="K9" s="65"/>
      <c r="L9" s="78"/>
      <c r="M9" s="79"/>
      <c r="N9" s="79"/>
      <c r="O9" s="79"/>
      <c r="P9" s="79"/>
      <c r="Q9" s="79"/>
      <c r="R9" s="79"/>
      <c r="S9" s="79"/>
      <c r="T9" s="79"/>
      <c r="U9" s="79"/>
      <c r="V9" s="79"/>
      <c r="W9" s="79"/>
      <c r="X9" s="79"/>
      <c r="AC9" s="60"/>
    </row>
    <row r="10" spans="1:56" x14ac:dyDescent="0.2">
      <c r="F10" s="117" t="s">
        <v>149</v>
      </c>
      <c r="G10" s="61"/>
      <c r="H10" s="73"/>
      <c r="I10" s="62"/>
      <c r="J10" s="69"/>
      <c r="K10" s="62"/>
      <c r="L10" s="69"/>
      <c r="AC10" s="117" t="s">
        <v>149</v>
      </c>
    </row>
    <row r="11" spans="1:56" ht="7.9" customHeight="1" x14ac:dyDescent="0.2">
      <c r="F11" s="61" t="s">
        <v>421</v>
      </c>
      <c r="G11" s="61"/>
      <c r="H11" s="73"/>
      <c r="I11" s="62"/>
      <c r="J11" s="69"/>
      <c r="K11" s="62"/>
      <c r="L11" s="69"/>
      <c r="AC11" s="61" t="s">
        <v>421</v>
      </c>
    </row>
    <row r="12" spans="1:56" x14ac:dyDescent="0.2">
      <c r="F12" s="307" t="s">
        <v>148</v>
      </c>
      <c r="G12" s="61"/>
      <c r="H12" s="181"/>
      <c r="I12" s="62"/>
      <c r="J12" s="69"/>
      <c r="K12" s="62"/>
      <c r="L12" s="69"/>
      <c r="AC12" s="120" t="s">
        <v>148</v>
      </c>
    </row>
    <row r="13" spans="1:56" x14ac:dyDescent="0.2">
      <c r="A13" s="177"/>
      <c r="B13" s="177"/>
      <c r="F13" s="120" t="s">
        <v>97</v>
      </c>
      <c r="G13" s="107"/>
      <c r="H13" s="181"/>
      <c r="I13" s="62"/>
      <c r="J13" s="111"/>
      <c r="K13" s="111"/>
      <c r="L13" s="111"/>
      <c r="M13" s="112"/>
      <c r="N13" s="111"/>
      <c r="O13" s="112"/>
      <c r="P13" s="111"/>
      <c r="Q13" s="112"/>
      <c r="R13" s="111"/>
      <c r="S13" s="112"/>
      <c r="T13" s="111"/>
      <c r="U13" s="112"/>
      <c r="V13" s="111"/>
      <c r="W13" s="112"/>
      <c r="X13" s="111"/>
      <c r="Z13" s="99"/>
      <c r="AC13" s="120" t="s">
        <v>97</v>
      </c>
      <c r="AE13" s="154"/>
      <c r="AG13" s="82"/>
      <c r="AI13" s="69"/>
      <c r="AJ13" s="69"/>
      <c r="AK13" s="69"/>
      <c r="AL13" s="69"/>
      <c r="AM13" s="69"/>
      <c r="AN13" s="69"/>
      <c r="AO13" s="69"/>
      <c r="AP13" s="69"/>
      <c r="AQ13" s="69"/>
      <c r="AR13" s="69"/>
      <c r="AS13" s="69"/>
      <c r="AT13" s="69"/>
      <c r="AU13" s="69"/>
      <c r="AV13" s="69"/>
      <c r="AW13" s="69"/>
      <c r="AX13" s="69"/>
      <c r="AY13" s="69"/>
      <c r="BA13" s="99"/>
    </row>
    <row r="14" spans="1:56" x14ac:dyDescent="0.2">
      <c r="A14" s="177"/>
      <c r="B14" s="177"/>
      <c r="C14" s="116">
        <f>+Linkin!$L$44</f>
        <v>230255</v>
      </c>
      <c r="D14" s="412">
        <v>610.1</v>
      </c>
      <c r="F14" s="120" t="s">
        <v>588</v>
      </c>
      <c r="G14" s="107"/>
      <c r="H14" s="181">
        <v>1</v>
      </c>
      <c r="I14" s="62"/>
      <c r="J14" s="231">
        <f t="shared" ref="J14:J19" si="0">+C14</f>
        <v>230255</v>
      </c>
      <c r="K14" s="111"/>
      <c r="L14" s="115">
        <f t="shared" ref="L14:L19" si="1">(VLOOKUP($H14,Factors,L$381))*$J14</f>
        <v>113078.23049999999</v>
      </c>
      <c r="M14" s="230"/>
      <c r="N14" s="115">
        <f t="shared" ref="N14:N19" si="2">(VLOOKUP($H14,Factors,N$381))*$J14</f>
        <v>70803.412500000006</v>
      </c>
      <c r="O14" s="230"/>
      <c r="P14" s="115">
        <f t="shared" ref="P14:P19" si="3">(VLOOKUP($H14,Factors,P$381))*$J14</f>
        <v>12548.897499999999</v>
      </c>
      <c r="Q14" s="230"/>
      <c r="R14" s="115">
        <f t="shared" ref="R14:R19" si="4">(VLOOKUP($H14,Factors,R$381))*$J14</f>
        <v>24245.851500000001</v>
      </c>
      <c r="S14" s="230"/>
      <c r="T14" s="115">
        <f t="shared" ref="T14:T19" si="5">(VLOOKUP($H14,Factors,T$381))*$J14</f>
        <v>8174.0524999999989</v>
      </c>
      <c r="U14" s="230"/>
      <c r="V14" s="115">
        <f t="shared" ref="V14:V19" si="6">(VLOOKUP($H14,Factors,V$381))*$J14</f>
        <v>644.71399999999994</v>
      </c>
      <c r="W14" s="230"/>
      <c r="X14" s="115">
        <f t="shared" ref="X14:X19" si="7">(VLOOKUP($H14,Factors,X$381))*$J14</f>
        <v>759.8415</v>
      </c>
      <c r="Y14" s="116"/>
      <c r="Z14" s="116">
        <f t="shared" ref="Z14:Z16" si="8">SUM(L14:X14)-J14</f>
        <v>0</v>
      </c>
      <c r="AC14" s="120" t="s">
        <v>588</v>
      </c>
      <c r="AE14" s="154">
        <f t="shared" ref="AE14:AE19" si="9">+H14</f>
        <v>1</v>
      </c>
      <c r="AG14" s="231">
        <f t="shared" ref="AG14:AG19" si="10">+J14</f>
        <v>230255</v>
      </c>
      <c r="AH14" s="111"/>
      <c r="AI14" s="115">
        <f t="shared" ref="AI14:AI19" si="11">(VLOOKUP($AE14,func,AI$381))*$AG14</f>
        <v>228850.44450000001</v>
      </c>
      <c r="AJ14" s="230"/>
      <c r="AK14" s="115">
        <f t="shared" ref="AK14:AK19" si="12">(VLOOKUP($AE14,func,AK$381))*$AG14</f>
        <v>0</v>
      </c>
      <c r="AL14" s="230"/>
      <c r="AM14" s="115">
        <f t="shared" ref="AM14:AM19" si="13">(VLOOKUP($AE14,func,AM$381))*$AG14</f>
        <v>0</v>
      </c>
      <c r="AN14" s="230"/>
      <c r="AO14" s="115">
        <f t="shared" ref="AO14:AO19" si="14">(VLOOKUP($AE14,func,AO$381))*$AG14</f>
        <v>0</v>
      </c>
      <c r="AP14" s="230"/>
      <c r="AQ14" s="115">
        <f t="shared" ref="AQ14:AQ19" si="15">(VLOOKUP($AE14,func,AQ$381))*$AG14</f>
        <v>0</v>
      </c>
      <c r="AR14" s="230"/>
      <c r="AS14" s="115">
        <f t="shared" ref="AS14:AS19" si="16">(VLOOKUP($AE14,func,AS$381))*$AG14</f>
        <v>0</v>
      </c>
      <c r="AT14" s="230"/>
      <c r="AU14" s="115">
        <f t="shared" ref="AU14:AU19" si="17">(VLOOKUP($AE14,func,AU$381))*$AG14</f>
        <v>0</v>
      </c>
      <c r="AV14" s="69"/>
      <c r="AW14" s="69">
        <f t="shared" ref="AW14:AW19" si="18">(VLOOKUP($AE14,func,AW$381))*$AG14</f>
        <v>644.71399999999994</v>
      </c>
      <c r="AX14" s="69"/>
      <c r="AY14" s="69">
        <f t="shared" ref="AY14:AY19" si="19">(VLOOKUP($AE14,func,AY$381))*$AG14</f>
        <v>759.8415</v>
      </c>
      <c r="AZ14" s="459"/>
      <c r="BA14" s="99">
        <f t="shared" ref="BA14:BA74" si="20">SUM(AI14:AY14)-AG14</f>
        <v>0</v>
      </c>
      <c r="BB14" s="82"/>
      <c r="BC14" s="82"/>
      <c r="BD14" s="82"/>
    </row>
    <row r="15" spans="1:56" s="392" customFormat="1" x14ac:dyDescent="0.2">
      <c r="A15" s="177"/>
      <c r="B15" s="177"/>
      <c r="C15" s="116">
        <f>+Linkin!$L$47</f>
        <v>197891.53705887147</v>
      </c>
      <c r="D15" s="412">
        <v>615.1</v>
      </c>
      <c r="E15" s="116"/>
      <c r="F15" s="120" t="s">
        <v>589</v>
      </c>
      <c r="G15" s="107"/>
      <c r="H15" s="181">
        <v>1</v>
      </c>
      <c r="I15" s="62"/>
      <c r="J15" s="231">
        <f t="shared" ref="J15" si="21">+C15</f>
        <v>197891.53705887147</v>
      </c>
      <c r="K15" s="111"/>
      <c r="L15" s="115">
        <f t="shared" si="1"/>
        <v>97184.533849611777</v>
      </c>
      <c r="M15" s="230"/>
      <c r="N15" s="115">
        <f t="shared" si="2"/>
        <v>60851.647645602978</v>
      </c>
      <c r="O15" s="230"/>
      <c r="P15" s="115">
        <f t="shared" si="3"/>
        <v>10785.088769708495</v>
      </c>
      <c r="Q15" s="230"/>
      <c r="R15" s="115">
        <f t="shared" si="4"/>
        <v>20837.978852299166</v>
      </c>
      <c r="S15" s="230"/>
      <c r="T15" s="115">
        <f t="shared" si="5"/>
        <v>7025.1495655899371</v>
      </c>
      <c r="U15" s="230"/>
      <c r="V15" s="115">
        <f t="shared" si="6"/>
        <v>554.09630376484017</v>
      </c>
      <c r="W15" s="230"/>
      <c r="X15" s="115">
        <f t="shared" si="7"/>
        <v>653.04207229427584</v>
      </c>
      <c r="Y15" s="116"/>
      <c r="Z15" s="116">
        <f t="shared" si="8"/>
        <v>0</v>
      </c>
      <c r="AC15" s="120" t="s">
        <v>589</v>
      </c>
      <c r="AE15" s="154">
        <f t="shared" si="9"/>
        <v>1</v>
      </c>
      <c r="AG15" s="231">
        <f t="shared" si="10"/>
        <v>197891.53705887147</v>
      </c>
      <c r="AH15" s="111"/>
      <c r="AI15" s="115">
        <f t="shared" si="11"/>
        <v>196684.39868281235</v>
      </c>
      <c r="AJ15" s="230"/>
      <c r="AK15" s="115">
        <f t="shared" si="12"/>
        <v>0</v>
      </c>
      <c r="AL15" s="230"/>
      <c r="AM15" s="115">
        <f t="shared" si="13"/>
        <v>0</v>
      </c>
      <c r="AN15" s="230"/>
      <c r="AO15" s="115">
        <f t="shared" si="14"/>
        <v>0</v>
      </c>
      <c r="AP15" s="230"/>
      <c r="AQ15" s="115">
        <f t="shared" si="15"/>
        <v>0</v>
      </c>
      <c r="AR15" s="230"/>
      <c r="AS15" s="115">
        <f t="shared" si="16"/>
        <v>0</v>
      </c>
      <c r="AT15" s="230"/>
      <c r="AU15" s="115">
        <f t="shared" si="17"/>
        <v>0</v>
      </c>
      <c r="AV15" s="69"/>
      <c r="AW15" s="69">
        <f t="shared" si="18"/>
        <v>554.09630376484017</v>
      </c>
      <c r="AX15" s="69"/>
      <c r="AY15" s="69">
        <f t="shared" si="19"/>
        <v>653.04207229427584</v>
      </c>
      <c r="AZ15" s="459"/>
      <c r="BA15" s="99">
        <f t="shared" si="20"/>
        <v>0</v>
      </c>
      <c r="BB15" s="82"/>
      <c r="BC15" s="82"/>
      <c r="BD15" s="82"/>
    </row>
    <row r="16" spans="1:56" x14ac:dyDescent="0.2">
      <c r="A16" s="177"/>
      <c r="B16" s="177"/>
      <c r="C16" s="116">
        <f>+Linkin!L179+Linkin!L184+Linkin!L217+Linkin!L226+Linkin!L238+Linkin!L264+Linkin!L265+Linkin!L270</f>
        <v>1276.2626467308457</v>
      </c>
      <c r="D16" s="412">
        <v>675.1</v>
      </c>
      <c r="F16" s="120" t="s">
        <v>590</v>
      </c>
      <c r="G16" s="107"/>
      <c r="H16" s="181">
        <v>2</v>
      </c>
      <c r="I16" s="62"/>
      <c r="J16" s="231">
        <f t="shared" si="0"/>
        <v>1276.2626467308457</v>
      </c>
      <c r="K16" s="111"/>
      <c r="L16" s="115">
        <f t="shared" si="1"/>
        <v>653.31884886152</v>
      </c>
      <c r="M16" s="230"/>
      <c r="N16" s="115">
        <f t="shared" si="2"/>
        <v>390.66399616431187</v>
      </c>
      <c r="O16" s="230"/>
      <c r="P16" s="115">
        <f t="shared" si="3"/>
        <v>62.664495954484522</v>
      </c>
      <c r="Q16" s="230"/>
      <c r="R16" s="115">
        <f t="shared" si="4"/>
        <v>124.30798179158435</v>
      </c>
      <c r="S16" s="230"/>
      <c r="T16" s="115">
        <f t="shared" si="5"/>
        <v>40.840404695387065</v>
      </c>
      <c r="U16" s="230"/>
      <c r="V16" s="115">
        <f t="shared" si="6"/>
        <v>2.0420202347693532</v>
      </c>
      <c r="W16" s="230"/>
      <c r="X16" s="115">
        <f t="shared" si="7"/>
        <v>2.424899028788607</v>
      </c>
      <c r="Y16" s="116"/>
      <c r="Z16" s="116">
        <f t="shared" si="8"/>
        <v>0</v>
      </c>
      <c r="AC16" s="120" t="s">
        <v>590</v>
      </c>
      <c r="AE16" s="154">
        <f t="shared" si="9"/>
        <v>2</v>
      </c>
      <c r="AG16" s="231">
        <f t="shared" si="10"/>
        <v>1276.2626467308457</v>
      </c>
      <c r="AH16" s="111"/>
      <c r="AI16" s="115">
        <f t="shared" si="11"/>
        <v>724.78955707844727</v>
      </c>
      <c r="AJ16" s="230"/>
      <c r="AK16" s="115">
        <f t="shared" si="12"/>
        <v>547.00617038884047</v>
      </c>
      <c r="AL16" s="230"/>
      <c r="AM16" s="115">
        <f t="shared" si="13"/>
        <v>0</v>
      </c>
      <c r="AN16" s="230"/>
      <c r="AO16" s="115">
        <f t="shared" si="14"/>
        <v>0</v>
      </c>
      <c r="AP16" s="230"/>
      <c r="AQ16" s="115">
        <f t="shared" si="15"/>
        <v>0</v>
      </c>
      <c r="AR16" s="230"/>
      <c r="AS16" s="115">
        <f t="shared" si="16"/>
        <v>0</v>
      </c>
      <c r="AT16" s="230"/>
      <c r="AU16" s="115">
        <f t="shared" si="17"/>
        <v>0</v>
      </c>
      <c r="AV16" s="69"/>
      <c r="AW16" s="69">
        <f t="shared" si="18"/>
        <v>2.0420202347693532</v>
      </c>
      <c r="AX16" s="69"/>
      <c r="AY16" s="69">
        <f t="shared" si="19"/>
        <v>2.424899028788607</v>
      </c>
      <c r="AZ16" s="459"/>
      <c r="BA16" s="99">
        <f t="shared" si="20"/>
        <v>0</v>
      </c>
      <c r="BB16" s="82"/>
      <c r="BC16" s="82"/>
      <c r="BD16" s="82"/>
    </row>
    <row r="17" spans="1:56" s="399" customFormat="1" x14ac:dyDescent="0.2">
      <c r="A17" s="177"/>
      <c r="B17" s="177"/>
      <c r="C17" s="116">
        <f>+Linkin!L161+Linkin!L164</f>
        <v>682.14177952465366</v>
      </c>
      <c r="D17" s="412">
        <v>675.1</v>
      </c>
      <c r="E17" s="116"/>
      <c r="F17" s="120" t="s">
        <v>650</v>
      </c>
      <c r="G17" s="107"/>
      <c r="H17" s="181">
        <v>2</v>
      </c>
      <c r="I17" s="62"/>
      <c r="J17" s="231">
        <f t="shared" si="0"/>
        <v>682.14177952465366</v>
      </c>
      <c r="K17" s="111"/>
      <c r="L17" s="115">
        <f t="shared" si="1"/>
        <v>349.18837693867022</v>
      </c>
      <c r="M17" s="230"/>
      <c r="N17" s="115">
        <f t="shared" si="2"/>
        <v>208.80359871249647</v>
      </c>
      <c r="O17" s="230"/>
      <c r="P17" s="115">
        <f t="shared" si="3"/>
        <v>33.493161374660495</v>
      </c>
      <c r="Q17" s="230"/>
      <c r="R17" s="115">
        <f t="shared" si="4"/>
        <v>66.44060932570126</v>
      </c>
      <c r="S17" s="230"/>
      <c r="T17" s="115">
        <f t="shared" si="5"/>
        <v>21.828536944788919</v>
      </c>
      <c r="U17" s="230"/>
      <c r="V17" s="115">
        <f t="shared" si="6"/>
        <v>1.0914268472394459</v>
      </c>
      <c r="W17" s="230"/>
      <c r="X17" s="115">
        <f t="shared" si="7"/>
        <v>1.296069381096842</v>
      </c>
      <c r="Y17" s="116"/>
      <c r="Z17" s="116">
        <f t="shared" ref="Z17:Z19" si="22">SUM(L17:X17)-J17</f>
        <v>0</v>
      </c>
      <c r="AC17" s="120" t="s">
        <v>686</v>
      </c>
      <c r="AE17" s="154">
        <f t="shared" si="9"/>
        <v>2</v>
      </c>
      <c r="AG17" s="231">
        <f t="shared" si="10"/>
        <v>682.14177952465366</v>
      </c>
      <c r="AH17" s="111"/>
      <c r="AI17" s="115">
        <f t="shared" si="11"/>
        <v>387.38831659205078</v>
      </c>
      <c r="AJ17" s="230"/>
      <c r="AK17" s="115">
        <f t="shared" si="12"/>
        <v>292.36596670426655</v>
      </c>
      <c r="AL17" s="230"/>
      <c r="AM17" s="115">
        <f t="shared" si="13"/>
        <v>0</v>
      </c>
      <c r="AN17" s="230"/>
      <c r="AO17" s="115">
        <f t="shared" si="14"/>
        <v>0</v>
      </c>
      <c r="AP17" s="230"/>
      <c r="AQ17" s="115">
        <f t="shared" si="15"/>
        <v>0</v>
      </c>
      <c r="AR17" s="230"/>
      <c r="AS17" s="115">
        <f t="shared" si="16"/>
        <v>0</v>
      </c>
      <c r="AT17" s="230"/>
      <c r="AU17" s="115">
        <f t="shared" si="17"/>
        <v>0</v>
      </c>
      <c r="AV17" s="69"/>
      <c r="AW17" s="69">
        <f t="shared" si="18"/>
        <v>1.0914268472394459</v>
      </c>
      <c r="AX17" s="69"/>
      <c r="AY17" s="69">
        <f t="shared" si="19"/>
        <v>1.296069381096842</v>
      </c>
      <c r="AZ17" s="459"/>
      <c r="BA17" s="99">
        <f t="shared" si="20"/>
        <v>0</v>
      </c>
      <c r="BB17" s="82"/>
      <c r="BC17" s="82"/>
      <c r="BD17" s="82"/>
    </row>
    <row r="18" spans="1:56" s="399" customFormat="1" x14ac:dyDescent="0.2">
      <c r="A18" s="177"/>
      <c r="B18" s="177"/>
      <c r="C18" s="116">
        <f>+Linkin!L197</f>
        <v>21838.721134327578</v>
      </c>
      <c r="D18" s="412">
        <v>675.1</v>
      </c>
      <c r="E18" s="116"/>
      <c r="F18" s="120" t="s">
        <v>956</v>
      </c>
      <c r="G18" s="107"/>
      <c r="H18" s="181">
        <v>2</v>
      </c>
      <c r="I18" s="62"/>
      <c r="J18" s="231">
        <f t="shared" si="0"/>
        <v>21838.721134327578</v>
      </c>
      <c r="K18" s="111"/>
      <c r="L18" s="115">
        <f t="shared" si="1"/>
        <v>11179.241348662288</v>
      </c>
      <c r="M18" s="230"/>
      <c r="N18" s="115">
        <f t="shared" si="2"/>
        <v>6684.8325392176712</v>
      </c>
      <c r="O18" s="230"/>
      <c r="P18" s="115">
        <f t="shared" si="3"/>
        <v>1072.281207695484</v>
      </c>
      <c r="Q18" s="230"/>
      <c r="R18" s="115">
        <f t="shared" si="4"/>
        <v>2127.091438483506</v>
      </c>
      <c r="S18" s="230"/>
      <c r="T18" s="115">
        <f t="shared" si="5"/>
        <v>698.8390762984825</v>
      </c>
      <c r="U18" s="230"/>
      <c r="V18" s="115">
        <f t="shared" si="6"/>
        <v>34.941953814924126</v>
      </c>
      <c r="W18" s="230"/>
      <c r="X18" s="115">
        <f t="shared" si="7"/>
        <v>41.4935701552224</v>
      </c>
      <c r="Y18" s="116"/>
      <c r="Z18" s="116">
        <f t="shared" si="22"/>
        <v>0</v>
      </c>
      <c r="AC18" s="120" t="s">
        <v>690</v>
      </c>
      <c r="AE18" s="154">
        <f t="shared" si="9"/>
        <v>2</v>
      </c>
      <c r="AG18" s="231">
        <f t="shared" si="10"/>
        <v>21838.721134327578</v>
      </c>
      <c r="AH18" s="111"/>
      <c r="AI18" s="115">
        <f t="shared" si="11"/>
        <v>12402.20973218463</v>
      </c>
      <c r="AJ18" s="230"/>
      <c r="AK18" s="115">
        <f t="shared" si="12"/>
        <v>9360.0758781728</v>
      </c>
      <c r="AL18" s="230"/>
      <c r="AM18" s="115">
        <f t="shared" si="13"/>
        <v>0</v>
      </c>
      <c r="AN18" s="230"/>
      <c r="AO18" s="115">
        <f t="shared" si="14"/>
        <v>0</v>
      </c>
      <c r="AP18" s="230"/>
      <c r="AQ18" s="115">
        <f t="shared" si="15"/>
        <v>0</v>
      </c>
      <c r="AR18" s="230"/>
      <c r="AS18" s="115">
        <f t="shared" si="16"/>
        <v>0</v>
      </c>
      <c r="AT18" s="230"/>
      <c r="AU18" s="115">
        <f t="shared" si="17"/>
        <v>0</v>
      </c>
      <c r="AV18" s="69"/>
      <c r="AW18" s="69">
        <f t="shared" si="18"/>
        <v>34.941953814924126</v>
      </c>
      <c r="AX18" s="69"/>
      <c r="AY18" s="69">
        <f t="shared" si="19"/>
        <v>41.4935701552224</v>
      </c>
      <c r="AZ18" s="459"/>
      <c r="BA18" s="99">
        <f t="shared" si="20"/>
        <v>0</v>
      </c>
      <c r="BB18" s="82"/>
      <c r="BC18" s="82"/>
      <c r="BD18" s="82"/>
    </row>
    <row r="19" spans="1:56" s="399" customFormat="1" x14ac:dyDescent="0.2">
      <c r="A19" s="177"/>
      <c r="B19" s="177"/>
      <c r="C19" s="116">
        <f>+Linkin!L206</f>
        <v>103046.44845407877</v>
      </c>
      <c r="D19" s="412">
        <v>675.1</v>
      </c>
      <c r="E19" s="116"/>
      <c r="F19" s="120" t="s">
        <v>694</v>
      </c>
      <c r="G19" s="107"/>
      <c r="H19" s="181">
        <v>1</v>
      </c>
      <c r="I19" s="62"/>
      <c r="J19" s="305">
        <f t="shared" si="0"/>
        <v>103046.44845407877</v>
      </c>
      <c r="K19" s="111"/>
      <c r="L19" s="304">
        <f t="shared" si="1"/>
        <v>50606.110835798077</v>
      </c>
      <c r="M19" s="111"/>
      <c r="N19" s="304">
        <f t="shared" si="2"/>
        <v>31686.782899629219</v>
      </c>
      <c r="O19" s="111"/>
      <c r="P19" s="304">
        <f t="shared" si="3"/>
        <v>5616.0314407472924</v>
      </c>
      <c r="Q19" s="111"/>
      <c r="R19" s="304">
        <f t="shared" si="4"/>
        <v>10850.791022214495</v>
      </c>
      <c r="S19" s="111"/>
      <c r="T19" s="304">
        <f t="shared" si="5"/>
        <v>3658.148920119796</v>
      </c>
      <c r="U19" s="111"/>
      <c r="V19" s="304">
        <f t="shared" si="6"/>
        <v>288.53005567142054</v>
      </c>
      <c r="W19" s="111"/>
      <c r="X19" s="304">
        <f t="shared" si="7"/>
        <v>340.05327989845995</v>
      </c>
      <c r="Y19" s="116"/>
      <c r="Z19" s="116">
        <f t="shared" si="22"/>
        <v>0</v>
      </c>
      <c r="AC19" s="120" t="s">
        <v>694</v>
      </c>
      <c r="AE19" s="154">
        <f t="shared" si="9"/>
        <v>1</v>
      </c>
      <c r="AG19" s="305">
        <f t="shared" si="10"/>
        <v>103046.44845407877</v>
      </c>
      <c r="AH19" s="111"/>
      <c r="AI19" s="304">
        <f t="shared" si="11"/>
        <v>102417.86511850888</v>
      </c>
      <c r="AJ19" s="111"/>
      <c r="AK19" s="304">
        <f t="shared" si="12"/>
        <v>0</v>
      </c>
      <c r="AL19" s="111"/>
      <c r="AM19" s="304">
        <f t="shared" si="13"/>
        <v>0</v>
      </c>
      <c r="AN19" s="111"/>
      <c r="AO19" s="304">
        <f t="shared" si="14"/>
        <v>0</v>
      </c>
      <c r="AP19" s="111"/>
      <c r="AQ19" s="304">
        <f t="shared" si="15"/>
        <v>0</v>
      </c>
      <c r="AR19" s="111"/>
      <c r="AS19" s="304">
        <f t="shared" si="16"/>
        <v>0</v>
      </c>
      <c r="AT19" s="111"/>
      <c r="AU19" s="304">
        <f t="shared" si="17"/>
        <v>0</v>
      </c>
      <c r="AV19" s="111"/>
      <c r="AW19" s="304">
        <f t="shared" si="18"/>
        <v>288.53005567142054</v>
      </c>
      <c r="AX19" s="111"/>
      <c r="AY19" s="304">
        <f t="shared" si="19"/>
        <v>340.05327989845995</v>
      </c>
      <c r="AZ19" s="459"/>
      <c r="BA19" s="99">
        <f t="shared" si="20"/>
        <v>0</v>
      </c>
      <c r="BB19" s="82"/>
      <c r="BC19" s="82"/>
      <c r="BD19" s="82"/>
    </row>
    <row r="20" spans="1:56" x14ac:dyDescent="0.2">
      <c r="A20" s="177"/>
      <c r="B20" s="177"/>
      <c r="C20" s="403"/>
      <c r="D20" s="413"/>
      <c r="E20" s="403"/>
      <c r="F20" s="167"/>
      <c r="G20" s="107"/>
      <c r="H20" s="71"/>
      <c r="I20" s="62"/>
      <c r="J20" s="231"/>
      <c r="K20" s="108"/>
      <c r="L20" s="83"/>
      <c r="M20" s="109"/>
      <c r="N20" s="83"/>
      <c r="O20" s="109"/>
      <c r="P20" s="83"/>
      <c r="Q20" s="109"/>
      <c r="R20" s="83"/>
      <c r="S20" s="109"/>
      <c r="T20" s="83"/>
      <c r="U20" s="109"/>
      <c r="V20" s="83"/>
      <c r="W20" s="109"/>
      <c r="X20" s="83"/>
      <c r="Z20" s="99">
        <f>SUM(L20:X20)-J20</f>
        <v>0</v>
      </c>
      <c r="AC20" s="167"/>
      <c r="AD20" s="107"/>
      <c r="AE20" s="71"/>
      <c r="AF20" s="62"/>
      <c r="AG20" s="231"/>
      <c r="AH20" s="108"/>
      <c r="AI20" s="83"/>
      <c r="AJ20" s="109"/>
      <c r="AK20" s="83"/>
      <c r="AL20" s="109"/>
      <c r="AM20" s="83"/>
      <c r="AN20" s="109"/>
      <c r="AO20" s="83"/>
      <c r="AP20" s="109"/>
      <c r="AQ20" s="83"/>
      <c r="AR20" s="109"/>
      <c r="AS20" s="83"/>
      <c r="AT20" s="109"/>
      <c r="AU20" s="83"/>
      <c r="AV20" s="84"/>
      <c r="AW20" s="83"/>
      <c r="AX20" s="84"/>
      <c r="AY20" s="83"/>
      <c r="BA20" s="99">
        <f t="shared" si="20"/>
        <v>0</v>
      </c>
      <c r="BB20" s="82"/>
      <c r="BC20" s="82"/>
      <c r="BD20" s="82"/>
    </row>
    <row r="21" spans="1:56" x14ac:dyDescent="0.2">
      <c r="A21" s="177"/>
      <c r="B21" s="177"/>
      <c r="C21" s="403"/>
      <c r="D21" s="413"/>
      <c r="E21" s="403"/>
      <c r="F21" s="120" t="s">
        <v>98</v>
      </c>
      <c r="G21" s="180"/>
      <c r="H21" s="181"/>
      <c r="I21" s="120"/>
      <c r="J21" s="231">
        <f>SUM(J14:J19)</f>
        <v>554990.11107353342</v>
      </c>
      <c r="K21" s="182"/>
      <c r="L21" s="182">
        <f>SUM(L14:L19)</f>
        <v>273050.62375987234</v>
      </c>
      <c r="M21" s="182"/>
      <c r="N21" s="182">
        <f>SUM(N14:N19)</f>
        <v>170626.14317932664</v>
      </c>
      <c r="O21" s="182"/>
      <c r="P21" s="182">
        <f>SUM(P14:P19)</f>
        <v>30118.456575480413</v>
      </c>
      <c r="Q21" s="182"/>
      <c r="R21" s="182">
        <f>SUM(R14:R19)</f>
        <v>58252.461404114445</v>
      </c>
      <c r="S21" s="182"/>
      <c r="T21" s="182">
        <f>SUM(T14:T19)</f>
        <v>19618.859003648391</v>
      </c>
      <c r="U21" s="182"/>
      <c r="V21" s="182">
        <f>SUM(V14:V19)</f>
        <v>1525.4157603331937</v>
      </c>
      <c r="W21" s="182"/>
      <c r="X21" s="182">
        <f>SUM(X14:X19)</f>
        <v>1798.1513907578437</v>
      </c>
      <c r="Y21" s="182"/>
      <c r="Z21" s="182">
        <f>SUM(Z14:Z19)</f>
        <v>0</v>
      </c>
      <c r="AA21" s="182"/>
      <c r="AB21" s="182"/>
      <c r="AC21" s="120" t="s">
        <v>98</v>
      </c>
      <c r="AD21" s="180"/>
      <c r="AE21" s="181"/>
      <c r="AF21" s="120"/>
      <c r="AG21" s="305">
        <f>SUM(AG14:AG19)</f>
        <v>554990.11107353342</v>
      </c>
      <c r="AH21" s="182"/>
      <c r="AI21" s="498">
        <f>SUM(AI14:AI19)</f>
        <v>541467.09590717638</v>
      </c>
      <c r="AJ21" s="182"/>
      <c r="AK21" s="498">
        <f>SUM(AK14:AK19)</f>
        <v>10199.448015265907</v>
      </c>
      <c r="AL21" s="182"/>
      <c r="AM21" s="498">
        <f>SUM(AM14:AM19)</f>
        <v>0</v>
      </c>
      <c r="AN21" s="182"/>
      <c r="AO21" s="498">
        <f>SUM(AO14:AO19)</f>
        <v>0</v>
      </c>
      <c r="AP21" s="182"/>
      <c r="AQ21" s="498">
        <f>SUM(AQ14:AQ19)</f>
        <v>0</v>
      </c>
      <c r="AR21" s="182"/>
      <c r="AS21" s="498">
        <f>SUM(AS14:AS19)</f>
        <v>0</v>
      </c>
      <c r="AT21" s="182"/>
      <c r="AU21" s="498">
        <f>SUM(AU14:AU19)</f>
        <v>0</v>
      </c>
      <c r="AV21" s="182"/>
      <c r="AW21" s="498">
        <f>SUM(AW14:AW19)</f>
        <v>1525.4157603331937</v>
      </c>
      <c r="AX21" s="182"/>
      <c r="AY21" s="498">
        <f>SUM(AY14:AY19)</f>
        <v>1798.1513907578437</v>
      </c>
      <c r="AZ21" s="182"/>
      <c r="BA21" s="99">
        <f t="shared" si="20"/>
        <v>0</v>
      </c>
      <c r="BB21" s="82"/>
      <c r="BC21" s="82"/>
      <c r="BD21" s="82"/>
    </row>
    <row r="22" spans="1:56" x14ac:dyDescent="0.2">
      <c r="A22" s="177"/>
      <c r="B22" s="177"/>
      <c r="C22" s="403"/>
      <c r="D22" s="413"/>
      <c r="E22" s="403"/>
      <c r="F22" s="167"/>
      <c r="G22" s="107"/>
      <c r="H22" s="71"/>
      <c r="I22" s="62"/>
      <c r="J22" s="231"/>
      <c r="K22" s="108"/>
      <c r="L22" s="83"/>
      <c r="M22" s="109"/>
      <c r="N22" s="83"/>
      <c r="O22" s="109"/>
      <c r="P22" s="83"/>
      <c r="Q22" s="109"/>
      <c r="R22" s="83"/>
      <c r="S22" s="109"/>
      <c r="T22" s="83"/>
      <c r="U22" s="109"/>
      <c r="V22" s="83"/>
      <c r="W22" s="109"/>
      <c r="X22" s="83"/>
      <c r="Z22" s="99">
        <f>SUM(L22:X22)-J22</f>
        <v>0</v>
      </c>
      <c r="AC22" s="167"/>
      <c r="AE22" s="154"/>
      <c r="AG22" s="231"/>
      <c r="AH22" s="108"/>
      <c r="AI22" s="83"/>
      <c r="AJ22" s="109"/>
      <c r="AK22" s="83"/>
      <c r="AL22" s="109"/>
      <c r="AM22" s="83"/>
      <c r="AN22" s="109"/>
      <c r="AO22" s="83"/>
      <c r="AP22" s="109"/>
      <c r="AQ22" s="83"/>
      <c r="AR22" s="109"/>
      <c r="AS22" s="83"/>
      <c r="AT22" s="109"/>
      <c r="AU22" s="83"/>
      <c r="AV22" s="83"/>
      <c r="AW22" s="83"/>
      <c r="AX22" s="83"/>
      <c r="AY22" s="83"/>
      <c r="BA22" s="99">
        <f t="shared" si="20"/>
        <v>0</v>
      </c>
      <c r="BB22" s="82"/>
      <c r="BC22" s="82"/>
      <c r="BD22" s="82"/>
    </row>
    <row r="23" spans="1:56" x14ac:dyDescent="0.2">
      <c r="A23" s="177"/>
      <c r="B23" s="177"/>
      <c r="F23" s="120" t="s">
        <v>99</v>
      </c>
      <c r="G23" s="180"/>
      <c r="H23" s="181"/>
      <c r="I23" s="120"/>
      <c r="J23" s="231"/>
      <c r="K23" s="108"/>
      <c r="L23" s="83"/>
      <c r="M23" s="109"/>
      <c r="N23" s="83"/>
      <c r="O23" s="109"/>
      <c r="P23" s="83"/>
      <c r="Q23" s="109"/>
      <c r="R23" s="83"/>
      <c r="S23" s="109"/>
      <c r="T23" s="83"/>
      <c r="U23" s="109"/>
      <c r="V23" s="83"/>
      <c r="W23" s="109"/>
      <c r="X23" s="83"/>
      <c r="Z23" s="99">
        <f t="shared" ref="Z23:Z28" si="23">SUM(L23:X23)-J23</f>
        <v>0</v>
      </c>
      <c r="AC23" s="120" t="s">
        <v>99</v>
      </c>
      <c r="AE23" s="154"/>
      <c r="AG23" s="231"/>
      <c r="AH23" s="108"/>
      <c r="AI23" s="83"/>
      <c r="AJ23" s="109"/>
      <c r="AK23" s="83"/>
      <c r="AL23" s="109"/>
      <c r="AM23" s="83"/>
      <c r="AN23" s="109"/>
      <c r="AO23" s="83"/>
      <c r="AP23" s="109"/>
      <c r="AQ23" s="83"/>
      <c r="AR23" s="109"/>
      <c r="AS23" s="83"/>
      <c r="AT23" s="109"/>
      <c r="AU23" s="83"/>
      <c r="AV23" s="69"/>
      <c r="AW23" s="69"/>
      <c r="AX23" s="69"/>
      <c r="AY23" s="69"/>
      <c r="BA23" s="99">
        <f t="shared" si="20"/>
        <v>0</v>
      </c>
      <c r="BB23" s="82"/>
      <c r="BC23" s="82"/>
      <c r="BD23" s="82"/>
    </row>
    <row r="24" spans="1:56" s="417" customFormat="1" x14ac:dyDescent="0.2">
      <c r="A24" s="177"/>
      <c r="B24" s="177"/>
      <c r="C24" s="116"/>
      <c r="D24" s="412">
        <v>601.20000000000005</v>
      </c>
      <c r="E24" s="116"/>
      <c r="F24" s="120" t="s">
        <v>706</v>
      </c>
      <c r="G24" s="180"/>
      <c r="H24" s="181">
        <v>2</v>
      </c>
      <c r="I24" s="120"/>
      <c r="J24" s="460">
        <f t="shared" ref="J24:J25" si="24">+C24</f>
        <v>0</v>
      </c>
      <c r="K24" s="295"/>
      <c r="L24" s="179">
        <f>(VLOOKUP($H24,Factors,L$381))*$J24</f>
        <v>0</v>
      </c>
      <c r="M24" s="116"/>
      <c r="N24" s="179">
        <f>(VLOOKUP($H24,Factors,N$381))*$J24</f>
        <v>0</v>
      </c>
      <c r="O24" s="116"/>
      <c r="P24" s="179">
        <f>(VLOOKUP($H24,Factors,P$381))*$J24</f>
        <v>0</v>
      </c>
      <c r="Q24" s="116"/>
      <c r="R24" s="179">
        <f>(VLOOKUP($H24,Factors,R$381))*$J24</f>
        <v>0</v>
      </c>
      <c r="S24" s="116"/>
      <c r="T24" s="179">
        <f>(VLOOKUP($H24,Factors,T$381))*$J24</f>
        <v>0</v>
      </c>
      <c r="U24" s="116"/>
      <c r="V24" s="179">
        <f>(VLOOKUP($H24,Factors,V$381))*$J24</f>
        <v>0</v>
      </c>
      <c r="W24" s="116"/>
      <c r="X24" s="179">
        <f>(VLOOKUP($H24,Factors,X$381))*$J24</f>
        <v>0</v>
      </c>
      <c r="Y24" s="116"/>
      <c r="Z24" s="179">
        <f t="shared" ref="Z24" si="25">SUM(L24:X24)-J24</f>
        <v>0</v>
      </c>
      <c r="AC24" s="120" t="s">
        <v>706</v>
      </c>
      <c r="AE24" s="154">
        <f t="shared" ref="AE24:AE25" si="26">+H24</f>
        <v>2</v>
      </c>
      <c r="AF24" s="459"/>
      <c r="AG24" s="460">
        <f t="shared" ref="AG24:AG25" si="27">+J24</f>
        <v>0</v>
      </c>
      <c r="AH24" s="295"/>
      <c r="AI24" s="115">
        <f>(VLOOKUP($AE24,func,AI$381))*$AG24</f>
        <v>0</v>
      </c>
      <c r="AJ24" s="230"/>
      <c r="AK24" s="115">
        <f>(VLOOKUP($AE24,func,AK$381))*$AG24</f>
        <v>0</v>
      </c>
      <c r="AL24" s="230"/>
      <c r="AM24" s="115">
        <f>(VLOOKUP($AE24,func,AM$381))*$AG24</f>
        <v>0</v>
      </c>
      <c r="AN24" s="230"/>
      <c r="AO24" s="115">
        <f>(VLOOKUP($AE24,func,AO$381))*$AG24</f>
        <v>0</v>
      </c>
      <c r="AP24" s="230"/>
      <c r="AQ24" s="115">
        <f>(VLOOKUP($AE24,func,AQ$381))*$AG24</f>
        <v>0</v>
      </c>
      <c r="AR24" s="230"/>
      <c r="AS24" s="115">
        <f>(VLOOKUP($AE24,func,AS$381))*$AG24</f>
        <v>0</v>
      </c>
      <c r="AT24" s="230"/>
      <c r="AU24" s="115">
        <f>(VLOOKUP($AE24,func,AU$381))*$AG24</f>
        <v>0</v>
      </c>
      <c r="AV24" s="69"/>
      <c r="AW24" s="69">
        <f>(VLOOKUP($AE24,func,AW$381))*$AG24</f>
        <v>0</v>
      </c>
      <c r="AX24" s="69"/>
      <c r="AY24" s="69">
        <f>(VLOOKUP($AE24,func,AY$381))*$AG24</f>
        <v>0</v>
      </c>
      <c r="AZ24" s="459"/>
      <c r="BA24" s="99">
        <f t="shared" si="20"/>
        <v>0</v>
      </c>
      <c r="BB24" s="82"/>
      <c r="BC24" s="82"/>
      <c r="BD24" s="82"/>
    </row>
    <row r="25" spans="1:56" x14ac:dyDescent="0.2">
      <c r="A25" s="177"/>
      <c r="B25" s="177"/>
      <c r="C25" s="116">
        <f>+Linkin!L356+Linkin!L360+Linkin!L374</f>
        <v>44297.637381469212</v>
      </c>
      <c r="D25" s="412">
        <v>620.20000000000005</v>
      </c>
      <c r="F25" s="120" t="s">
        <v>654</v>
      </c>
      <c r="G25" s="180"/>
      <c r="H25" s="181">
        <v>2</v>
      </c>
      <c r="I25" s="120"/>
      <c r="J25" s="303">
        <f t="shared" si="24"/>
        <v>44297.637381469212</v>
      </c>
      <c r="K25" s="108"/>
      <c r="L25" s="304">
        <f>(VLOOKUP($H25,Factors,L$381))*$J25</f>
        <v>22675.960575574092</v>
      </c>
      <c r="M25" s="108"/>
      <c r="N25" s="304">
        <f>(VLOOKUP($H25,Factors,N$381))*$J25</f>
        <v>13559.506802467726</v>
      </c>
      <c r="O25" s="108"/>
      <c r="P25" s="304">
        <f>(VLOOKUP($H25,Factors,P$381))*$J25</f>
        <v>2175.013995430138</v>
      </c>
      <c r="Q25" s="108"/>
      <c r="R25" s="304">
        <f>(VLOOKUP($H25,Factors,R$381))*$J25</f>
        <v>4314.5898809551009</v>
      </c>
      <c r="S25" s="108"/>
      <c r="T25" s="304">
        <f>(VLOOKUP($H25,Factors,T$381))*$J25</f>
        <v>1417.5243962070149</v>
      </c>
      <c r="U25" s="108"/>
      <c r="V25" s="304">
        <f>(VLOOKUP($H25,Factors,V$381))*$J25</f>
        <v>70.876219810350747</v>
      </c>
      <c r="W25" s="108"/>
      <c r="X25" s="304">
        <f>(VLOOKUP($H25,Factors,X$381))*$J25</f>
        <v>84.165511024791499</v>
      </c>
      <c r="Y25" s="116"/>
      <c r="Z25" s="116">
        <f t="shared" si="23"/>
        <v>0</v>
      </c>
      <c r="AC25" s="120" t="s">
        <v>654</v>
      </c>
      <c r="AE25" s="154">
        <f t="shared" si="26"/>
        <v>2</v>
      </c>
      <c r="AF25" s="459"/>
      <c r="AG25" s="303">
        <f t="shared" si="27"/>
        <v>44297.637381469212</v>
      </c>
      <c r="AH25" s="108"/>
      <c r="AI25" s="304">
        <f>(VLOOKUP($AE25,func,AI$381))*$AG25</f>
        <v>25156.628268936365</v>
      </c>
      <c r="AJ25" s="108"/>
      <c r="AK25" s="304">
        <f>(VLOOKUP($AE25,func,AK$381))*$AG25</f>
        <v>18985.967381697705</v>
      </c>
      <c r="AL25" s="108"/>
      <c r="AM25" s="304">
        <f>(VLOOKUP($AE25,func,AM$381))*$AG25</f>
        <v>0</v>
      </c>
      <c r="AN25" s="108"/>
      <c r="AO25" s="304">
        <f>(VLOOKUP($AE25,func,AO$381))*$AG25</f>
        <v>0</v>
      </c>
      <c r="AP25" s="108"/>
      <c r="AQ25" s="304">
        <f>(VLOOKUP($AE25,func,AQ$381))*$AG25</f>
        <v>0</v>
      </c>
      <c r="AR25" s="108"/>
      <c r="AS25" s="304">
        <f>(VLOOKUP($AE25,func,AS$381))*$AG25</f>
        <v>0</v>
      </c>
      <c r="AT25" s="108"/>
      <c r="AU25" s="304">
        <f>(VLOOKUP($AE25,func,AU$381))*$AG25</f>
        <v>0</v>
      </c>
      <c r="AV25" s="108"/>
      <c r="AW25" s="304">
        <f>(VLOOKUP($AE25,func,AW$381))*$AG25</f>
        <v>70.876219810350747</v>
      </c>
      <c r="AX25" s="108"/>
      <c r="AY25" s="304">
        <f>(VLOOKUP($AE25,func,AY$381))*$AG25</f>
        <v>84.165511024791499</v>
      </c>
      <c r="BA25" s="99">
        <f t="shared" si="20"/>
        <v>0</v>
      </c>
      <c r="BB25" s="82"/>
      <c r="BC25" s="82"/>
      <c r="BD25" s="82"/>
    </row>
    <row r="26" spans="1:56" x14ac:dyDescent="0.2">
      <c r="A26" s="177"/>
      <c r="B26" s="177"/>
      <c r="F26" s="120"/>
      <c r="G26" s="180"/>
      <c r="H26" s="181"/>
      <c r="I26" s="120"/>
      <c r="J26" s="231"/>
      <c r="K26" s="295"/>
      <c r="L26" s="296"/>
      <c r="M26" s="295"/>
      <c r="N26" s="296"/>
      <c r="O26" s="295"/>
      <c r="P26" s="296"/>
      <c r="Q26" s="295"/>
      <c r="R26" s="296"/>
      <c r="S26" s="295"/>
      <c r="T26" s="296"/>
      <c r="U26" s="295"/>
      <c r="V26" s="296"/>
      <c r="W26" s="295"/>
      <c r="X26" s="296"/>
      <c r="Z26" s="99">
        <f t="shared" si="23"/>
        <v>0</v>
      </c>
      <c r="AC26" s="120"/>
      <c r="AE26" s="154"/>
      <c r="AG26" s="231"/>
      <c r="AH26" s="295"/>
      <c r="AI26" s="296"/>
      <c r="AJ26" s="295"/>
      <c r="AK26" s="296"/>
      <c r="AL26" s="295"/>
      <c r="AM26" s="296"/>
      <c r="AN26" s="295"/>
      <c r="AO26" s="296"/>
      <c r="AP26" s="295"/>
      <c r="AQ26" s="296"/>
      <c r="AR26" s="295"/>
      <c r="AS26" s="296"/>
      <c r="AT26" s="295"/>
      <c r="AU26" s="296"/>
      <c r="AV26" s="295"/>
      <c r="AW26" s="296"/>
      <c r="AX26" s="295"/>
      <c r="AY26" s="296"/>
      <c r="BA26" s="99">
        <f t="shared" si="20"/>
        <v>0</v>
      </c>
      <c r="BB26" s="82"/>
      <c r="BC26" s="82"/>
      <c r="BD26" s="82"/>
    </row>
    <row r="27" spans="1:56" x14ac:dyDescent="0.2">
      <c r="A27" s="177"/>
      <c r="B27" s="177"/>
      <c r="F27" s="120" t="s">
        <v>100</v>
      </c>
      <c r="G27" s="180"/>
      <c r="H27" s="181"/>
      <c r="I27" s="120"/>
      <c r="J27" s="305">
        <f>SUM(J24:J25)</f>
        <v>44297.637381469212</v>
      </c>
      <c r="K27" s="120"/>
      <c r="L27" s="305">
        <f>SUM(L24:L25)</f>
        <v>22675.960575574092</v>
      </c>
      <c r="M27" s="120"/>
      <c r="N27" s="305">
        <f t="shared" ref="N27" si="28">SUM(N24:N25)</f>
        <v>13559.506802467726</v>
      </c>
      <c r="O27" s="120"/>
      <c r="P27" s="305">
        <f t="shared" ref="P27" si="29">SUM(P24:P25)</f>
        <v>2175.013995430138</v>
      </c>
      <c r="Q27" s="120"/>
      <c r="R27" s="305">
        <f t="shared" ref="R27" si="30">SUM(R24:R25)</f>
        <v>4314.5898809551009</v>
      </c>
      <c r="S27" s="120"/>
      <c r="T27" s="305">
        <f t="shared" ref="T27" si="31">SUM(T24:T25)</f>
        <v>1417.5243962070149</v>
      </c>
      <c r="U27" s="120"/>
      <c r="V27" s="305">
        <f t="shared" ref="V27" si="32">SUM(V24:V25)</f>
        <v>70.876219810350747</v>
      </c>
      <c r="W27" s="120"/>
      <c r="X27" s="305">
        <f t="shared" ref="X27" si="33">SUM(X24:X25)</f>
        <v>84.165511024791499</v>
      </c>
      <c r="Z27" s="99">
        <f t="shared" si="23"/>
        <v>0</v>
      </c>
      <c r="AC27" s="120" t="s">
        <v>100</v>
      </c>
      <c r="AD27" s="180"/>
      <c r="AE27" s="181"/>
      <c r="AF27" s="120"/>
      <c r="AG27" s="305">
        <f>SUM(AG24:AG25)</f>
        <v>44297.637381469212</v>
      </c>
      <c r="AH27" s="120"/>
      <c r="AI27" s="305">
        <f>SUM(AI24:AI25)</f>
        <v>25156.628268936365</v>
      </c>
      <c r="AJ27" s="120"/>
      <c r="AK27" s="305">
        <f>SUM(AK24:AK25)</f>
        <v>18985.967381697705</v>
      </c>
      <c r="AL27" s="120"/>
      <c r="AM27" s="305">
        <f>SUM(AM24:AM25)</f>
        <v>0</v>
      </c>
      <c r="AN27" s="120"/>
      <c r="AO27" s="305">
        <f>SUM(AO24:AO25)</f>
        <v>0</v>
      </c>
      <c r="AP27" s="120"/>
      <c r="AQ27" s="305">
        <f>SUM(AQ24:AQ25)</f>
        <v>0</v>
      </c>
      <c r="AR27" s="120"/>
      <c r="AS27" s="305">
        <f>SUM(AS24:AS25)</f>
        <v>0</v>
      </c>
      <c r="AT27" s="120"/>
      <c r="AU27" s="305">
        <f>SUM(AU24:AU25)</f>
        <v>0</v>
      </c>
      <c r="AV27" s="120"/>
      <c r="AW27" s="305">
        <f>SUM(AW24:AW25)</f>
        <v>70.876219810350747</v>
      </c>
      <c r="AX27" s="120"/>
      <c r="AY27" s="305">
        <f>SUM(AY24:AY25)</f>
        <v>84.165511024791499</v>
      </c>
      <c r="BA27" s="99">
        <f t="shared" si="20"/>
        <v>0</v>
      </c>
      <c r="BB27" s="82"/>
      <c r="BC27" s="82"/>
      <c r="BD27" s="82"/>
    </row>
    <row r="28" spans="1:56" x14ac:dyDescent="0.2">
      <c r="A28" s="177"/>
      <c r="B28" s="177"/>
      <c r="F28" s="120"/>
      <c r="G28" s="180"/>
      <c r="H28" s="181"/>
      <c r="I28" s="120"/>
      <c r="J28" s="231"/>
      <c r="K28" s="120"/>
      <c r="L28" s="231"/>
      <c r="M28" s="120"/>
      <c r="N28" s="231"/>
      <c r="O28" s="120"/>
      <c r="P28" s="231"/>
      <c r="Q28" s="120"/>
      <c r="R28" s="231"/>
      <c r="S28" s="120"/>
      <c r="T28" s="231"/>
      <c r="U28" s="120"/>
      <c r="V28" s="231"/>
      <c r="W28" s="120"/>
      <c r="X28" s="231"/>
      <c r="Z28" s="99">
        <f t="shared" si="23"/>
        <v>0</v>
      </c>
      <c r="AC28" s="120"/>
      <c r="AD28" s="180"/>
      <c r="AE28" s="181"/>
      <c r="AF28" s="120"/>
      <c r="AG28" s="231"/>
      <c r="AH28" s="120"/>
      <c r="AI28" s="231"/>
      <c r="AJ28" s="120"/>
      <c r="AK28" s="231"/>
      <c r="AL28" s="120"/>
      <c r="AM28" s="231"/>
      <c r="AN28" s="120"/>
      <c r="AO28" s="231"/>
      <c r="AP28" s="120"/>
      <c r="AQ28" s="231"/>
      <c r="AR28" s="120"/>
      <c r="AS28" s="231"/>
      <c r="AT28" s="120"/>
      <c r="AU28" s="231"/>
      <c r="AV28" s="120"/>
      <c r="AW28" s="231"/>
      <c r="AX28" s="120"/>
      <c r="AY28" s="231"/>
      <c r="BA28" s="99">
        <f t="shared" si="20"/>
        <v>0</v>
      </c>
      <c r="BB28" s="82"/>
      <c r="BC28" s="82"/>
      <c r="BD28" s="82"/>
    </row>
    <row r="29" spans="1:56" x14ac:dyDescent="0.2">
      <c r="A29" s="177"/>
      <c r="B29" s="177"/>
      <c r="F29" s="120" t="s">
        <v>101</v>
      </c>
      <c r="G29" s="180"/>
      <c r="H29" s="181"/>
      <c r="I29" s="120"/>
      <c r="J29" s="305">
        <f>J21+J27</f>
        <v>599287.74845500267</v>
      </c>
      <c r="K29" s="120"/>
      <c r="L29" s="305">
        <f>L21+L27</f>
        <v>295726.58433544642</v>
      </c>
      <c r="M29" s="120"/>
      <c r="N29" s="305">
        <f t="shared" ref="N29" si="34">N21+N27</f>
        <v>184185.64998179435</v>
      </c>
      <c r="O29" s="120"/>
      <c r="P29" s="305">
        <f t="shared" ref="P29" si="35">P21+P27</f>
        <v>32293.470570910551</v>
      </c>
      <c r="Q29" s="120"/>
      <c r="R29" s="305">
        <f t="shared" ref="R29" si="36">R21+R27</f>
        <v>62567.051285069545</v>
      </c>
      <c r="S29" s="120"/>
      <c r="T29" s="305">
        <f t="shared" ref="T29" si="37">T21+T27</f>
        <v>21036.383399855407</v>
      </c>
      <c r="U29" s="120"/>
      <c r="V29" s="305">
        <f t="shared" ref="V29" si="38">V21+V27</f>
        <v>1596.2919801435444</v>
      </c>
      <c r="W29" s="120"/>
      <c r="X29" s="305">
        <f t="shared" ref="X29" si="39">X21+X27</f>
        <v>1882.3169017826353</v>
      </c>
      <c r="Z29" s="99">
        <f>SUM(L29:X29)-J29</f>
        <v>0</v>
      </c>
      <c r="AC29" s="120" t="s">
        <v>101</v>
      </c>
      <c r="AD29" s="180"/>
      <c r="AE29" s="181"/>
      <c r="AF29" s="120"/>
      <c r="AG29" s="305">
        <f>AG21+AG27</f>
        <v>599287.74845500267</v>
      </c>
      <c r="AH29" s="120"/>
      <c r="AI29" s="305">
        <f>AI21+AI27</f>
        <v>566623.7241761128</v>
      </c>
      <c r="AJ29" s="120"/>
      <c r="AK29" s="305">
        <f>AK21+AK27</f>
        <v>29185.41539696361</v>
      </c>
      <c r="AL29" s="120"/>
      <c r="AM29" s="305">
        <f>AM21+AM27</f>
        <v>0</v>
      </c>
      <c r="AN29" s="120"/>
      <c r="AO29" s="305">
        <f>AO21+AO27</f>
        <v>0</v>
      </c>
      <c r="AP29" s="120"/>
      <c r="AQ29" s="305">
        <f>AQ21+AQ27</f>
        <v>0</v>
      </c>
      <c r="AR29" s="120"/>
      <c r="AS29" s="305">
        <f>AS21+AS27</f>
        <v>0</v>
      </c>
      <c r="AT29" s="120"/>
      <c r="AU29" s="305">
        <f>AU21+AU27</f>
        <v>0</v>
      </c>
      <c r="AV29" s="120"/>
      <c r="AW29" s="305">
        <f t="shared" ref="AW29" si="40">AW21+AW27</f>
        <v>1596.2919801435444</v>
      </c>
      <c r="AX29" s="120"/>
      <c r="AY29" s="305">
        <f t="shared" ref="AY29" si="41">AY21+AY27</f>
        <v>1882.3169017826353</v>
      </c>
      <c r="BA29" s="99">
        <f t="shared" si="20"/>
        <v>0</v>
      </c>
      <c r="BB29" s="82"/>
      <c r="BC29" s="82"/>
      <c r="BD29" s="82"/>
    </row>
    <row r="30" spans="1:56" x14ac:dyDescent="0.2">
      <c r="A30" s="177"/>
      <c r="B30" s="177"/>
      <c r="C30" s="403"/>
      <c r="D30" s="413"/>
      <c r="E30" s="403"/>
      <c r="F30" s="167"/>
      <c r="G30" s="107"/>
      <c r="H30" s="71"/>
      <c r="I30" s="62"/>
      <c r="J30" s="231"/>
      <c r="K30" s="108"/>
      <c r="L30" s="83"/>
      <c r="M30" s="108"/>
      <c r="N30" s="83"/>
      <c r="O30" s="108"/>
      <c r="P30" s="83"/>
      <c r="Q30" s="108"/>
      <c r="R30" s="83"/>
      <c r="S30" s="108"/>
      <c r="T30" s="83"/>
      <c r="U30" s="108"/>
      <c r="V30" s="83"/>
      <c r="W30" s="108"/>
      <c r="X30" s="83"/>
      <c r="Z30" s="99"/>
      <c r="AC30" s="167"/>
      <c r="AG30" s="231"/>
      <c r="AH30" s="108"/>
      <c r="AI30" s="83"/>
      <c r="AJ30" s="108"/>
      <c r="AK30" s="83"/>
      <c r="AL30" s="108"/>
      <c r="AM30" s="83"/>
      <c r="AN30" s="108"/>
      <c r="AO30" s="83"/>
      <c r="AP30" s="108"/>
      <c r="AQ30" s="83"/>
      <c r="AR30" s="108"/>
      <c r="AS30" s="83"/>
      <c r="AT30" s="108"/>
      <c r="AU30" s="83"/>
      <c r="AV30" s="108"/>
      <c r="AW30" s="83"/>
      <c r="AX30" s="108"/>
      <c r="AY30" s="83"/>
      <c r="BA30" s="99">
        <f t="shared" si="20"/>
        <v>0</v>
      </c>
      <c r="BB30" s="82"/>
      <c r="BC30" s="82"/>
      <c r="BD30" s="82"/>
    </row>
    <row r="31" spans="1:56" x14ac:dyDescent="0.2">
      <c r="A31" s="177"/>
      <c r="B31" s="177"/>
      <c r="F31" s="307" t="s">
        <v>147</v>
      </c>
      <c r="G31" s="180"/>
      <c r="H31" s="181"/>
      <c r="I31" s="120"/>
      <c r="J31" s="231"/>
      <c r="K31" s="83"/>
      <c r="L31" s="83"/>
      <c r="M31" s="83"/>
      <c r="N31" s="83"/>
      <c r="O31" s="83"/>
      <c r="P31" s="83"/>
      <c r="Q31" s="83"/>
      <c r="R31" s="83"/>
      <c r="S31" s="83"/>
      <c r="T31" s="83"/>
      <c r="U31" s="83"/>
      <c r="V31" s="83"/>
      <c r="W31" s="83"/>
      <c r="X31" s="83"/>
      <c r="Z31" s="99">
        <f t="shared" ref="Z31" si="42">SUM(L31:X31)-J31</f>
        <v>0</v>
      </c>
      <c r="AC31" s="120" t="s">
        <v>147</v>
      </c>
      <c r="AG31" s="231"/>
      <c r="AH31" s="83"/>
      <c r="AI31" s="83"/>
      <c r="AJ31" s="83"/>
      <c r="AK31" s="83"/>
      <c r="AL31" s="83"/>
      <c r="AM31" s="83"/>
      <c r="AN31" s="83"/>
      <c r="AO31" s="83"/>
      <c r="AP31" s="83"/>
      <c r="AQ31" s="83"/>
      <c r="AR31" s="83"/>
      <c r="AS31" s="83"/>
      <c r="AT31" s="83"/>
      <c r="AU31" s="83"/>
      <c r="AV31" s="83"/>
      <c r="AW31" s="83"/>
      <c r="AX31" s="83"/>
      <c r="AY31" s="83"/>
      <c r="BA31" s="99">
        <f t="shared" si="20"/>
        <v>0</v>
      </c>
      <c r="BB31" s="82"/>
      <c r="BC31" s="82"/>
      <c r="BD31" s="82"/>
    </row>
    <row r="32" spans="1:56" x14ac:dyDescent="0.2">
      <c r="A32" s="177"/>
      <c r="B32" s="177"/>
      <c r="C32" s="116">
        <f>+Linkin!$L$48</f>
        <v>629804.90313564136</v>
      </c>
      <c r="D32" s="412">
        <v>615.1</v>
      </c>
      <c r="F32" s="120" t="s">
        <v>589</v>
      </c>
      <c r="G32" s="180"/>
      <c r="H32" s="181">
        <v>1</v>
      </c>
      <c r="I32" s="120"/>
      <c r="J32" s="305">
        <f>+C32</f>
        <v>629804.90313564136</v>
      </c>
      <c r="K32" s="108"/>
      <c r="L32" s="305">
        <f>(VLOOKUP($H32,Factors,L$381))*$J32</f>
        <v>309297.18792991346</v>
      </c>
      <c r="M32" s="108"/>
      <c r="N32" s="305">
        <f>(VLOOKUP($H32,Factors,N$381))*$J32</f>
        <v>193665.00771420973</v>
      </c>
      <c r="O32" s="108"/>
      <c r="P32" s="305">
        <f>(VLOOKUP($H32,Factors,P$381))*$J32</f>
        <v>34324.367220892454</v>
      </c>
      <c r="Q32" s="108"/>
      <c r="R32" s="305">
        <f>(VLOOKUP($H32,Factors,R$381))*$J32</f>
        <v>66318.456300183039</v>
      </c>
      <c r="S32" s="108"/>
      <c r="T32" s="305">
        <f>(VLOOKUP($H32,Factors,T$381))*$J32</f>
        <v>22358.074061315267</v>
      </c>
      <c r="U32" s="108"/>
      <c r="V32" s="305">
        <f>(VLOOKUP($H32,Factors,V$381))*$J32</f>
        <v>1763.4537287797957</v>
      </c>
      <c r="W32" s="108"/>
      <c r="X32" s="305">
        <f>(VLOOKUP($H32,Factors,X$381))*$J32</f>
        <v>2078.3561803476164</v>
      </c>
      <c r="Y32" s="116"/>
      <c r="Z32" s="116">
        <f t="shared" ref="Z32:Z41" si="43">SUM(L32:X32)-J32</f>
        <v>0</v>
      </c>
      <c r="AC32" s="120" t="s">
        <v>589</v>
      </c>
      <c r="AE32" s="154">
        <f t="shared" ref="AE32" si="44">+H32</f>
        <v>1</v>
      </c>
      <c r="AG32" s="305">
        <f>+J32</f>
        <v>629804.90313564136</v>
      </c>
      <c r="AH32" s="108"/>
      <c r="AI32" s="305">
        <f>(VLOOKUP($AE32,func,AI$381))*$AG32</f>
        <v>625963.09322651394</v>
      </c>
      <c r="AJ32" s="108"/>
      <c r="AK32" s="305">
        <f>(VLOOKUP($AE32,func,AK$381))*$AG32</f>
        <v>0</v>
      </c>
      <c r="AL32" s="108"/>
      <c r="AM32" s="305">
        <f>(VLOOKUP($AE32,func,AM$381))*$AG32</f>
        <v>0</v>
      </c>
      <c r="AN32" s="108"/>
      <c r="AO32" s="305">
        <f>(VLOOKUP($AE32,func,AO$381))*$AG32</f>
        <v>0</v>
      </c>
      <c r="AP32" s="108"/>
      <c r="AQ32" s="305">
        <f>(VLOOKUP($AE32,func,AQ$381))*$AG32</f>
        <v>0</v>
      </c>
      <c r="AR32" s="108"/>
      <c r="AS32" s="305">
        <f>(VLOOKUP($AE32,func,AS$381))*$AG32</f>
        <v>0</v>
      </c>
      <c r="AT32" s="108"/>
      <c r="AU32" s="305">
        <f>(VLOOKUP($AE32,func,AU$381))*$AG32</f>
        <v>0</v>
      </c>
      <c r="AV32" s="108"/>
      <c r="AW32" s="305">
        <f>(VLOOKUP($AE32,func,AW$381))*$AG32</f>
        <v>1763.4537287797957</v>
      </c>
      <c r="AX32" s="108"/>
      <c r="AY32" s="305">
        <f>(VLOOKUP($AE32,func,AY$381))*$AG32</f>
        <v>2078.3561803476164</v>
      </c>
      <c r="BA32" s="99">
        <f t="shared" si="20"/>
        <v>0</v>
      </c>
      <c r="BB32" s="82"/>
      <c r="BC32" s="82"/>
      <c r="BD32" s="82"/>
    </row>
    <row r="33" spans="1:56" x14ac:dyDescent="0.2">
      <c r="A33" s="177"/>
      <c r="B33" s="177"/>
      <c r="F33" s="120"/>
      <c r="G33" s="180"/>
      <c r="H33" s="181"/>
      <c r="I33" s="120"/>
      <c r="J33" s="231"/>
      <c r="K33" s="108"/>
      <c r="L33" s="231"/>
      <c r="M33" s="108"/>
      <c r="N33" s="231"/>
      <c r="O33" s="108"/>
      <c r="P33" s="231"/>
      <c r="Q33" s="108"/>
      <c r="R33" s="231"/>
      <c r="S33" s="108"/>
      <c r="T33" s="231"/>
      <c r="U33" s="108"/>
      <c r="V33" s="231"/>
      <c r="W33" s="108"/>
      <c r="X33" s="231"/>
      <c r="Z33" s="99">
        <f t="shared" si="43"/>
        <v>0</v>
      </c>
      <c r="AC33" s="120"/>
      <c r="AD33" s="180"/>
      <c r="AE33" s="181"/>
      <c r="AF33" s="120"/>
      <c r="AG33" s="231"/>
      <c r="AH33" s="108"/>
      <c r="AI33" s="231"/>
      <c r="AJ33" s="108"/>
      <c r="AK33" s="231"/>
      <c r="AL33" s="108"/>
      <c r="AM33" s="231"/>
      <c r="AN33" s="108"/>
      <c r="AO33" s="231"/>
      <c r="AP33" s="108"/>
      <c r="AQ33" s="231"/>
      <c r="AR33" s="108"/>
      <c r="AS33" s="231"/>
      <c r="AT33" s="108"/>
      <c r="AU33" s="231"/>
      <c r="AV33" s="108"/>
      <c r="AW33" s="231"/>
      <c r="AX33" s="108"/>
      <c r="AY33" s="231"/>
      <c r="BA33" s="99">
        <f t="shared" si="20"/>
        <v>0</v>
      </c>
      <c r="BB33" s="82"/>
      <c r="BC33" s="82"/>
      <c r="BD33" s="82"/>
    </row>
    <row r="34" spans="1:56" x14ac:dyDescent="0.2">
      <c r="A34" s="177"/>
      <c r="B34" s="177"/>
      <c r="F34" s="120" t="s">
        <v>98</v>
      </c>
      <c r="G34" s="180"/>
      <c r="H34" s="181"/>
      <c r="I34" s="120"/>
      <c r="J34" s="305">
        <f>SUM(J32:J32)</f>
        <v>629804.90313564136</v>
      </c>
      <c r="K34" s="120"/>
      <c r="L34" s="305">
        <f>SUM(L32:L32)</f>
        <v>309297.18792991346</v>
      </c>
      <c r="M34" s="120"/>
      <c r="N34" s="305">
        <f t="shared" ref="N34" si="45">SUM(N32:N32)</f>
        <v>193665.00771420973</v>
      </c>
      <c r="O34" s="120"/>
      <c r="P34" s="305">
        <f t="shared" ref="P34" si="46">SUM(P32:P32)</f>
        <v>34324.367220892454</v>
      </c>
      <c r="Q34" s="120"/>
      <c r="R34" s="305">
        <f t="shared" ref="R34" si="47">SUM(R32:R32)</f>
        <v>66318.456300183039</v>
      </c>
      <c r="S34" s="120"/>
      <c r="T34" s="305">
        <f t="shared" ref="T34" si="48">SUM(T32:T32)</f>
        <v>22358.074061315267</v>
      </c>
      <c r="U34" s="120"/>
      <c r="V34" s="305">
        <f t="shared" ref="V34" si="49">SUM(V32:V32)</f>
        <v>1763.4537287797957</v>
      </c>
      <c r="W34" s="120"/>
      <c r="X34" s="305">
        <f t="shared" ref="X34" si="50">SUM(X32:X32)</f>
        <v>2078.3561803476164</v>
      </c>
      <c r="Z34" s="99">
        <f t="shared" si="43"/>
        <v>0</v>
      </c>
      <c r="AC34" s="120" t="s">
        <v>98</v>
      </c>
      <c r="AD34" s="180"/>
      <c r="AE34" s="181"/>
      <c r="AF34" s="120"/>
      <c r="AG34" s="305">
        <f>SUM(AG32:AG32)</f>
        <v>629804.90313564136</v>
      </c>
      <c r="AH34" s="120"/>
      <c r="AI34" s="305">
        <f>SUM(AI32:AI32)</f>
        <v>625963.09322651394</v>
      </c>
      <c r="AJ34" s="120"/>
      <c r="AK34" s="305">
        <f>SUM(AK32:AK32)</f>
        <v>0</v>
      </c>
      <c r="AL34" s="120"/>
      <c r="AM34" s="305">
        <f>SUM(AM32:AM32)</f>
        <v>0</v>
      </c>
      <c r="AN34" s="120"/>
      <c r="AO34" s="305">
        <f>SUM(AO32:AO32)</f>
        <v>0</v>
      </c>
      <c r="AP34" s="120"/>
      <c r="AQ34" s="305">
        <f>SUM(AQ32:AQ32)</f>
        <v>0</v>
      </c>
      <c r="AR34" s="120"/>
      <c r="AS34" s="305">
        <f>SUM(AS32:AS32)</f>
        <v>0</v>
      </c>
      <c r="AT34" s="120"/>
      <c r="AU34" s="305">
        <f>SUM(AU32:AU32)</f>
        <v>0</v>
      </c>
      <c r="AV34" s="120"/>
      <c r="AW34" s="305">
        <f t="shared" ref="AW34" si="51">SUM(AW32:AW32)</f>
        <v>1763.4537287797957</v>
      </c>
      <c r="AX34" s="120"/>
      <c r="AY34" s="305">
        <f t="shared" ref="AY34" si="52">SUM(AY32:AY32)</f>
        <v>2078.3561803476164</v>
      </c>
      <c r="BA34" s="99">
        <f t="shared" si="20"/>
        <v>0</v>
      </c>
      <c r="BB34" s="82"/>
      <c r="BC34" s="82"/>
      <c r="BD34" s="82"/>
    </row>
    <row r="35" spans="1:56" x14ac:dyDescent="0.2">
      <c r="A35" s="177"/>
      <c r="B35" s="177"/>
      <c r="F35" s="120" t="s">
        <v>99</v>
      </c>
      <c r="G35" s="180"/>
      <c r="H35" s="181"/>
      <c r="I35" s="120"/>
      <c r="J35" s="231"/>
      <c r="K35" s="108"/>
      <c r="L35" s="231"/>
      <c r="M35" s="108"/>
      <c r="N35" s="231"/>
      <c r="O35" s="108"/>
      <c r="P35" s="231"/>
      <c r="Q35" s="108"/>
      <c r="R35" s="231"/>
      <c r="S35" s="108"/>
      <c r="T35" s="231"/>
      <c r="U35" s="108"/>
      <c r="V35" s="231"/>
      <c r="W35" s="108"/>
      <c r="X35" s="231"/>
      <c r="Z35" s="99">
        <f t="shared" si="43"/>
        <v>0</v>
      </c>
      <c r="AC35" s="120" t="s">
        <v>99</v>
      </c>
      <c r="AG35" s="231"/>
      <c r="AH35" s="108"/>
      <c r="AI35" s="231"/>
      <c r="AJ35" s="108"/>
      <c r="AK35" s="231"/>
      <c r="AL35" s="108"/>
      <c r="AM35" s="231"/>
      <c r="AN35" s="108"/>
      <c r="AO35" s="231"/>
      <c r="AP35" s="108"/>
      <c r="AQ35" s="231"/>
      <c r="AR35" s="108"/>
      <c r="AS35" s="231"/>
      <c r="AT35" s="108"/>
      <c r="AU35" s="231"/>
      <c r="AV35" s="108"/>
      <c r="AW35" s="231"/>
      <c r="AX35" s="108"/>
      <c r="AY35" s="231"/>
      <c r="BA35" s="99">
        <f t="shared" si="20"/>
        <v>0</v>
      </c>
      <c r="BB35" s="82"/>
      <c r="BC35" s="82"/>
      <c r="BD35" s="82"/>
    </row>
    <row r="36" spans="1:56" s="59" customFormat="1" x14ac:dyDescent="0.2">
      <c r="A36" s="185"/>
      <c r="B36" s="185"/>
      <c r="C36" s="116">
        <f>+Linkin!L75+Linkin!L96</f>
        <v>0</v>
      </c>
      <c r="D36" s="412">
        <v>601.20000000000005</v>
      </c>
      <c r="E36" s="116"/>
      <c r="F36" s="120" t="s">
        <v>706</v>
      </c>
      <c r="G36" s="180"/>
      <c r="H36" s="181">
        <v>6</v>
      </c>
      <c r="I36" s="120"/>
      <c r="J36" s="305">
        <f>+C36</f>
        <v>0</v>
      </c>
      <c r="K36" s="108"/>
      <c r="L36" s="305">
        <f>(VLOOKUP($H36,Factors,L$381))*$J36</f>
        <v>0</v>
      </c>
      <c r="M36" s="108"/>
      <c r="N36" s="305">
        <f>(VLOOKUP($H36,Factors,N$381))*$J36</f>
        <v>0</v>
      </c>
      <c r="O36" s="108"/>
      <c r="P36" s="305">
        <f>(VLOOKUP($H36,Factors,P$381))*$J36</f>
        <v>0</v>
      </c>
      <c r="Q36" s="108"/>
      <c r="R36" s="305">
        <f>(VLOOKUP($H36,Factors,R$381))*$J36</f>
        <v>0</v>
      </c>
      <c r="S36" s="108"/>
      <c r="T36" s="305">
        <f>(VLOOKUP($H36,Factors,T$381))*$J36</f>
        <v>0</v>
      </c>
      <c r="U36" s="108"/>
      <c r="V36" s="305">
        <f>(VLOOKUP($H36,Factors,V$381))*$J36</f>
        <v>0</v>
      </c>
      <c r="W36" s="108"/>
      <c r="X36" s="305">
        <f>(VLOOKUP($H36,Factors,X$381))*$J36</f>
        <v>0</v>
      </c>
      <c r="Y36" s="116"/>
      <c r="Z36" s="116">
        <f t="shared" si="43"/>
        <v>0</v>
      </c>
      <c r="AC36" s="120" t="s">
        <v>706</v>
      </c>
      <c r="AE36" s="154">
        <f>+H36</f>
        <v>6</v>
      </c>
      <c r="AF36"/>
      <c r="AG36" s="305">
        <f>+J36</f>
        <v>0</v>
      </c>
      <c r="AH36" s="108"/>
      <c r="AI36" s="305">
        <f>(VLOOKUP($AE36,func,AI$381))*$AG36</f>
        <v>0</v>
      </c>
      <c r="AJ36" s="108"/>
      <c r="AK36" s="305">
        <f>(VLOOKUP($AE36,func,AK$381))*$AG36</f>
        <v>0</v>
      </c>
      <c r="AL36" s="108"/>
      <c r="AM36" s="305">
        <f>(VLOOKUP($AE36,func,AM$381))*$AG36</f>
        <v>0</v>
      </c>
      <c r="AN36" s="108"/>
      <c r="AO36" s="305">
        <f>(VLOOKUP($AE36,func,AO$381))*$AG36</f>
        <v>0</v>
      </c>
      <c r="AP36" s="108"/>
      <c r="AQ36" s="305">
        <f>(VLOOKUP($AE36,func,AQ$381))*$AG36</f>
        <v>0</v>
      </c>
      <c r="AR36" s="108"/>
      <c r="AS36" s="305">
        <f>(VLOOKUP($AE36,func,AS$381))*$AG36</f>
        <v>0</v>
      </c>
      <c r="AT36" s="108"/>
      <c r="AU36" s="305">
        <f>(VLOOKUP($AE36,func,AU$381))*$AG36</f>
        <v>0</v>
      </c>
      <c r="AV36" s="108"/>
      <c r="AW36" s="305">
        <f>(VLOOKUP($AE36,func,AW$381))*$AG36</f>
        <v>0</v>
      </c>
      <c r="AX36" s="108"/>
      <c r="AY36" s="305">
        <f>(VLOOKUP($AE36,func,AY$381))*$AG36</f>
        <v>0</v>
      </c>
      <c r="AZ36"/>
      <c r="BA36" s="99">
        <f t="shared" si="20"/>
        <v>0</v>
      </c>
      <c r="BB36" s="82"/>
      <c r="BC36" s="82"/>
      <c r="BD36" s="82"/>
    </row>
    <row r="37" spans="1:56" x14ac:dyDescent="0.2">
      <c r="A37" s="177"/>
      <c r="B37" s="177"/>
      <c r="F37" s="120"/>
      <c r="G37" s="180"/>
      <c r="H37" s="181"/>
      <c r="I37" s="120"/>
      <c r="J37" s="231"/>
      <c r="K37" s="108"/>
      <c r="L37" s="231"/>
      <c r="M37" s="108"/>
      <c r="N37" s="231"/>
      <c r="O37" s="108"/>
      <c r="P37" s="231"/>
      <c r="Q37" s="108"/>
      <c r="R37" s="231"/>
      <c r="S37" s="108"/>
      <c r="T37" s="231"/>
      <c r="U37" s="108"/>
      <c r="V37" s="231"/>
      <c r="W37" s="108"/>
      <c r="X37" s="231"/>
      <c r="Z37" s="99">
        <f t="shared" si="43"/>
        <v>0</v>
      </c>
      <c r="AC37" s="120"/>
      <c r="AD37" s="180"/>
      <c r="AE37" s="181"/>
      <c r="AF37" s="120"/>
      <c r="AG37" s="231"/>
      <c r="AH37" s="108"/>
      <c r="AI37" s="231"/>
      <c r="AJ37" s="108"/>
      <c r="AK37" s="231"/>
      <c r="AL37" s="108"/>
      <c r="AM37" s="231"/>
      <c r="AN37" s="108"/>
      <c r="AO37" s="231"/>
      <c r="AP37" s="108"/>
      <c r="AQ37" s="231"/>
      <c r="AR37" s="108"/>
      <c r="AS37" s="231"/>
      <c r="AT37" s="108"/>
      <c r="AU37" s="231"/>
      <c r="AV37" s="108"/>
      <c r="AW37" s="231"/>
      <c r="AX37" s="108"/>
      <c r="AY37" s="231"/>
      <c r="BA37" s="99">
        <f t="shared" si="20"/>
        <v>0</v>
      </c>
      <c r="BB37" s="82"/>
      <c r="BC37" s="82"/>
      <c r="BD37" s="82"/>
    </row>
    <row r="38" spans="1:56" x14ac:dyDescent="0.2">
      <c r="A38" s="177"/>
      <c r="B38" s="177"/>
      <c r="F38" s="120" t="s">
        <v>100</v>
      </c>
      <c r="G38" s="180"/>
      <c r="H38" s="181"/>
      <c r="I38" s="120"/>
      <c r="J38" s="305">
        <f>SUM(J36:J36)</f>
        <v>0</v>
      </c>
      <c r="K38" s="120"/>
      <c r="L38" s="305">
        <f>SUM(L36:L36)</f>
        <v>0</v>
      </c>
      <c r="M38" s="120"/>
      <c r="N38" s="305">
        <f t="shared" ref="N38" si="53">SUM(N36:N36)</f>
        <v>0</v>
      </c>
      <c r="O38" s="120"/>
      <c r="P38" s="305">
        <f t="shared" ref="P38" si="54">SUM(P36:P36)</f>
        <v>0</v>
      </c>
      <c r="Q38" s="120"/>
      <c r="R38" s="305">
        <f t="shared" ref="R38" si="55">SUM(R36:R36)</f>
        <v>0</v>
      </c>
      <c r="S38" s="120"/>
      <c r="T38" s="305">
        <f t="shared" ref="T38" si="56">SUM(T36:T36)</f>
        <v>0</v>
      </c>
      <c r="U38" s="120"/>
      <c r="V38" s="305">
        <f t="shared" ref="V38" si="57">SUM(V36:V36)</f>
        <v>0</v>
      </c>
      <c r="W38" s="120"/>
      <c r="X38" s="305">
        <f t="shared" ref="X38" si="58">SUM(X36:X36)</f>
        <v>0</v>
      </c>
      <c r="Z38" s="99">
        <f t="shared" si="43"/>
        <v>0</v>
      </c>
      <c r="AC38" s="120" t="s">
        <v>100</v>
      </c>
      <c r="AD38" s="180"/>
      <c r="AE38" s="181"/>
      <c r="AF38" s="120"/>
      <c r="AG38" s="305">
        <f>SUM(AG36:AG36)</f>
        <v>0</v>
      </c>
      <c r="AH38" s="120"/>
      <c r="AI38" s="305">
        <f>SUM(AI36:AI36)</f>
        <v>0</v>
      </c>
      <c r="AJ38" s="120"/>
      <c r="AK38" s="305">
        <f>SUM(AK36:AK36)</f>
        <v>0</v>
      </c>
      <c r="AL38" s="120"/>
      <c r="AM38" s="305">
        <f>SUM(AM36:AM36)</f>
        <v>0</v>
      </c>
      <c r="AN38" s="120"/>
      <c r="AO38" s="305">
        <f>SUM(AO36:AO36)</f>
        <v>0</v>
      </c>
      <c r="AP38" s="120"/>
      <c r="AQ38" s="305">
        <f>SUM(AQ36:AQ36)</f>
        <v>0</v>
      </c>
      <c r="AR38" s="120"/>
      <c r="AS38" s="305">
        <f>SUM(AS36:AS36)</f>
        <v>0</v>
      </c>
      <c r="AT38" s="120"/>
      <c r="AU38" s="305">
        <f>SUM(AU36:AU36)</f>
        <v>0</v>
      </c>
      <c r="AV38" s="120"/>
      <c r="AW38" s="305">
        <f t="shared" ref="AW38" si="59">SUM(AW36:AW36)</f>
        <v>0</v>
      </c>
      <c r="AX38" s="120"/>
      <c r="AY38" s="305">
        <f t="shared" ref="AY38" si="60">SUM(AY36:AY36)</f>
        <v>0</v>
      </c>
      <c r="BA38" s="99">
        <f t="shared" si="20"/>
        <v>0</v>
      </c>
      <c r="BB38" s="82"/>
      <c r="BC38" s="82"/>
      <c r="BD38" s="82"/>
    </row>
    <row r="39" spans="1:56" x14ac:dyDescent="0.2">
      <c r="A39" s="185"/>
      <c r="B39" s="167"/>
      <c r="F39" s="120"/>
      <c r="G39" s="180"/>
      <c r="H39" s="181"/>
      <c r="I39" s="120"/>
      <c r="J39" s="231"/>
      <c r="K39" s="120"/>
      <c r="L39" s="231"/>
      <c r="M39" s="120"/>
      <c r="N39" s="231"/>
      <c r="O39" s="120"/>
      <c r="P39" s="231"/>
      <c r="Q39" s="120"/>
      <c r="R39" s="231"/>
      <c r="S39" s="120"/>
      <c r="T39" s="231"/>
      <c r="U39" s="120"/>
      <c r="V39" s="231"/>
      <c r="W39" s="120"/>
      <c r="X39" s="231"/>
      <c r="Z39" s="99">
        <f t="shared" si="43"/>
        <v>0</v>
      </c>
      <c r="AC39" s="120"/>
      <c r="AD39" s="180"/>
      <c r="AE39" s="181"/>
      <c r="AF39" s="120"/>
      <c r="AG39" s="231"/>
      <c r="AH39" s="120"/>
      <c r="AI39" s="231"/>
      <c r="AJ39" s="120"/>
      <c r="AK39" s="231"/>
      <c r="AL39" s="120"/>
      <c r="AM39" s="231"/>
      <c r="AN39" s="120"/>
      <c r="AO39" s="231"/>
      <c r="AP39" s="120"/>
      <c r="AQ39" s="231"/>
      <c r="AR39" s="120"/>
      <c r="AS39" s="231"/>
      <c r="AT39" s="120"/>
      <c r="AU39" s="231"/>
      <c r="AV39" s="120"/>
      <c r="AW39" s="231"/>
      <c r="AX39" s="120"/>
      <c r="AY39" s="231"/>
      <c r="BA39" s="99">
        <f t="shared" si="20"/>
        <v>0</v>
      </c>
      <c r="BB39" s="82"/>
      <c r="BC39" s="82"/>
      <c r="BD39" s="82"/>
    </row>
    <row r="40" spans="1:56" x14ac:dyDescent="0.2">
      <c r="A40" s="185"/>
      <c r="B40" s="167"/>
      <c r="F40" s="120" t="s">
        <v>102</v>
      </c>
      <c r="G40" s="180"/>
      <c r="H40" s="181"/>
      <c r="I40" s="120"/>
      <c r="J40" s="305">
        <f>J38+J34</f>
        <v>629804.90313564136</v>
      </c>
      <c r="K40" s="120"/>
      <c r="L40" s="305">
        <f>L38+L34</f>
        <v>309297.18792991346</v>
      </c>
      <c r="M40" s="120"/>
      <c r="N40" s="305">
        <f t="shared" ref="N40" si="61">N38+N34</f>
        <v>193665.00771420973</v>
      </c>
      <c r="O40" s="120"/>
      <c r="P40" s="305">
        <f t="shared" ref="P40" si="62">P38+P34</f>
        <v>34324.367220892454</v>
      </c>
      <c r="Q40" s="120"/>
      <c r="R40" s="305">
        <f t="shared" ref="R40" si="63">R38+R34</f>
        <v>66318.456300183039</v>
      </c>
      <c r="S40" s="120"/>
      <c r="T40" s="305">
        <f t="shared" ref="T40" si="64">T38+T34</f>
        <v>22358.074061315267</v>
      </c>
      <c r="U40" s="120"/>
      <c r="V40" s="305">
        <f t="shared" ref="V40" si="65">V38+V34</f>
        <v>1763.4537287797957</v>
      </c>
      <c r="W40" s="120"/>
      <c r="X40" s="305">
        <f t="shared" ref="X40" si="66">X38+X34</f>
        <v>2078.3561803476164</v>
      </c>
      <c r="Z40" s="99">
        <f t="shared" si="43"/>
        <v>0</v>
      </c>
      <c r="AC40" s="120" t="s">
        <v>102</v>
      </c>
      <c r="AD40" s="180"/>
      <c r="AE40" s="181"/>
      <c r="AF40" s="120"/>
      <c r="AG40" s="305">
        <f>AG38+AG34</f>
        <v>629804.90313564136</v>
      </c>
      <c r="AH40" s="120"/>
      <c r="AI40" s="305">
        <f>AI38+AI34</f>
        <v>625963.09322651394</v>
      </c>
      <c r="AJ40" s="120"/>
      <c r="AK40" s="305">
        <f>AK38+AK34</f>
        <v>0</v>
      </c>
      <c r="AL40" s="120"/>
      <c r="AM40" s="305">
        <f>AM38+AM34</f>
        <v>0</v>
      </c>
      <c r="AN40" s="120"/>
      <c r="AO40" s="305">
        <f>AO38+AO34</f>
        <v>0</v>
      </c>
      <c r="AP40" s="120"/>
      <c r="AQ40" s="305">
        <f>AQ38+AQ34</f>
        <v>0</v>
      </c>
      <c r="AR40" s="120"/>
      <c r="AS40" s="305">
        <f>AS38+AS34</f>
        <v>0</v>
      </c>
      <c r="AT40" s="120"/>
      <c r="AU40" s="305">
        <f>AU38+AU34</f>
        <v>0</v>
      </c>
      <c r="AV40" s="120"/>
      <c r="AW40" s="305">
        <f t="shared" ref="AW40" si="67">AW38+AW34</f>
        <v>1763.4537287797957</v>
      </c>
      <c r="AX40" s="120"/>
      <c r="AY40" s="305">
        <f t="shared" ref="AY40" si="68">AY38+AY34</f>
        <v>2078.3561803476164</v>
      </c>
      <c r="BA40" s="99">
        <f t="shared" si="20"/>
        <v>0</v>
      </c>
      <c r="BB40" s="82"/>
      <c r="BC40" s="82"/>
      <c r="BD40" s="82"/>
    </row>
    <row r="41" spans="1:56" x14ac:dyDescent="0.2">
      <c r="A41" s="185"/>
      <c r="B41" s="167"/>
      <c r="F41" s="120"/>
      <c r="G41" s="180"/>
      <c r="H41" s="181"/>
      <c r="I41" s="120"/>
      <c r="J41" s="231"/>
      <c r="K41" s="108"/>
      <c r="L41" s="83"/>
      <c r="M41" s="109"/>
      <c r="N41" s="83"/>
      <c r="O41" s="109"/>
      <c r="P41" s="83"/>
      <c r="Q41" s="109"/>
      <c r="R41" s="83"/>
      <c r="S41" s="109"/>
      <c r="T41" s="83"/>
      <c r="U41" s="109"/>
      <c r="V41" s="83"/>
      <c r="W41" s="109"/>
      <c r="X41" s="83"/>
      <c r="Z41" s="99">
        <f t="shared" si="43"/>
        <v>0</v>
      </c>
      <c r="AC41" s="120"/>
      <c r="AE41" s="154"/>
      <c r="AG41" s="231"/>
      <c r="AH41" s="108"/>
      <c r="AI41" s="83"/>
      <c r="AJ41" s="109"/>
      <c r="AK41" s="83"/>
      <c r="AL41" s="109"/>
      <c r="AM41" s="83"/>
      <c r="AN41" s="109"/>
      <c r="AO41" s="83"/>
      <c r="AP41" s="109"/>
      <c r="AQ41" s="83"/>
      <c r="AR41" s="109"/>
      <c r="AS41" s="83"/>
      <c r="AT41" s="109"/>
      <c r="AU41" s="83"/>
      <c r="AV41" s="83"/>
      <c r="AW41" s="83"/>
      <c r="AX41" s="83"/>
      <c r="AY41" s="83"/>
      <c r="BA41" s="99">
        <f t="shared" si="20"/>
        <v>0</v>
      </c>
      <c r="BB41" s="82"/>
      <c r="BC41" s="82"/>
      <c r="BD41" s="82"/>
    </row>
    <row r="42" spans="1:56" x14ac:dyDescent="0.2">
      <c r="A42" s="185"/>
      <c r="B42" s="167"/>
      <c r="F42" s="307" t="s">
        <v>146</v>
      </c>
      <c r="G42" s="180"/>
      <c r="H42" s="181"/>
      <c r="I42" s="120"/>
      <c r="J42" s="231"/>
      <c r="K42" s="108"/>
      <c r="L42" s="83"/>
      <c r="M42" s="109"/>
      <c r="N42" s="83"/>
      <c r="O42" s="109"/>
      <c r="P42" s="83"/>
      <c r="Q42" s="109"/>
      <c r="R42" s="83"/>
      <c r="S42" s="109"/>
      <c r="T42" s="83"/>
      <c r="U42" s="109"/>
      <c r="V42" s="83"/>
      <c r="W42" s="109"/>
      <c r="X42" s="83"/>
      <c r="Z42" s="99">
        <f t="shared" ref="Z42:Z45" si="69">SUM(L42:X42)-J42</f>
        <v>0</v>
      </c>
      <c r="AC42" s="120" t="s">
        <v>146</v>
      </c>
      <c r="AE42" s="154"/>
      <c r="AG42" s="231"/>
      <c r="AH42" s="108"/>
      <c r="AI42" s="83"/>
      <c r="AJ42" s="109"/>
      <c r="AK42" s="83"/>
      <c r="AL42" s="109"/>
      <c r="AM42" s="83"/>
      <c r="AN42" s="109"/>
      <c r="AO42" s="83"/>
      <c r="AP42" s="109"/>
      <c r="AQ42" s="83"/>
      <c r="AR42" s="109"/>
      <c r="AS42" s="83"/>
      <c r="AT42" s="109"/>
      <c r="AU42" s="83"/>
      <c r="AV42" s="83"/>
      <c r="AW42" s="83"/>
      <c r="AX42" s="83"/>
      <c r="AY42" s="83"/>
      <c r="BA42" s="99">
        <f t="shared" si="20"/>
        <v>0</v>
      </c>
      <c r="BB42" s="82"/>
      <c r="BC42" s="82"/>
      <c r="BD42" s="82"/>
    </row>
    <row r="43" spans="1:56" x14ac:dyDescent="0.2">
      <c r="A43" s="185"/>
      <c r="B43" s="167"/>
      <c r="F43" s="120" t="s">
        <v>97</v>
      </c>
      <c r="G43" s="180"/>
      <c r="H43" s="181"/>
      <c r="I43" s="120"/>
      <c r="J43" s="231"/>
      <c r="K43" s="108"/>
      <c r="L43" s="83"/>
      <c r="M43" s="109"/>
      <c r="N43" s="83"/>
      <c r="O43" s="109"/>
      <c r="P43" s="83"/>
      <c r="Q43" s="109"/>
      <c r="R43" s="83"/>
      <c r="S43" s="109"/>
      <c r="T43" s="83"/>
      <c r="U43" s="109"/>
      <c r="V43" s="83"/>
      <c r="W43" s="109"/>
      <c r="X43" s="83"/>
      <c r="Z43" s="99">
        <f t="shared" si="69"/>
        <v>0</v>
      </c>
      <c r="AC43" s="120" t="s">
        <v>97</v>
      </c>
      <c r="AE43" s="154"/>
      <c r="AG43" s="231"/>
      <c r="AH43" s="108"/>
      <c r="AI43" s="83"/>
      <c r="AJ43" s="109"/>
      <c r="AK43" s="83"/>
      <c r="AL43" s="109"/>
      <c r="AM43" s="83"/>
      <c r="AN43" s="109"/>
      <c r="AO43" s="83"/>
      <c r="AP43" s="109"/>
      <c r="AQ43" s="83"/>
      <c r="AR43" s="109"/>
      <c r="AS43" s="83"/>
      <c r="AT43" s="109"/>
      <c r="AU43" s="83"/>
      <c r="AV43" s="83"/>
      <c r="AW43" s="83"/>
      <c r="AX43" s="83"/>
      <c r="AY43" s="83"/>
      <c r="BA43" s="99">
        <f t="shared" si="20"/>
        <v>0</v>
      </c>
      <c r="BB43" s="82"/>
      <c r="BC43" s="82"/>
      <c r="BD43" s="82"/>
    </row>
    <row r="44" spans="1:56" ht="5.45" customHeight="1" x14ac:dyDescent="0.2">
      <c r="A44" s="185"/>
      <c r="B44" s="167"/>
      <c r="F44"/>
      <c r="G44" s="180"/>
      <c r="H44" s="181"/>
      <c r="I44" s="120"/>
      <c r="J44" s="231"/>
      <c r="K44" s="108"/>
      <c r="L44" s="83"/>
      <c r="M44" s="109"/>
      <c r="N44" s="83"/>
      <c r="O44" s="109"/>
      <c r="P44" s="83"/>
      <c r="Q44" s="109"/>
      <c r="R44" s="83"/>
      <c r="S44" s="109"/>
      <c r="T44" s="83"/>
      <c r="U44" s="109"/>
      <c r="V44" s="83"/>
      <c r="W44" s="109"/>
      <c r="X44" s="83"/>
      <c r="Z44" s="99">
        <f t="shared" si="69"/>
        <v>0</v>
      </c>
      <c r="AC44" s="459"/>
      <c r="AE44" s="154"/>
      <c r="AG44" s="231"/>
      <c r="AH44" s="108"/>
      <c r="AI44" s="83"/>
      <c r="AJ44" s="109"/>
      <c r="AK44" s="83"/>
      <c r="AL44" s="109"/>
      <c r="AM44" s="83"/>
      <c r="AN44" s="109"/>
      <c r="AO44" s="83"/>
      <c r="AP44" s="109"/>
      <c r="AQ44" s="83"/>
      <c r="AR44" s="109"/>
      <c r="AS44" s="83"/>
      <c r="AT44" s="109"/>
      <c r="AU44" s="83"/>
      <c r="AV44" s="83"/>
      <c r="AW44" s="83"/>
      <c r="AX44" s="83"/>
      <c r="AY44" s="83"/>
      <c r="BA44" s="99">
        <f t="shared" si="20"/>
        <v>0</v>
      </c>
      <c r="BB44" s="82"/>
      <c r="BC44" s="82"/>
      <c r="BD44" s="82"/>
    </row>
    <row r="45" spans="1:56" x14ac:dyDescent="0.2">
      <c r="A45" s="185"/>
      <c r="B45" s="167"/>
      <c r="C45" s="116">
        <f>+Linkin!L65</f>
        <v>173467.77337299724</v>
      </c>
      <c r="D45" s="412">
        <v>601.29999999999995</v>
      </c>
      <c r="F45" s="120" t="s">
        <v>593</v>
      </c>
      <c r="G45" s="180"/>
      <c r="H45" s="181">
        <v>2</v>
      </c>
      <c r="I45" s="120"/>
      <c r="J45" s="231">
        <f t="shared" ref="J45" si="70">+C45</f>
        <v>173467.77337299724</v>
      </c>
      <c r="K45" s="108"/>
      <c r="L45" s="115">
        <f t="shared" ref="L45:L62" si="71">(VLOOKUP($H45,Factors,L$381))*$J45</f>
        <v>88798.153189637291</v>
      </c>
      <c r="M45" s="230"/>
      <c r="N45" s="115">
        <f t="shared" ref="N45:N62" si="72">(VLOOKUP($H45,Factors,N$381))*$J45</f>
        <v>53098.485429474451</v>
      </c>
      <c r="O45" s="230"/>
      <c r="P45" s="115">
        <f t="shared" ref="P45:P62" si="73">(VLOOKUP($H45,Factors,P$381))*$J45</f>
        <v>8517.2676726141635</v>
      </c>
      <c r="Q45" s="230"/>
      <c r="R45" s="115">
        <f t="shared" ref="R45:R62" si="74">(VLOOKUP($H45,Factors,R$381))*$J45</f>
        <v>16895.761126529927</v>
      </c>
      <c r="S45" s="230"/>
      <c r="T45" s="115">
        <f t="shared" ref="T45:T62" si="75">(VLOOKUP($H45,Factors,T$381))*$J45</f>
        <v>5550.9687479359118</v>
      </c>
      <c r="U45" s="230"/>
      <c r="V45" s="115">
        <f t="shared" ref="V45:V62" si="76">(VLOOKUP($H45,Factors,V$381))*$J45</f>
        <v>277.54843739679558</v>
      </c>
      <c r="W45" s="230"/>
      <c r="X45" s="115">
        <f t="shared" ref="X45:X62" si="77">(VLOOKUP($H45,Factors,X$381))*$J45</f>
        <v>329.58876940869476</v>
      </c>
      <c r="Y45" s="116"/>
      <c r="Z45" s="116">
        <f t="shared" si="69"/>
        <v>0</v>
      </c>
      <c r="AC45" s="120" t="s">
        <v>593</v>
      </c>
      <c r="AE45" s="154">
        <f>+H45</f>
        <v>2</v>
      </c>
      <c r="AG45" s="231">
        <f>+J45</f>
        <v>173467.77337299724</v>
      </c>
      <c r="AH45" s="108"/>
      <c r="AI45" s="115">
        <f t="shared" ref="AI45:AI62" si="78">(VLOOKUP($AE45,func,AI$381))*$AG45</f>
        <v>98512.348498525127</v>
      </c>
      <c r="AJ45" s="230"/>
      <c r="AK45" s="115">
        <f t="shared" ref="AK45:AK62" si="79">(VLOOKUP($AE45,func,AK$381))*$AG45</f>
        <v>74348.28766766662</v>
      </c>
      <c r="AL45" s="230"/>
      <c r="AM45" s="115">
        <f t="shared" ref="AM45:AM62" si="80">(VLOOKUP($AE45,func,AM$381))*$AG45</f>
        <v>0</v>
      </c>
      <c r="AN45" s="230"/>
      <c r="AO45" s="115">
        <f t="shared" ref="AO45:AO62" si="81">(VLOOKUP($AE45,func,AO$381))*$AG45</f>
        <v>0</v>
      </c>
      <c r="AP45" s="230"/>
      <c r="AQ45" s="115">
        <f t="shared" ref="AQ45:AQ62" si="82">(VLOOKUP($AE45,func,AQ$381))*$AG45</f>
        <v>0</v>
      </c>
      <c r="AR45" s="230"/>
      <c r="AS45" s="115">
        <f t="shared" ref="AS45:AS62" si="83">(VLOOKUP($AE45,func,AS$381))*$AG45</f>
        <v>0</v>
      </c>
      <c r="AT45" s="230"/>
      <c r="AU45" s="115">
        <f t="shared" ref="AU45:AU62" si="84">(VLOOKUP($AE45,func,AU$381))*$AG45</f>
        <v>0</v>
      </c>
      <c r="AV45" s="69"/>
      <c r="AW45" s="69">
        <f t="shared" ref="AW45:AW62" si="85">(VLOOKUP($AE45,func,AW$381))*$AG45</f>
        <v>277.54843739679558</v>
      </c>
      <c r="AX45" s="69"/>
      <c r="AY45" s="69">
        <f t="shared" ref="AY45:AY62" si="86">(VLOOKUP($AE45,func,AY$381))*$AG45</f>
        <v>329.58876940869476</v>
      </c>
      <c r="BA45" s="99">
        <f t="shared" si="20"/>
        <v>0</v>
      </c>
      <c r="BB45" s="82"/>
      <c r="BC45" s="82"/>
      <c r="BD45" s="82"/>
    </row>
    <row r="46" spans="1:56" s="417" customFormat="1" x14ac:dyDescent="0.2">
      <c r="A46" s="185"/>
      <c r="B46" s="167"/>
      <c r="C46" s="116">
        <f>+Linkin!L64+Linkin!L87+Linkin!L105</f>
        <v>2398530.249650151</v>
      </c>
      <c r="D46" s="412">
        <v>601.29999999999995</v>
      </c>
      <c r="E46" s="116"/>
      <c r="F46" s="120" t="s">
        <v>705</v>
      </c>
      <c r="G46" s="180"/>
      <c r="H46" s="181">
        <v>2</v>
      </c>
      <c r="I46" s="120"/>
      <c r="J46" s="231">
        <f t="shared" ref="J46" si="87">+C46</f>
        <v>2398530.249650151</v>
      </c>
      <c r="K46" s="108"/>
      <c r="L46" s="115">
        <f t="shared" si="71"/>
        <v>1227807.6347959123</v>
      </c>
      <c r="M46" s="230"/>
      <c r="N46" s="115">
        <f t="shared" si="72"/>
        <v>734190.10941791115</v>
      </c>
      <c r="O46" s="230"/>
      <c r="P46" s="115">
        <f t="shared" si="73"/>
        <v>117767.83525782241</v>
      </c>
      <c r="Q46" s="230"/>
      <c r="R46" s="115">
        <f t="shared" si="74"/>
        <v>233616.84631592469</v>
      </c>
      <c r="S46" s="230"/>
      <c r="T46" s="115">
        <f t="shared" si="75"/>
        <v>76752.967988804827</v>
      </c>
      <c r="U46" s="230"/>
      <c r="V46" s="115">
        <f t="shared" si="76"/>
        <v>3837.648399440242</v>
      </c>
      <c r="W46" s="230"/>
      <c r="X46" s="115">
        <f t="shared" si="77"/>
        <v>4557.2074743352869</v>
      </c>
      <c r="Y46" s="116"/>
      <c r="Z46" s="116">
        <f t="shared" ref="Z46" si="88">SUM(L46:X46)-J46</f>
        <v>0</v>
      </c>
      <c r="AC46" s="120" t="s">
        <v>705</v>
      </c>
      <c r="AE46" s="154">
        <f t="shared" ref="AE46:AE62" si="89">+H46</f>
        <v>2</v>
      </c>
      <c r="AG46" s="231">
        <f t="shared" ref="AG46:AG62" si="90">+J46</f>
        <v>2398530.249650151</v>
      </c>
      <c r="AH46" s="108"/>
      <c r="AI46" s="115">
        <f t="shared" si="78"/>
        <v>1362125.3287763207</v>
      </c>
      <c r="AJ46" s="230"/>
      <c r="AK46" s="115">
        <f t="shared" si="79"/>
        <v>1028010.0650000547</v>
      </c>
      <c r="AL46" s="230"/>
      <c r="AM46" s="115">
        <f t="shared" si="80"/>
        <v>0</v>
      </c>
      <c r="AN46" s="230"/>
      <c r="AO46" s="115">
        <f t="shared" si="81"/>
        <v>0</v>
      </c>
      <c r="AP46" s="230"/>
      <c r="AQ46" s="115">
        <f t="shared" si="82"/>
        <v>0</v>
      </c>
      <c r="AR46" s="230"/>
      <c r="AS46" s="115">
        <f t="shared" si="83"/>
        <v>0</v>
      </c>
      <c r="AT46" s="230"/>
      <c r="AU46" s="115">
        <f t="shared" si="84"/>
        <v>0</v>
      </c>
      <c r="AV46" s="69"/>
      <c r="AW46" s="69">
        <f t="shared" si="85"/>
        <v>3837.648399440242</v>
      </c>
      <c r="AX46" s="69"/>
      <c r="AY46" s="69">
        <f t="shared" si="86"/>
        <v>4557.2074743352869</v>
      </c>
      <c r="BA46" s="99">
        <f t="shared" si="20"/>
        <v>0</v>
      </c>
      <c r="BB46" s="82"/>
      <c r="BC46" s="82"/>
      <c r="BD46" s="82"/>
    </row>
    <row r="47" spans="1:56" x14ac:dyDescent="0.2">
      <c r="A47" s="185"/>
      <c r="B47" s="167"/>
      <c r="C47" s="116">
        <f>+Linkin!L55</f>
        <v>1768379</v>
      </c>
      <c r="D47" s="412">
        <v>618.29999999999995</v>
      </c>
      <c r="F47" s="120" t="s">
        <v>594</v>
      </c>
      <c r="G47" s="180"/>
      <c r="H47" s="181">
        <v>1</v>
      </c>
      <c r="I47" s="120"/>
      <c r="J47" s="231">
        <f t="shared" ref="J47:J55" si="91">+C47</f>
        <v>1768379</v>
      </c>
      <c r="K47" s="108"/>
      <c r="L47" s="115">
        <f t="shared" si="71"/>
        <v>868450.92689999996</v>
      </c>
      <c r="M47" s="230"/>
      <c r="N47" s="115">
        <f t="shared" si="72"/>
        <v>543776.54249999998</v>
      </c>
      <c r="O47" s="230"/>
      <c r="P47" s="115">
        <f t="shared" si="73"/>
        <v>96376.655499999993</v>
      </c>
      <c r="Q47" s="230"/>
      <c r="R47" s="115">
        <f t="shared" si="74"/>
        <v>186210.30869999999</v>
      </c>
      <c r="S47" s="230"/>
      <c r="T47" s="115">
        <f t="shared" si="75"/>
        <v>62777.454499999993</v>
      </c>
      <c r="U47" s="230"/>
      <c r="V47" s="115">
        <f t="shared" si="76"/>
        <v>4951.4611999999997</v>
      </c>
      <c r="W47" s="230"/>
      <c r="X47" s="115">
        <f t="shared" si="77"/>
        <v>5835.6507000000001</v>
      </c>
      <c r="Y47" s="116"/>
      <c r="Z47" s="116">
        <f t="shared" ref="Z47:Z54" si="92">SUM(L47:X47)-J47</f>
        <v>0</v>
      </c>
      <c r="AC47" s="120" t="s">
        <v>594</v>
      </c>
      <c r="AE47" s="154">
        <f t="shared" si="89"/>
        <v>1</v>
      </c>
      <c r="AG47" s="231">
        <f t="shared" si="90"/>
        <v>1768379</v>
      </c>
      <c r="AH47" s="108"/>
      <c r="AI47" s="115">
        <f t="shared" si="78"/>
        <v>1757591.8881000001</v>
      </c>
      <c r="AJ47" s="230"/>
      <c r="AK47" s="115">
        <f t="shared" si="79"/>
        <v>0</v>
      </c>
      <c r="AL47" s="230"/>
      <c r="AM47" s="115">
        <f t="shared" si="80"/>
        <v>0</v>
      </c>
      <c r="AN47" s="230"/>
      <c r="AO47" s="115">
        <f t="shared" si="81"/>
        <v>0</v>
      </c>
      <c r="AP47" s="230"/>
      <c r="AQ47" s="115">
        <f t="shared" si="82"/>
        <v>0</v>
      </c>
      <c r="AR47" s="230"/>
      <c r="AS47" s="115">
        <f t="shared" si="83"/>
        <v>0</v>
      </c>
      <c r="AT47" s="230"/>
      <c r="AU47" s="115">
        <f t="shared" si="84"/>
        <v>0</v>
      </c>
      <c r="AV47" s="69"/>
      <c r="AW47" s="69">
        <f t="shared" si="85"/>
        <v>4951.4611999999997</v>
      </c>
      <c r="AX47" s="69"/>
      <c r="AY47" s="69">
        <f t="shared" si="86"/>
        <v>5835.6507000000001</v>
      </c>
      <c r="BA47" s="99">
        <f t="shared" si="20"/>
        <v>0</v>
      </c>
      <c r="BB47" s="82"/>
      <c r="BC47" s="82"/>
      <c r="BD47" s="82"/>
    </row>
    <row r="48" spans="1:56" s="392" customFormat="1" x14ac:dyDescent="0.2">
      <c r="A48" s="185"/>
      <c r="B48" s="167"/>
      <c r="C48" s="116">
        <f>+Linkin!L49</f>
        <v>3295454.9182485961</v>
      </c>
      <c r="D48" s="412">
        <v>615.29999999999995</v>
      </c>
      <c r="E48" s="116"/>
      <c r="F48" s="120" t="s">
        <v>589</v>
      </c>
      <c r="G48" s="180"/>
      <c r="H48" s="181">
        <v>1</v>
      </c>
      <c r="I48" s="120"/>
      <c r="J48" s="231">
        <f t="shared" si="91"/>
        <v>3295454.9182485961</v>
      </c>
      <c r="K48" s="108"/>
      <c r="L48" s="115">
        <f t="shared" si="71"/>
        <v>1618397.9103518855</v>
      </c>
      <c r="M48" s="230"/>
      <c r="N48" s="115">
        <f t="shared" si="72"/>
        <v>1013352.3873614433</v>
      </c>
      <c r="O48" s="230"/>
      <c r="P48" s="115">
        <f t="shared" si="73"/>
        <v>179602.29304454848</v>
      </c>
      <c r="Q48" s="230"/>
      <c r="R48" s="115">
        <f t="shared" si="74"/>
        <v>347011.40289157716</v>
      </c>
      <c r="S48" s="230"/>
      <c r="T48" s="115">
        <f t="shared" si="75"/>
        <v>116988.64959782515</v>
      </c>
      <c r="U48" s="230"/>
      <c r="V48" s="115">
        <f t="shared" si="76"/>
        <v>9227.2737710960682</v>
      </c>
      <c r="W48" s="230"/>
      <c r="X48" s="115">
        <f t="shared" si="77"/>
        <v>10875.001230220367</v>
      </c>
      <c r="Y48" s="116"/>
      <c r="Z48" s="116">
        <f t="shared" si="92"/>
        <v>0</v>
      </c>
      <c r="AC48" s="120" t="s">
        <v>589</v>
      </c>
      <c r="AE48" s="154">
        <f t="shared" si="89"/>
        <v>1</v>
      </c>
      <c r="AG48" s="231">
        <f t="shared" si="90"/>
        <v>3295454.9182485961</v>
      </c>
      <c r="AH48" s="108"/>
      <c r="AI48" s="115">
        <f t="shared" si="78"/>
        <v>3275352.6432472798</v>
      </c>
      <c r="AJ48" s="230"/>
      <c r="AK48" s="115">
        <f t="shared" si="79"/>
        <v>0</v>
      </c>
      <c r="AL48" s="230"/>
      <c r="AM48" s="115">
        <f t="shared" si="80"/>
        <v>0</v>
      </c>
      <c r="AN48" s="230"/>
      <c r="AO48" s="115">
        <f t="shared" si="81"/>
        <v>0</v>
      </c>
      <c r="AP48" s="230"/>
      <c r="AQ48" s="115">
        <f t="shared" si="82"/>
        <v>0</v>
      </c>
      <c r="AR48" s="230"/>
      <c r="AS48" s="115">
        <f t="shared" si="83"/>
        <v>0</v>
      </c>
      <c r="AT48" s="230"/>
      <c r="AU48" s="115">
        <f t="shared" si="84"/>
        <v>0</v>
      </c>
      <c r="AV48" s="69"/>
      <c r="AW48" s="69">
        <f t="shared" si="85"/>
        <v>9227.2737710960682</v>
      </c>
      <c r="AX48" s="69"/>
      <c r="AY48" s="69">
        <f t="shared" si="86"/>
        <v>10875.001230220367</v>
      </c>
      <c r="BA48" s="99">
        <f t="shared" si="20"/>
        <v>0</v>
      </c>
      <c r="BB48" s="82"/>
      <c r="BC48" s="82"/>
      <c r="BD48" s="82"/>
    </row>
    <row r="49" spans="1:56" x14ac:dyDescent="0.2">
      <c r="A49" s="185"/>
      <c r="B49" s="167"/>
      <c r="C49" s="116">
        <f>+Linkin!L266</f>
        <v>27571.048590334834</v>
      </c>
      <c r="D49" s="412">
        <v>620.29999999999995</v>
      </c>
      <c r="F49" s="120" t="s">
        <v>653</v>
      </c>
      <c r="G49" s="180"/>
      <c r="H49" s="181">
        <v>2</v>
      </c>
      <c r="I49" s="120"/>
      <c r="J49" s="231">
        <f t="shared" si="91"/>
        <v>27571.048590334834</v>
      </c>
      <c r="K49" s="108"/>
      <c r="L49" s="115">
        <f t="shared" si="71"/>
        <v>14113.619773392402</v>
      </c>
      <c r="M49" s="230"/>
      <c r="N49" s="115">
        <f t="shared" si="72"/>
        <v>8439.4979735014931</v>
      </c>
      <c r="O49" s="230"/>
      <c r="P49" s="115">
        <f t="shared" si="73"/>
        <v>1353.7384857854404</v>
      </c>
      <c r="Q49" s="230"/>
      <c r="R49" s="115">
        <f t="shared" si="74"/>
        <v>2685.4201326986126</v>
      </c>
      <c r="S49" s="230"/>
      <c r="T49" s="115">
        <f t="shared" si="75"/>
        <v>882.27355489071476</v>
      </c>
      <c r="U49" s="230"/>
      <c r="V49" s="115">
        <f t="shared" si="76"/>
        <v>44.113677744535735</v>
      </c>
      <c r="W49" s="230"/>
      <c r="X49" s="115">
        <f t="shared" si="77"/>
        <v>52.384992321636183</v>
      </c>
      <c r="Y49" s="116"/>
      <c r="Z49" s="116">
        <f t="shared" si="92"/>
        <v>0</v>
      </c>
      <c r="AC49" s="120" t="s">
        <v>653</v>
      </c>
      <c r="AE49" s="154">
        <f t="shared" si="89"/>
        <v>2</v>
      </c>
      <c r="AG49" s="231">
        <f t="shared" si="90"/>
        <v>27571.048590334834</v>
      </c>
      <c r="AH49" s="108"/>
      <c r="AI49" s="115">
        <f t="shared" si="78"/>
        <v>15657.598494451151</v>
      </c>
      <c r="AJ49" s="230"/>
      <c r="AK49" s="115">
        <f t="shared" si="79"/>
        <v>11816.95142581751</v>
      </c>
      <c r="AL49" s="230"/>
      <c r="AM49" s="115">
        <f t="shared" si="80"/>
        <v>0</v>
      </c>
      <c r="AN49" s="230"/>
      <c r="AO49" s="115">
        <f t="shared" si="81"/>
        <v>0</v>
      </c>
      <c r="AP49" s="230"/>
      <c r="AQ49" s="115">
        <f t="shared" si="82"/>
        <v>0</v>
      </c>
      <c r="AR49" s="230"/>
      <c r="AS49" s="115">
        <f t="shared" si="83"/>
        <v>0</v>
      </c>
      <c r="AT49" s="230"/>
      <c r="AU49" s="115">
        <f t="shared" si="84"/>
        <v>0</v>
      </c>
      <c r="AV49" s="69"/>
      <c r="AW49" s="69">
        <f t="shared" si="85"/>
        <v>44.113677744535735</v>
      </c>
      <c r="AX49" s="69"/>
      <c r="AY49" s="69">
        <f t="shared" si="86"/>
        <v>52.384992321636183</v>
      </c>
      <c r="BA49" s="99">
        <f t="shared" si="20"/>
        <v>0</v>
      </c>
      <c r="BB49" s="82"/>
      <c r="BC49" s="82"/>
      <c r="BD49" s="82"/>
    </row>
    <row r="50" spans="1:56" x14ac:dyDescent="0.2">
      <c r="A50" s="185"/>
      <c r="B50" s="167"/>
      <c r="C50" s="116">
        <f>+Linkin!L165</f>
        <v>29764.41494606404</v>
      </c>
      <c r="D50" s="412">
        <v>636.29999999999995</v>
      </c>
      <c r="F50" s="120" t="s">
        <v>650</v>
      </c>
      <c r="G50" s="180"/>
      <c r="H50" s="181">
        <v>2</v>
      </c>
      <c r="I50" s="120"/>
      <c r="J50" s="231">
        <f t="shared" si="91"/>
        <v>29764.41494606404</v>
      </c>
      <c r="K50" s="108"/>
      <c r="L50" s="115">
        <f t="shared" si="71"/>
        <v>15236.404010890183</v>
      </c>
      <c r="M50" s="230"/>
      <c r="N50" s="115">
        <f t="shared" si="72"/>
        <v>9110.8874149902022</v>
      </c>
      <c r="O50" s="230"/>
      <c r="P50" s="115">
        <f t="shared" si="73"/>
        <v>1461.4327738517443</v>
      </c>
      <c r="Q50" s="230"/>
      <c r="R50" s="115">
        <f t="shared" si="74"/>
        <v>2899.0540157466371</v>
      </c>
      <c r="S50" s="230"/>
      <c r="T50" s="115">
        <f t="shared" si="75"/>
        <v>952.46127827404928</v>
      </c>
      <c r="U50" s="230"/>
      <c r="V50" s="115">
        <f t="shared" si="76"/>
        <v>47.623063913702467</v>
      </c>
      <c r="W50" s="230"/>
      <c r="X50" s="115">
        <f t="shared" si="77"/>
        <v>56.552388397521675</v>
      </c>
      <c r="Y50" s="116"/>
      <c r="Z50" s="116">
        <f t="shared" si="92"/>
        <v>0</v>
      </c>
      <c r="AC50" s="120" t="s">
        <v>650</v>
      </c>
      <c r="AE50" s="154">
        <f t="shared" si="89"/>
        <v>2</v>
      </c>
      <c r="AG50" s="231">
        <f t="shared" si="90"/>
        <v>29764.41494606404</v>
      </c>
      <c r="AH50" s="108"/>
      <c r="AI50" s="115">
        <f t="shared" si="78"/>
        <v>16903.211247869767</v>
      </c>
      <c r="AJ50" s="230"/>
      <c r="AK50" s="115">
        <f t="shared" si="79"/>
        <v>12757.028245883048</v>
      </c>
      <c r="AL50" s="230"/>
      <c r="AM50" s="115">
        <f t="shared" si="80"/>
        <v>0</v>
      </c>
      <c r="AN50" s="230"/>
      <c r="AO50" s="115">
        <f t="shared" si="81"/>
        <v>0</v>
      </c>
      <c r="AP50" s="230"/>
      <c r="AQ50" s="115">
        <f t="shared" si="82"/>
        <v>0</v>
      </c>
      <c r="AR50" s="230"/>
      <c r="AS50" s="115">
        <f t="shared" si="83"/>
        <v>0</v>
      </c>
      <c r="AT50" s="230"/>
      <c r="AU50" s="115">
        <f t="shared" si="84"/>
        <v>0</v>
      </c>
      <c r="AV50" s="83"/>
      <c r="AW50" s="83">
        <f t="shared" si="85"/>
        <v>47.623063913702467</v>
      </c>
      <c r="AX50" s="83"/>
      <c r="AY50" s="83">
        <f t="shared" si="86"/>
        <v>56.552388397521675</v>
      </c>
      <c r="BA50" s="99">
        <f t="shared" si="20"/>
        <v>0</v>
      </c>
      <c r="BB50" s="82"/>
      <c r="BC50" s="82"/>
      <c r="BD50" s="82"/>
    </row>
    <row r="51" spans="1:56" s="392" customFormat="1" x14ac:dyDescent="0.2">
      <c r="A51" s="185"/>
      <c r="B51" s="167"/>
      <c r="C51" s="116">
        <f>+Linkin!L171</f>
        <v>55864.754047824223</v>
      </c>
      <c r="D51" s="412">
        <v>635.29999999999995</v>
      </c>
      <c r="E51" s="116"/>
      <c r="F51" s="120" t="s">
        <v>656</v>
      </c>
      <c r="G51" s="180"/>
      <c r="H51" s="181">
        <v>2</v>
      </c>
      <c r="I51" s="120"/>
      <c r="J51" s="231">
        <f t="shared" si="91"/>
        <v>55864.754047824223</v>
      </c>
      <c r="K51" s="108"/>
      <c r="L51" s="115">
        <f t="shared" si="71"/>
        <v>28597.167597081221</v>
      </c>
      <c r="M51" s="230"/>
      <c r="N51" s="115">
        <f t="shared" si="72"/>
        <v>17100.201214038992</v>
      </c>
      <c r="O51" s="230"/>
      <c r="P51" s="115">
        <f t="shared" si="73"/>
        <v>2742.9594237481692</v>
      </c>
      <c r="Q51" s="230"/>
      <c r="R51" s="115">
        <f t="shared" si="74"/>
        <v>5441.2270442580784</v>
      </c>
      <c r="S51" s="230"/>
      <c r="T51" s="115">
        <f t="shared" si="75"/>
        <v>1787.6721295303751</v>
      </c>
      <c r="U51" s="230"/>
      <c r="V51" s="115">
        <f t="shared" si="76"/>
        <v>89.383606476518764</v>
      </c>
      <c r="W51" s="230"/>
      <c r="X51" s="115">
        <f t="shared" si="77"/>
        <v>106.14303269086602</v>
      </c>
      <c r="Y51" s="116"/>
      <c r="Z51" s="116">
        <f t="shared" si="92"/>
        <v>0</v>
      </c>
      <c r="AC51" s="120" t="s">
        <v>656</v>
      </c>
      <c r="AE51" s="154">
        <f t="shared" si="89"/>
        <v>2</v>
      </c>
      <c r="AG51" s="231">
        <f t="shared" si="90"/>
        <v>55864.754047824223</v>
      </c>
      <c r="AH51" s="108"/>
      <c r="AI51" s="115">
        <f t="shared" si="78"/>
        <v>31725.593823759373</v>
      </c>
      <c r="AJ51" s="230"/>
      <c r="AK51" s="115">
        <f t="shared" si="79"/>
        <v>23943.63358489746</v>
      </c>
      <c r="AL51" s="230"/>
      <c r="AM51" s="115">
        <f t="shared" si="80"/>
        <v>0</v>
      </c>
      <c r="AN51" s="230"/>
      <c r="AO51" s="115">
        <f t="shared" si="81"/>
        <v>0</v>
      </c>
      <c r="AP51" s="230"/>
      <c r="AQ51" s="115">
        <f t="shared" si="82"/>
        <v>0</v>
      </c>
      <c r="AR51" s="230"/>
      <c r="AS51" s="115">
        <f t="shared" si="83"/>
        <v>0</v>
      </c>
      <c r="AT51" s="230"/>
      <c r="AU51" s="115">
        <f t="shared" si="84"/>
        <v>0</v>
      </c>
      <c r="AV51" s="83"/>
      <c r="AW51" s="83">
        <f t="shared" si="85"/>
        <v>89.383606476518764</v>
      </c>
      <c r="AX51" s="83"/>
      <c r="AY51" s="83">
        <f t="shared" si="86"/>
        <v>106.14303269086602</v>
      </c>
      <c r="BA51" s="99">
        <f t="shared" si="20"/>
        <v>0</v>
      </c>
      <c r="BB51" s="82"/>
      <c r="BC51" s="82"/>
      <c r="BD51" s="82"/>
    </row>
    <row r="52" spans="1:56" x14ac:dyDescent="0.2">
      <c r="A52" s="185"/>
      <c r="B52" s="167"/>
      <c r="C52" s="116">
        <f>+Linkin!L245+Linkin!L271+Linkin!L189+Linkin!L130</f>
        <v>23594.661261659432</v>
      </c>
      <c r="D52" s="412">
        <v>675.3</v>
      </c>
      <c r="F52" s="120" t="s">
        <v>658</v>
      </c>
      <c r="G52" s="180"/>
      <c r="H52" s="181">
        <v>2</v>
      </c>
      <c r="I52" s="120"/>
      <c r="J52" s="231">
        <f t="shared" si="91"/>
        <v>23594.661261659432</v>
      </c>
      <c r="K52" s="108"/>
      <c r="L52" s="115">
        <f t="shared" si="71"/>
        <v>12078.107099843464</v>
      </c>
      <c r="M52" s="230"/>
      <c r="N52" s="115">
        <f t="shared" si="72"/>
        <v>7222.3258121939516</v>
      </c>
      <c r="O52" s="230"/>
      <c r="P52" s="115">
        <f t="shared" si="73"/>
        <v>1158.497867947478</v>
      </c>
      <c r="Q52" s="230"/>
      <c r="R52" s="115">
        <f t="shared" si="74"/>
        <v>2298.1200068856283</v>
      </c>
      <c r="S52" s="230"/>
      <c r="T52" s="115">
        <f t="shared" si="75"/>
        <v>755.02916037310183</v>
      </c>
      <c r="U52" s="230"/>
      <c r="V52" s="115">
        <f t="shared" si="76"/>
        <v>37.751458018655093</v>
      </c>
      <c r="W52" s="230"/>
      <c r="X52" s="115">
        <f t="shared" si="77"/>
        <v>44.829856397152923</v>
      </c>
      <c r="Y52" s="116"/>
      <c r="Z52" s="116">
        <f t="shared" si="92"/>
        <v>0</v>
      </c>
      <c r="AC52" s="120" t="s">
        <v>658</v>
      </c>
      <c r="AE52" s="154">
        <f t="shared" si="89"/>
        <v>2</v>
      </c>
      <c r="AG52" s="231">
        <f t="shared" si="90"/>
        <v>23594.661261659432</v>
      </c>
      <c r="AH52" s="108"/>
      <c r="AI52" s="115">
        <f t="shared" si="78"/>
        <v>13399.408130496391</v>
      </c>
      <c r="AJ52" s="230"/>
      <c r="AK52" s="115">
        <f t="shared" si="79"/>
        <v>10112.671816747232</v>
      </c>
      <c r="AL52" s="230"/>
      <c r="AM52" s="115">
        <f t="shared" si="80"/>
        <v>0</v>
      </c>
      <c r="AN52" s="230"/>
      <c r="AO52" s="115">
        <f t="shared" si="81"/>
        <v>0</v>
      </c>
      <c r="AP52" s="230"/>
      <c r="AQ52" s="115">
        <f t="shared" si="82"/>
        <v>0</v>
      </c>
      <c r="AR52" s="230"/>
      <c r="AS52" s="115">
        <f t="shared" si="83"/>
        <v>0</v>
      </c>
      <c r="AT52" s="230"/>
      <c r="AU52" s="115">
        <f t="shared" si="84"/>
        <v>0</v>
      </c>
      <c r="AV52" s="69"/>
      <c r="AW52" s="69">
        <f t="shared" si="85"/>
        <v>37.751458018655093</v>
      </c>
      <c r="AX52" s="69"/>
      <c r="AY52" s="69">
        <f t="shared" si="86"/>
        <v>44.829856397152923</v>
      </c>
      <c r="BA52" s="99">
        <f t="shared" si="20"/>
        <v>0</v>
      </c>
      <c r="BB52" s="82"/>
      <c r="BC52" s="82"/>
      <c r="BD52" s="82"/>
    </row>
    <row r="53" spans="1:56" s="392" customFormat="1" x14ac:dyDescent="0.2">
      <c r="A53" s="185"/>
      <c r="B53" s="167"/>
      <c r="C53" s="116">
        <f>+Linkin!L294</f>
        <v>84039.701728422806</v>
      </c>
      <c r="D53" s="412">
        <v>675.3</v>
      </c>
      <c r="E53" s="116"/>
      <c r="F53" s="120" t="s">
        <v>661</v>
      </c>
      <c r="G53" s="180"/>
      <c r="H53" s="181">
        <v>2</v>
      </c>
      <c r="I53" s="120"/>
      <c r="J53" s="231">
        <f t="shared" ref="J53" si="93">+C53</f>
        <v>84039.701728422806</v>
      </c>
      <c r="K53" s="108"/>
      <c r="L53" s="115">
        <f t="shared" si="71"/>
        <v>43019.923314779633</v>
      </c>
      <c r="M53" s="230"/>
      <c r="N53" s="115">
        <f t="shared" si="72"/>
        <v>25724.55269907022</v>
      </c>
      <c r="O53" s="230"/>
      <c r="P53" s="115">
        <f t="shared" si="73"/>
        <v>4126.3493548655597</v>
      </c>
      <c r="Q53" s="230"/>
      <c r="R53" s="115">
        <f t="shared" si="74"/>
        <v>8185.4669483483804</v>
      </c>
      <c r="S53" s="230"/>
      <c r="T53" s="115">
        <f t="shared" si="75"/>
        <v>2689.27045530953</v>
      </c>
      <c r="U53" s="230"/>
      <c r="V53" s="115">
        <f t="shared" si="76"/>
        <v>134.46352276547648</v>
      </c>
      <c r="W53" s="230"/>
      <c r="X53" s="115">
        <f t="shared" si="77"/>
        <v>159.67543328400333</v>
      </c>
      <c r="Y53" s="116"/>
      <c r="Z53" s="116">
        <f t="shared" ref="Z53" si="94">SUM(L53:X53)-J53</f>
        <v>0</v>
      </c>
      <c r="AC53" s="120" t="s">
        <v>661</v>
      </c>
      <c r="AE53" s="154">
        <f t="shared" si="89"/>
        <v>2</v>
      </c>
      <c r="AG53" s="231">
        <f t="shared" si="90"/>
        <v>84039.701728422806</v>
      </c>
      <c r="AH53" s="108"/>
      <c r="AI53" s="115">
        <f t="shared" si="78"/>
        <v>47726.146611571305</v>
      </c>
      <c r="AJ53" s="230"/>
      <c r="AK53" s="115">
        <f t="shared" si="79"/>
        <v>36019.416160802015</v>
      </c>
      <c r="AL53" s="230"/>
      <c r="AM53" s="115">
        <f t="shared" si="80"/>
        <v>0</v>
      </c>
      <c r="AN53" s="230"/>
      <c r="AO53" s="115">
        <f t="shared" si="81"/>
        <v>0</v>
      </c>
      <c r="AP53" s="230"/>
      <c r="AQ53" s="115">
        <f t="shared" si="82"/>
        <v>0</v>
      </c>
      <c r="AR53" s="230"/>
      <c r="AS53" s="115">
        <f t="shared" si="83"/>
        <v>0</v>
      </c>
      <c r="AT53" s="230"/>
      <c r="AU53" s="115">
        <f t="shared" si="84"/>
        <v>0</v>
      </c>
      <c r="AV53" s="69"/>
      <c r="AW53" s="69">
        <f t="shared" si="85"/>
        <v>134.46352276547648</v>
      </c>
      <c r="AX53" s="69"/>
      <c r="AY53" s="69">
        <f t="shared" si="86"/>
        <v>159.67543328400333</v>
      </c>
      <c r="BA53" s="99">
        <f t="shared" si="20"/>
        <v>0</v>
      </c>
      <c r="BB53" s="82"/>
      <c r="BC53" s="82"/>
      <c r="BD53" s="82"/>
    </row>
    <row r="54" spans="1:56" x14ac:dyDescent="0.2">
      <c r="A54" s="185"/>
      <c r="B54" s="167"/>
      <c r="C54" s="116">
        <f>+Linkin!L59</f>
        <v>377380</v>
      </c>
      <c r="D54" s="412">
        <v>675.3</v>
      </c>
      <c r="F54" s="120" t="s">
        <v>671</v>
      </c>
      <c r="G54" s="180"/>
      <c r="H54" s="181">
        <v>1</v>
      </c>
      <c r="I54" s="120"/>
      <c r="J54" s="231">
        <f t="shared" si="91"/>
        <v>377380</v>
      </c>
      <c r="K54" s="108"/>
      <c r="L54" s="115">
        <f t="shared" si="71"/>
        <v>185331.318</v>
      </c>
      <c r="M54" s="230"/>
      <c r="N54" s="115">
        <f t="shared" si="72"/>
        <v>116044.34999999999</v>
      </c>
      <c r="O54" s="230"/>
      <c r="P54" s="115">
        <f t="shared" si="73"/>
        <v>20567.21</v>
      </c>
      <c r="Q54" s="230"/>
      <c r="R54" s="115">
        <f t="shared" si="74"/>
        <v>39738.114000000001</v>
      </c>
      <c r="S54" s="230"/>
      <c r="T54" s="115">
        <f t="shared" si="75"/>
        <v>13396.989999999998</v>
      </c>
      <c r="U54" s="230"/>
      <c r="V54" s="115">
        <f t="shared" si="76"/>
        <v>1056.664</v>
      </c>
      <c r="W54" s="230"/>
      <c r="X54" s="115">
        <f t="shared" si="77"/>
        <v>1245.354</v>
      </c>
      <c r="Y54" s="116"/>
      <c r="Z54" s="116">
        <f t="shared" si="92"/>
        <v>0</v>
      </c>
      <c r="AC54" s="120" t="s">
        <v>671</v>
      </c>
      <c r="AE54" s="154">
        <f t="shared" si="89"/>
        <v>1</v>
      </c>
      <c r="AG54" s="231">
        <f t="shared" si="90"/>
        <v>377380</v>
      </c>
      <c r="AH54" s="108"/>
      <c r="AI54" s="115">
        <f t="shared" si="78"/>
        <v>375077.98200000002</v>
      </c>
      <c r="AJ54" s="230"/>
      <c r="AK54" s="115">
        <f t="shared" si="79"/>
        <v>0</v>
      </c>
      <c r="AL54" s="230"/>
      <c r="AM54" s="115">
        <f t="shared" si="80"/>
        <v>0</v>
      </c>
      <c r="AN54" s="230"/>
      <c r="AO54" s="115">
        <f t="shared" si="81"/>
        <v>0</v>
      </c>
      <c r="AP54" s="230"/>
      <c r="AQ54" s="115">
        <f t="shared" si="82"/>
        <v>0</v>
      </c>
      <c r="AR54" s="230"/>
      <c r="AS54" s="115">
        <f t="shared" si="83"/>
        <v>0</v>
      </c>
      <c r="AT54" s="230"/>
      <c r="AU54" s="115">
        <f t="shared" si="84"/>
        <v>0</v>
      </c>
      <c r="AV54" s="69"/>
      <c r="AW54" s="69">
        <f t="shared" si="85"/>
        <v>1056.664</v>
      </c>
      <c r="AX54" s="69"/>
      <c r="AY54" s="69">
        <f t="shared" si="86"/>
        <v>1245.354</v>
      </c>
      <c r="BA54" s="99">
        <f t="shared" si="20"/>
        <v>0</v>
      </c>
      <c r="BB54" s="82"/>
      <c r="BC54" s="82"/>
      <c r="BD54" s="82"/>
    </row>
    <row r="55" spans="1:56" s="392" customFormat="1" x14ac:dyDescent="0.2">
      <c r="A55" s="185"/>
      <c r="B55" s="167"/>
      <c r="C55" s="116">
        <f>+Linkin!L227</f>
        <v>9946.9266801439771</v>
      </c>
      <c r="D55" s="412">
        <v>675.3</v>
      </c>
      <c r="E55" s="116"/>
      <c r="F55" s="120" t="s">
        <v>673</v>
      </c>
      <c r="G55" s="180"/>
      <c r="H55" s="181">
        <v>2</v>
      </c>
      <c r="I55" s="120"/>
      <c r="J55" s="231">
        <f t="shared" si="91"/>
        <v>9946.9266801439771</v>
      </c>
      <c r="K55" s="108"/>
      <c r="L55" s="115">
        <f t="shared" si="71"/>
        <v>5091.8317675657017</v>
      </c>
      <c r="M55" s="230"/>
      <c r="N55" s="115">
        <f t="shared" si="72"/>
        <v>3044.7542567920714</v>
      </c>
      <c r="O55" s="230"/>
      <c r="P55" s="115">
        <f t="shared" si="73"/>
        <v>488.39409999506927</v>
      </c>
      <c r="Q55" s="230"/>
      <c r="R55" s="115">
        <f t="shared" si="74"/>
        <v>968.83065864602327</v>
      </c>
      <c r="S55" s="230"/>
      <c r="T55" s="115">
        <f t="shared" si="75"/>
        <v>318.30165376460729</v>
      </c>
      <c r="U55" s="230"/>
      <c r="V55" s="115">
        <f t="shared" si="76"/>
        <v>15.915082688230363</v>
      </c>
      <c r="W55" s="230"/>
      <c r="X55" s="115">
        <f t="shared" si="77"/>
        <v>18.899160692273558</v>
      </c>
      <c r="Y55" s="116"/>
      <c r="Z55" s="116">
        <f t="shared" ref="Z55:Z62" si="95">SUM(L55:X55)-J55</f>
        <v>0</v>
      </c>
      <c r="AC55" s="120" t="s">
        <v>673</v>
      </c>
      <c r="AE55" s="154">
        <f t="shared" si="89"/>
        <v>2</v>
      </c>
      <c r="AG55" s="231">
        <f t="shared" si="90"/>
        <v>9946.9266801439771</v>
      </c>
      <c r="AH55" s="108"/>
      <c r="AI55" s="115">
        <f t="shared" si="78"/>
        <v>5648.8596616537643</v>
      </c>
      <c r="AJ55" s="230"/>
      <c r="AK55" s="115">
        <f t="shared" si="79"/>
        <v>4263.2527751097086</v>
      </c>
      <c r="AL55" s="230"/>
      <c r="AM55" s="115">
        <f t="shared" si="80"/>
        <v>0</v>
      </c>
      <c r="AN55" s="230"/>
      <c r="AO55" s="115">
        <f t="shared" si="81"/>
        <v>0</v>
      </c>
      <c r="AP55" s="230"/>
      <c r="AQ55" s="115">
        <f t="shared" si="82"/>
        <v>0</v>
      </c>
      <c r="AR55" s="230"/>
      <c r="AS55" s="115">
        <f t="shared" si="83"/>
        <v>0</v>
      </c>
      <c r="AT55" s="230"/>
      <c r="AU55" s="115">
        <f t="shared" si="84"/>
        <v>0</v>
      </c>
      <c r="AV55" s="69"/>
      <c r="AW55" s="69">
        <f t="shared" si="85"/>
        <v>15.915082688230363</v>
      </c>
      <c r="AX55" s="69"/>
      <c r="AY55" s="69">
        <f t="shared" si="86"/>
        <v>18.899160692273558</v>
      </c>
      <c r="BA55" s="99">
        <f t="shared" si="20"/>
        <v>0</v>
      </c>
      <c r="BB55" s="82"/>
      <c r="BC55" s="82"/>
      <c r="BD55" s="82"/>
    </row>
    <row r="56" spans="1:56" s="392" customFormat="1" x14ac:dyDescent="0.2">
      <c r="A56" s="185"/>
      <c r="B56" s="167"/>
      <c r="C56" s="404">
        <f>+Linkin!L239+Linkin!L250</f>
        <v>7905.1173832201666</v>
      </c>
      <c r="D56" s="412">
        <v>675.3</v>
      </c>
      <c r="E56" s="116"/>
      <c r="F56" s="120" t="s">
        <v>672</v>
      </c>
      <c r="G56" s="180"/>
      <c r="H56" s="181">
        <v>2</v>
      </c>
      <c r="I56" s="120"/>
      <c r="J56" s="231">
        <f t="shared" ref="J56:J58" si="96">+C56</f>
        <v>7905.1173832201666</v>
      </c>
      <c r="K56" s="108"/>
      <c r="L56" s="115">
        <f t="shared" si="71"/>
        <v>4046.6295884704036</v>
      </c>
      <c r="M56" s="230"/>
      <c r="N56" s="115">
        <f t="shared" si="72"/>
        <v>2419.7564310036928</v>
      </c>
      <c r="O56" s="230"/>
      <c r="P56" s="115">
        <f t="shared" si="73"/>
        <v>388.14126351611014</v>
      </c>
      <c r="Q56" s="230"/>
      <c r="R56" s="115">
        <f t="shared" si="74"/>
        <v>769.95843312564409</v>
      </c>
      <c r="S56" s="230"/>
      <c r="T56" s="115">
        <f t="shared" si="75"/>
        <v>252.96375626304533</v>
      </c>
      <c r="U56" s="230"/>
      <c r="V56" s="115">
        <f t="shared" si="76"/>
        <v>12.648187813152267</v>
      </c>
      <c r="W56" s="230"/>
      <c r="X56" s="115">
        <f t="shared" si="77"/>
        <v>15.019723028118317</v>
      </c>
      <c r="Y56" s="116"/>
      <c r="Z56" s="116">
        <f t="shared" si="95"/>
        <v>0</v>
      </c>
      <c r="AC56" s="120" t="s">
        <v>672</v>
      </c>
      <c r="AE56" s="154">
        <f t="shared" si="89"/>
        <v>2</v>
      </c>
      <c r="AG56" s="231">
        <f t="shared" si="90"/>
        <v>7905.1173832201666</v>
      </c>
      <c r="AH56" s="108"/>
      <c r="AI56" s="115">
        <f t="shared" si="78"/>
        <v>4489.3161619307321</v>
      </c>
      <c r="AJ56" s="230"/>
      <c r="AK56" s="115">
        <f t="shared" si="79"/>
        <v>3388.1333104481632</v>
      </c>
      <c r="AL56" s="230"/>
      <c r="AM56" s="115">
        <f t="shared" si="80"/>
        <v>0</v>
      </c>
      <c r="AN56" s="230"/>
      <c r="AO56" s="115">
        <f t="shared" si="81"/>
        <v>0</v>
      </c>
      <c r="AP56" s="230"/>
      <c r="AQ56" s="115">
        <f t="shared" si="82"/>
        <v>0</v>
      </c>
      <c r="AR56" s="230"/>
      <c r="AS56" s="115">
        <f t="shared" si="83"/>
        <v>0</v>
      </c>
      <c r="AT56" s="230"/>
      <c r="AU56" s="115">
        <f t="shared" si="84"/>
        <v>0</v>
      </c>
      <c r="AV56" s="69"/>
      <c r="AW56" s="69">
        <f t="shared" si="85"/>
        <v>12.648187813152267</v>
      </c>
      <c r="AX56" s="69"/>
      <c r="AY56" s="69">
        <f t="shared" si="86"/>
        <v>15.019723028118317</v>
      </c>
      <c r="BA56" s="99">
        <f t="shared" si="20"/>
        <v>0</v>
      </c>
      <c r="BB56" s="82"/>
      <c r="BC56" s="82"/>
      <c r="BD56" s="82"/>
    </row>
    <row r="57" spans="1:56" s="399" customFormat="1" x14ac:dyDescent="0.2">
      <c r="A57" s="185"/>
      <c r="B57" s="167"/>
      <c r="C57" s="116">
        <f>+Linkin!L180</f>
        <v>9430.4745519588614</v>
      </c>
      <c r="D57" s="412">
        <v>675.3</v>
      </c>
      <c r="E57" s="116"/>
      <c r="F57" s="120" t="s">
        <v>681</v>
      </c>
      <c r="G57" s="180"/>
      <c r="H57" s="181">
        <v>2</v>
      </c>
      <c r="I57" s="120"/>
      <c r="J57" s="231">
        <f t="shared" si="96"/>
        <v>9430.4745519588614</v>
      </c>
      <c r="K57" s="108"/>
      <c r="L57" s="115">
        <f t="shared" si="71"/>
        <v>4827.4599231477414</v>
      </c>
      <c r="M57" s="230"/>
      <c r="N57" s="115">
        <f t="shared" si="72"/>
        <v>2886.6682603546074</v>
      </c>
      <c r="O57" s="230"/>
      <c r="P57" s="115">
        <f t="shared" si="73"/>
        <v>463.03630050118005</v>
      </c>
      <c r="Q57" s="230"/>
      <c r="R57" s="115">
        <f t="shared" si="74"/>
        <v>918.52822136079294</v>
      </c>
      <c r="S57" s="230"/>
      <c r="T57" s="115">
        <f t="shared" si="75"/>
        <v>301.77518566268355</v>
      </c>
      <c r="U57" s="230"/>
      <c r="V57" s="115">
        <f t="shared" si="76"/>
        <v>15.088759283134179</v>
      </c>
      <c r="W57" s="230"/>
      <c r="X57" s="115">
        <f t="shared" si="77"/>
        <v>17.917901648721838</v>
      </c>
      <c r="Y57" s="116"/>
      <c r="Z57" s="116">
        <f t="shared" si="95"/>
        <v>0</v>
      </c>
      <c r="AC57" s="120" t="s">
        <v>681</v>
      </c>
      <c r="AE57" s="154">
        <f t="shared" si="89"/>
        <v>2</v>
      </c>
      <c r="AG57" s="231">
        <f t="shared" si="90"/>
        <v>9430.4745519588614</v>
      </c>
      <c r="AH57" s="108"/>
      <c r="AI57" s="115">
        <f t="shared" si="78"/>
        <v>5355.5664980574375</v>
      </c>
      <c r="AJ57" s="230"/>
      <c r="AK57" s="115">
        <f t="shared" si="79"/>
        <v>4041.901392969568</v>
      </c>
      <c r="AL57" s="230"/>
      <c r="AM57" s="115">
        <f t="shared" si="80"/>
        <v>0</v>
      </c>
      <c r="AN57" s="230"/>
      <c r="AO57" s="115">
        <f t="shared" si="81"/>
        <v>0</v>
      </c>
      <c r="AP57" s="230"/>
      <c r="AQ57" s="115">
        <f t="shared" si="82"/>
        <v>0</v>
      </c>
      <c r="AR57" s="230"/>
      <c r="AS57" s="115">
        <f t="shared" si="83"/>
        <v>0</v>
      </c>
      <c r="AT57" s="230"/>
      <c r="AU57" s="115">
        <f t="shared" si="84"/>
        <v>0</v>
      </c>
      <c r="AV57" s="69"/>
      <c r="AW57" s="69">
        <f t="shared" si="85"/>
        <v>15.088759283134179</v>
      </c>
      <c r="AX57" s="69"/>
      <c r="AY57" s="69">
        <f t="shared" si="86"/>
        <v>17.917901648721838</v>
      </c>
      <c r="BA57" s="99">
        <f t="shared" si="20"/>
        <v>0</v>
      </c>
      <c r="BB57" s="82"/>
      <c r="BC57" s="82"/>
      <c r="BD57" s="82"/>
    </row>
    <row r="58" spans="1:56" s="399" customFormat="1" x14ac:dyDescent="0.2">
      <c r="A58" s="185"/>
      <c r="B58" s="167"/>
      <c r="C58" s="116">
        <f>+Linkin!L193</f>
        <v>7087.0974323754544</v>
      </c>
      <c r="D58" s="412">
        <v>675.3</v>
      </c>
      <c r="E58" s="116"/>
      <c r="F58" s="120" t="s">
        <v>687</v>
      </c>
      <c r="G58" s="180"/>
      <c r="H58" s="181">
        <v>2</v>
      </c>
      <c r="I58" s="120"/>
      <c r="J58" s="231">
        <f t="shared" si="96"/>
        <v>7087.0974323754544</v>
      </c>
      <c r="K58" s="108"/>
      <c r="L58" s="115">
        <f t="shared" si="71"/>
        <v>3627.8851756329955</v>
      </c>
      <c r="M58" s="230"/>
      <c r="N58" s="115">
        <f t="shared" si="72"/>
        <v>2169.3605240501265</v>
      </c>
      <c r="O58" s="230"/>
      <c r="P58" s="115">
        <f t="shared" si="73"/>
        <v>347.97648392963481</v>
      </c>
      <c r="Q58" s="230"/>
      <c r="R58" s="115">
        <f t="shared" si="74"/>
        <v>690.28328991336912</v>
      </c>
      <c r="S58" s="230"/>
      <c r="T58" s="115">
        <f t="shared" si="75"/>
        <v>226.78711783601454</v>
      </c>
      <c r="U58" s="230"/>
      <c r="V58" s="115">
        <f t="shared" si="76"/>
        <v>11.339355891800727</v>
      </c>
      <c r="W58" s="230"/>
      <c r="X58" s="115">
        <f t="shared" si="77"/>
        <v>13.465485121513364</v>
      </c>
      <c r="Y58" s="116"/>
      <c r="Z58" s="116">
        <f t="shared" si="95"/>
        <v>0</v>
      </c>
      <c r="AC58" s="120" t="s">
        <v>687</v>
      </c>
      <c r="AE58" s="154">
        <f t="shared" si="89"/>
        <v>2</v>
      </c>
      <c r="AG58" s="231">
        <f t="shared" si="90"/>
        <v>7087.0974323754544</v>
      </c>
      <c r="AH58" s="108"/>
      <c r="AI58" s="115">
        <f t="shared" si="78"/>
        <v>4024.7626318460202</v>
      </c>
      <c r="AJ58" s="230"/>
      <c r="AK58" s="115">
        <f t="shared" si="79"/>
        <v>3037.5299595161196</v>
      </c>
      <c r="AL58" s="230"/>
      <c r="AM58" s="115">
        <f t="shared" si="80"/>
        <v>0</v>
      </c>
      <c r="AN58" s="230"/>
      <c r="AO58" s="115">
        <f t="shared" si="81"/>
        <v>0</v>
      </c>
      <c r="AP58" s="230"/>
      <c r="AQ58" s="115">
        <f t="shared" si="82"/>
        <v>0</v>
      </c>
      <c r="AR58" s="230"/>
      <c r="AS58" s="115">
        <f t="shared" si="83"/>
        <v>0</v>
      </c>
      <c r="AT58" s="230"/>
      <c r="AU58" s="115">
        <f t="shared" si="84"/>
        <v>0</v>
      </c>
      <c r="AV58" s="69"/>
      <c r="AW58" s="69">
        <f t="shared" si="85"/>
        <v>11.339355891800727</v>
      </c>
      <c r="AX58" s="69"/>
      <c r="AY58" s="69">
        <f t="shared" si="86"/>
        <v>13.465485121513364</v>
      </c>
      <c r="BA58" s="99">
        <f t="shared" si="20"/>
        <v>0</v>
      </c>
      <c r="BB58" s="82"/>
      <c r="BC58" s="82"/>
      <c r="BD58" s="82"/>
    </row>
    <row r="59" spans="1:56" s="399" customFormat="1" x14ac:dyDescent="0.2">
      <c r="A59" s="185"/>
      <c r="B59" s="167"/>
      <c r="C59" s="116">
        <f>+Linkin!L202</f>
        <v>12897.636942149118</v>
      </c>
      <c r="D59" s="412">
        <v>675.3</v>
      </c>
      <c r="E59" s="116"/>
      <c r="F59" s="120" t="s">
        <v>691</v>
      </c>
      <c r="G59" s="180"/>
      <c r="H59" s="181">
        <v>2</v>
      </c>
      <c r="I59" s="120"/>
      <c r="J59" s="231">
        <f t="shared" ref="J59:J62" si="97">+C59</f>
        <v>12897.636942149118</v>
      </c>
      <c r="K59" s="108"/>
      <c r="L59" s="115">
        <f t="shared" si="71"/>
        <v>6602.3003506861342</v>
      </c>
      <c r="M59" s="230"/>
      <c r="N59" s="115">
        <f t="shared" si="72"/>
        <v>3947.966667991845</v>
      </c>
      <c r="O59" s="230"/>
      <c r="P59" s="115">
        <f t="shared" si="73"/>
        <v>633.27397385952167</v>
      </c>
      <c r="Q59" s="230"/>
      <c r="R59" s="115">
        <f t="shared" si="74"/>
        <v>1256.2298381653238</v>
      </c>
      <c r="S59" s="230"/>
      <c r="T59" s="115">
        <f t="shared" si="75"/>
        <v>412.72438214877178</v>
      </c>
      <c r="U59" s="230"/>
      <c r="V59" s="115">
        <f t="shared" si="76"/>
        <v>20.636219107438588</v>
      </c>
      <c r="W59" s="230"/>
      <c r="X59" s="115">
        <f t="shared" si="77"/>
        <v>24.505510190083324</v>
      </c>
      <c r="Y59" s="116"/>
      <c r="Z59" s="116">
        <f t="shared" si="95"/>
        <v>0</v>
      </c>
      <c r="AC59" s="120" t="s">
        <v>691</v>
      </c>
      <c r="AE59" s="154">
        <f t="shared" si="89"/>
        <v>2</v>
      </c>
      <c r="AG59" s="231">
        <f t="shared" si="90"/>
        <v>12897.636942149118</v>
      </c>
      <c r="AH59" s="108"/>
      <c r="AI59" s="115">
        <f t="shared" si="78"/>
        <v>7324.568019446484</v>
      </c>
      <c r="AJ59" s="230"/>
      <c r="AK59" s="115">
        <f t="shared" si="79"/>
        <v>5527.9271934051121</v>
      </c>
      <c r="AL59" s="230"/>
      <c r="AM59" s="115">
        <f t="shared" si="80"/>
        <v>0</v>
      </c>
      <c r="AN59" s="230"/>
      <c r="AO59" s="115">
        <f t="shared" si="81"/>
        <v>0</v>
      </c>
      <c r="AP59" s="230"/>
      <c r="AQ59" s="115">
        <f t="shared" si="82"/>
        <v>0</v>
      </c>
      <c r="AR59" s="230"/>
      <c r="AS59" s="115">
        <f t="shared" si="83"/>
        <v>0</v>
      </c>
      <c r="AT59" s="230"/>
      <c r="AU59" s="115">
        <f t="shared" si="84"/>
        <v>0</v>
      </c>
      <c r="AV59" s="69"/>
      <c r="AW59" s="69">
        <f t="shared" si="85"/>
        <v>20.636219107438588</v>
      </c>
      <c r="AX59" s="69"/>
      <c r="AY59" s="69">
        <f t="shared" si="86"/>
        <v>24.505510190083324</v>
      </c>
      <c r="BA59" s="99">
        <f t="shared" si="20"/>
        <v>0</v>
      </c>
      <c r="BB59" s="82"/>
      <c r="BC59" s="82"/>
      <c r="BD59" s="82"/>
    </row>
    <row r="60" spans="1:56" s="399" customFormat="1" x14ac:dyDescent="0.2">
      <c r="A60" s="185"/>
      <c r="B60" s="167"/>
      <c r="C60" s="116">
        <f>+Linkin!L302</f>
        <v>11664</v>
      </c>
      <c r="D60" s="412">
        <v>675.3</v>
      </c>
      <c r="E60" s="116"/>
      <c r="F60" s="120" t="s">
        <v>972</v>
      </c>
      <c r="G60" s="180"/>
      <c r="H60" s="181">
        <v>2</v>
      </c>
      <c r="I60" s="120"/>
      <c r="J60" s="231">
        <f t="shared" si="97"/>
        <v>11664</v>
      </c>
      <c r="K60" s="108"/>
      <c r="L60" s="115">
        <f t="shared" si="71"/>
        <v>5970.8016000000007</v>
      </c>
      <c r="M60" s="230"/>
      <c r="N60" s="115">
        <f t="shared" si="72"/>
        <v>3570.3503999999998</v>
      </c>
      <c r="O60" s="230"/>
      <c r="P60" s="115">
        <f t="shared" si="73"/>
        <v>572.70240000000001</v>
      </c>
      <c r="Q60" s="230"/>
      <c r="R60" s="115">
        <f t="shared" si="74"/>
        <v>1136.0735999999999</v>
      </c>
      <c r="S60" s="230"/>
      <c r="T60" s="115">
        <f t="shared" si="75"/>
        <v>373.24799999999999</v>
      </c>
      <c r="U60" s="230"/>
      <c r="V60" s="115">
        <f t="shared" si="76"/>
        <v>18.662400000000002</v>
      </c>
      <c r="W60" s="230"/>
      <c r="X60" s="115">
        <f t="shared" si="77"/>
        <v>22.1616</v>
      </c>
      <c r="Y60" s="116"/>
      <c r="Z60" s="116">
        <f t="shared" si="95"/>
        <v>0</v>
      </c>
      <c r="AC60" s="120" t="s">
        <v>695</v>
      </c>
      <c r="AE60" s="154">
        <f t="shared" si="89"/>
        <v>2</v>
      </c>
      <c r="AG60" s="231">
        <f t="shared" si="90"/>
        <v>11664</v>
      </c>
      <c r="AH60" s="108"/>
      <c r="AI60" s="115">
        <f t="shared" si="78"/>
        <v>6623.9856</v>
      </c>
      <c r="AJ60" s="230"/>
      <c r="AK60" s="115">
        <f t="shared" si="79"/>
        <v>4999.1903999999995</v>
      </c>
      <c r="AL60" s="230"/>
      <c r="AM60" s="115">
        <f t="shared" si="80"/>
        <v>0</v>
      </c>
      <c r="AN60" s="230"/>
      <c r="AO60" s="115">
        <f t="shared" si="81"/>
        <v>0</v>
      </c>
      <c r="AP60" s="230"/>
      <c r="AQ60" s="115">
        <f t="shared" si="82"/>
        <v>0</v>
      </c>
      <c r="AR60" s="230"/>
      <c r="AS60" s="115">
        <f t="shared" si="83"/>
        <v>0</v>
      </c>
      <c r="AT60" s="230"/>
      <c r="AU60" s="115">
        <f t="shared" si="84"/>
        <v>0</v>
      </c>
      <c r="AV60" s="69"/>
      <c r="AW60" s="69">
        <f t="shared" si="85"/>
        <v>18.662400000000002</v>
      </c>
      <c r="AX60" s="69"/>
      <c r="AY60" s="69">
        <f t="shared" si="86"/>
        <v>22.1616</v>
      </c>
      <c r="BA60" s="99">
        <f t="shared" si="20"/>
        <v>0</v>
      </c>
      <c r="BB60" s="82"/>
      <c r="BC60" s="82"/>
      <c r="BD60" s="82"/>
    </row>
    <row r="61" spans="1:56" s="399" customFormat="1" x14ac:dyDescent="0.2">
      <c r="A61" s="185"/>
      <c r="B61" s="167"/>
      <c r="C61" s="116">
        <f>+Linkin!L212</f>
        <v>16738.821974626579</v>
      </c>
      <c r="D61" s="412">
        <v>675.3</v>
      </c>
      <c r="E61" s="116"/>
      <c r="F61" s="120" t="s">
        <v>697</v>
      </c>
      <c r="G61" s="180"/>
      <c r="H61" s="181">
        <v>2</v>
      </c>
      <c r="I61" s="120"/>
      <c r="J61" s="231">
        <f t="shared" si="97"/>
        <v>16738.821974626579</v>
      </c>
      <c r="K61" s="108"/>
      <c r="L61" s="115">
        <f t="shared" si="71"/>
        <v>8568.6029688113467</v>
      </c>
      <c r="M61" s="230"/>
      <c r="N61" s="115">
        <f t="shared" si="72"/>
        <v>5123.7534064331958</v>
      </c>
      <c r="O61" s="230"/>
      <c r="P61" s="115">
        <f t="shared" si="73"/>
        <v>821.87615895416502</v>
      </c>
      <c r="Q61" s="230"/>
      <c r="R61" s="115">
        <f t="shared" si="74"/>
        <v>1630.3612603286285</v>
      </c>
      <c r="S61" s="230"/>
      <c r="T61" s="115">
        <f t="shared" si="75"/>
        <v>535.64230318805051</v>
      </c>
      <c r="U61" s="230"/>
      <c r="V61" s="115">
        <f t="shared" si="76"/>
        <v>26.782115159402526</v>
      </c>
      <c r="W61" s="230"/>
      <c r="X61" s="115">
        <f t="shared" si="77"/>
        <v>31.8037617517905</v>
      </c>
      <c r="Y61" s="116"/>
      <c r="Z61" s="116">
        <f t="shared" si="95"/>
        <v>0</v>
      </c>
      <c r="AC61" s="120" t="s">
        <v>697</v>
      </c>
      <c r="AE61" s="154">
        <f t="shared" si="89"/>
        <v>2</v>
      </c>
      <c r="AG61" s="231">
        <f t="shared" si="90"/>
        <v>16738.821974626579</v>
      </c>
      <c r="AH61" s="108"/>
      <c r="AI61" s="115">
        <f t="shared" si="78"/>
        <v>9505.9769993904338</v>
      </c>
      <c r="AJ61" s="230"/>
      <c r="AK61" s="115">
        <f t="shared" si="79"/>
        <v>7174.2590983249511</v>
      </c>
      <c r="AL61" s="230"/>
      <c r="AM61" s="115">
        <f t="shared" si="80"/>
        <v>0</v>
      </c>
      <c r="AN61" s="230"/>
      <c r="AO61" s="115">
        <f t="shared" si="81"/>
        <v>0</v>
      </c>
      <c r="AP61" s="230"/>
      <c r="AQ61" s="115">
        <f t="shared" si="82"/>
        <v>0</v>
      </c>
      <c r="AR61" s="230"/>
      <c r="AS61" s="115">
        <f t="shared" si="83"/>
        <v>0</v>
      </c>
      <c r="AT61" s="230"/>
      <c r="AU61" s="115">
        <f t="shared" si="84"/>
        <v>0</v>
      </c>
      <c r="AV61" s="69"/>
      <c r="AW61" s="69">
        <f t="shared" si="85"/>
        <v>26.782115159402526</v>
      </c>
      <c r="AX61" s="69"/>
      <c r="AY61" s="69">
        <f t="shared" si="86"/>
        <v>31.8037617517905</v>
      </c>
      <c r="BA61" s="99">
        <f t="shared" si="20"/>
        <v>0</v>
      </c>
      <c r="BB61" s="82"/>
      <c r="BC61" s="82"/>
      <c r="BD61" s="82"/>
    </row>
    <row r="62" spans="1:56" s="399" customFormat="1" x14ac:dyDescent="0.2">
      <c r="A62" s="185"/>
      <c r="B62" s="167"/>
      <c r="C62" s="116">
        <f>+Linkin!L218</f>
        <v>6064.8515461666993</v>
      </c>
      <c r="D62" s="412">
        <v>675.3</v>
      </c>
      <c r="E62" s="116"/>
      <c r="F62" s="120" t="s">
        <v>700</v>
      </c>
      <c r="G62" s="180"/>
      <c r="H62" s="181">
        <v>2</v>
      </c>
      <c r="I62" s="120"/>
      <c r="J62" s="305">
        <f t="shared" si="97"/>
        <v>6064.8515461666993</v>
      </c>
      <c r="K62" s="108"/>
      <c r="L62" s="304">
        <f t="shared" si="71"/>
        <v>3104.5975064827335</v>
      </c>
      <c r="M62" s="108"/>
      <c r="N62" s="304">
        <f t="shared" si="72"/>
        <v>1856.4510582816265</v>
      </c>
      <c r="O62" s="108"/>
      <c r="P62" s="304">
        <f t="shared" si="73"/>
        <v>297.7842109167849</v>
      </c>
      <c r="Q62" s="108"/>
      <c r="R62" s="304">
        <f t="shared" si="74"/>
        <v>590.71654059663638</v>
      </c>
      <c r="S62" s="108"/>
      <c r="T62" s="304">
        <f t="shared" si="75"/>
        <v>194.07524947733438</v>
      </c>
      <c r="U62" s="108"/>
      <c r="V62" s="304">
        <f t="shared" si="76"/>
        <v>9.7037624738667194</v>
      </c>
      <c r="W62" s="108"/>
      <c r="X62" s="304">
        <f t="shared" si="77"/>
        <v>11.523217937716728</v>
      </c>
      <c r="Y62" s="116"/>
      <c r="Z62" s="116">
        <f t="shared" si="95"/>
        <v>0</v>
      </c>
      <c r="AC62" s="120" t="s">
        <v>700</v>
      </c>
      <c r="AE62" s="154">
        <f t="shared" si="89"/>
        <v>2</v>
      </c>
      <c r="AG62" s="305">
        <f t="shared" si="90"/>
        <v>6064.8515461666993</v>
      </c>
      <c r="AH62" s="108"/>
      <c r="AI62" s="304">
        <f t="shared" si="78"/>
        <v>3444.2291930680685</v>
      </c>
      <c r="AJ62" s="108"/>
      <c r="AK62" s="304">
        <f t="shared" si="79"/>
        <v>2599.3953726870473</v>
      </c>
      <c r="AL62" s="108"/>
      <c r="AM62" s="304">
        <f t="shared" si="80"/>
        <v>0</v>
      </c>
      <c r="AN62" s="108"/>
      <c r="AO62" s="304">
        <f t="shared" si="81"/>
        <v>0</v>
      </c>
      <c r="AP62" s="108"/>
      <c r="AQ62" s="304">
        <f t="shared" si="82"/>
        <v>0</v>
      </c>
      <c r="AR62" s="108"/>
      <c r="AS62" s="304">
        <f t="shared" si="83"/>
        <v>0</v>
      </c>
      <c r="AT62" s="108"/>
      <c r="AU62" s="304">
        <f t="shared" si="84"/>
        <v>0</v>
      </c>
      <c r="AV62" s="108"/>
      <c r="AW62" s="304">
        <f t="shared" si="85"/>
        <v>9.7037624738667194</v>
      </c>
      <c r="AX62" s="108"/>
      <c r="AY62" s="304">
        <f t="shared" si="86"/>
        <v>11.523217937716728</v>
      </c>
      <c r="BA62" s="99">
        <f t="shared" si="20"/>
        <v>0</v>
      </c>
      <c r="BB62" s="82"/>
      <c r="BC62" s="82"/>
      <c r="BD62" s="82"/>
    </row>
    <row r="63" spans="1:56" x14ac:dyDescent="0.2">
      <c r="A63" s="177"/>
      <c r="B63" s="177"/>
      <c r="F63" s="120"/>
      <c r="G63" s="180"/>
      <c r="H63" s="181"/>
      <c r="I63" s="120"/>
      <c r="J63" s="231"/>
      <c r="K63" s="83"/>
      <c r="L63" s="83"/>
      <c r="M63" s="83"/>
      <c r="N63" s="83"/>
      <c r="O63" s="83"/>
      <c r="P63" s="83"/>
      <c r="Q63" s="83"/>
      <c r="R63" s="83"/>
      <c r="S63" s="83"/>
      <c r="T63" s="83"/>
      <c r="U63" s="83"/>
      <c r="V63" s="83"/>
      <c r="W63" s="83"/>
      <c r="X63" s="83"/>
      <c r="Z63" s="99"/>
      <c r="AC63" s="120"/>
      <c r="AG63" s="231"/>
      <c r="AH63" s="83"/>
      <c r="AI63" s="83"/>
      <c r="AJ63" s="83"/>
      <c r="AK63" s="83"/>
      <c r="AL63" s="83"/>
      <c r="AM63" s="83"/>
      <c r="AN63" s="83"/>
      <c r="AO63" s="83"/>
      <c r="AP63" s="83"/>
      <c r="AQ63" s="83"/>
      <c r="AR63" s="83"/>
      <c r="AS63" s="83"/>
      <c r="AT63" s="83"/>
      <c r="AU63" s="83"/>
      <c r="AV63" s="83"/>
      <c r="AW63" s="83"/>
      <c r="AX63" s="83"/>
      <c r="AY63" s="83"/>
      <c r="BA63" s="99">
        <f t="shared" si="20"/>
        <v>0</v>
      </c>
      <c r="BB63" s="82"/>
      <c r="BC63" s="82"/>
      <c r="BD63" s="82"/>
    </row>
    <row r="64" spans="1:56" x14ac:dyDescent="0.2">
      <c r="A64" s="177"/>
      <c r="B64" s="177"/>
      <c r="F64" s="120" t="s">
        <v>98</v>
      </c>
      <c r="G64" s="180"/>
      <c r="H64" s="181"/>
      <c r="I64" s="120"/>
      <c r="J64" s="305">
        <f>SUM(J45:J63)</f>
        <v>8315781.4483566917</v>
      </c>
      <c r="K64" s="120"/>
      <c r="L64" s="305">
        <f>SUM(L45:L63)</f>
        <v>4143671.2739142184</v>
      </c>
      <c r="M64" s="120"/>
      <c r="N64" s="305">
        <f t="shared" ref="N64" si="98">SUM(N45:N63)</f>
        <v>2553078.4008275308</v>
      </c>
      <c r="O64" s="120"/>
      <c r="P64" s="305">
        <f t="shared" ref="P64" si="99">SUM(P45:P63)</f>
        <v>437687.42427285598</v>
      </c>
      <c r="Q64" s="120"/>
      <c r="R64" s="305">
        <f t="shared" ref="R64" si="100">SUM(R45:R63)</f>
        <v>852942.70302410563</v>
      </c>
      <c r="S64" s="120"/>
      <c r="T64" s="305">
        <f t="shared" ref="T64" si="101">SUM(T45:T63)</f>
        <v>285149.25506128417</v>
      </c>
      <c r="U64" s="120"/>
      <c r="V64" s="305">
        <f t="shared" ref="V64" si="102">SUM(V45:V63)</f>
        <v>19834.707019269019</v>
      </c>
      <c r="W64" s="120"/>
      <c r="X64" s="305">
        <f t="shared" ref="X64" si="103">SUM(X45:X63)</f>
        <v>23417.684237425743</v>
      </c>
      <c r="Z64" s="99">
        <f t="shared" ref="Z64:Z78" si="104">SUM(L64:X64)-J64</f>
        <v>0</v>
      </c>
      <c r="AC64" s="120" t="s">
        <v>98</v>
      </c>
      <c r="AD64" s="180"/>
      <c r="AE64" s="181"/>
      <c r="AF64" s="120"/>
      <c r="AG64" s="305">
        <f>SUM(AG45:AG63)</f>
        <v>8315781.4483566917</v>
      </c>
      <c r="AH64" s="120"/>
      <c r="AI64" s="305">
        <f>SUM(AI45:AI63)</f>
        <v>7040489.4136956679</v>
      </c>
      <c r="AJ64" s="120"/>
      <c r="AK64" s="305">
        <f>SUM(AK45:AK63)</f>
        <v>1232039.6434043292</v>
      </c>
      <c r="AL64" s="120"/>
      <c r="AM64" s="305">
        <f>SUM(AM45:AM63)</f>
        <v>0</v>
      </c>
      <c r="AN64" s="120"/>
      <c r="AO64" s="305">
        <f>SUM(AO45:AO63)</f>
        <v>0</v>
      </c>
      <c r="AP64" s="120"/>
      <c r="AQ64" s="305">
        <f>SUM(AQ45:AQ63)</f>
        <v>0</v>
      </c>
      <c r="AR64" s="120"/>
      <c r="AS64" s="305">
        <f>SUM(AS45:AS63)</f>
        <v>0</v>
      </c>
      <c r="AT64" s="120"/>
      <c r="AU64" s="305">
        <f>SUM(AU45:AU63)</f>
        <v>0</v>
      </c>
      <c r="AV64" s="120"/>
      <c r="AW64" s="305">
        <f t="shared" ref="AW64" si="105">SUM(AW45:AW63)</f>
        <v>19834.707019269019</v>
      </c>
      <c r="AX64" s="120"/>
      <c r="AY64" s="305">
        <f t="shared" ref="AY64" si="106">SUM(AY45:AY63)</f>
        <v>23417.684237425743</v>
      </c>
      <c r="BA64" s="99">
        <f t="shared" si="20"/>
        <v>0</v>
      </c>
      <c r="BB64" s="82"/>
      <c r="BC64" s="82"/>
      <c r="BD64" s="82"/>
    </row>
    <row r="65" spans="1:56" x14ac:dyDescent="0.2">
      <c r="A65" s="177"/>
      <c r="B65" s="177"/>
      <c r="F65" s="120"/>
      <c r="G65" s="180"/>
      <c r="H65" s="181"/>
      <c r="I65" s="120"/>
      <c r="J65" s="231"/>
      <c r="K65" s="108"/>
      <c r="L65" s="83"/>
      <c r="M65" s="109"/>
      <c r="N65" s="109"/>
      <c r="O65" s="109"/>
      <c r="P65" s="109"/>
      <c r="Q65" s="109"/>
      <c r="R65" s="109"/>
      <c r="S65" s="109"/>
      <c r="T65" s="109"/>
      <c r="U65" s="109"/>
      <c r="V65" s="109"/>
      <c r="W65" s="109"/>
      <c r="X65" s="109"/>
      <c r="Z65" s="99">
        <f t="shared" si="104"/>
        <v>0</v>
      </c>
      <c r="AC65" s="120"/>
      <c r="AG65" s="231"/>
      <c r="AH65" s="108"/>
      <c r="AI65" s="83"/>
      <c r="AJ65" s="109"/>
      <c r="AK65" s="109"/>
      <c r="AL65" s="109"/>
      <c r="AM65" s="109"/>
      <c r="AN65" s="109"/>
      <c r="AO65" s="109"/>
      <c r="AP65" s="109"/>
      <c r="AQ65" s="109"/>
      <c r="AR65" s="109"/>
      <c r="AS65" s="109"/>
      <c r="AT65" s="109"/>
      <c r="AU65" s="109"/>
      <c r="AV65" s="109"/>
      <c r="AW65" s="109"/>
      <c r="AX65" s="109"/>
      <c r="AY65" s="109"/>
      <c r="BA65" s="99">
        <f t="shared" si="20"/>
        <v>0</v>
      </c>
      <c r="BB65" s="82"/>
      <c r="BC65" s="82"/>
      <c r="BD65" s="82"/>
    </row>
    <row r="66" spans="1:56" x14ac:dyDescent="0.2">
      <c r="A66" s="177"/>
      <c r="B66" s="177"/>
      <c r="F66" s="120" t="s">
        <v>99</v>
      </c>
      <c r="G66" s="180"/>
      <c r="H66" s="181"/>
      <c r="I66" s="120"/>
      <c r="J66" s="231"/>
      <c r="K66" s="108"/>
      <c r="L66" s="83"/>
      <c r="M66" s="109"/>
      <c r="N66" s="109"/>
      <c r="O66" s="109"/>
      <c r="P66" s="109"/>
      <c r="Q66" s="109"/>
      <c r="R66" s="109"/>
      <c r="S66" s="109"/>
      <c r="T66" s="109"/>
      <c r="U66" s="109"/>
      <c r="V66" s="109"/>
      <c r="W66" s="109"/>
      <c r="X66" s="109"/>
      <c r="Z66" s="99">
        <f t="shared" si="104"/>
        <v>0</v>
      </c>
      <c r="AC66" s="120" t="s">
        <v>99</v>
      </c>
      <c r="AG66" s="231"/>
      <c r="AH66" s="108"/>
      <c r="AI66" s="83"/>
      <c r="AJ66" s="109"/>
      <c r="AK66" s="109"/>
      <c r="AL66" s="109"/>
      <c r="AM66" s="109"/>
      <c r="AN66" s="109"/>
      <c r="AO66" s="109"/>
      <c r="AP66" s="109"/>
      <c r="AQ66" s="109"/>
      <c r="AR66" s="109"/>
      <c r="AS66" s="109"/>
      <c r="AT66" s="109"/>
      <c r="AU66" s="109"/>
      <c r="AV66" s="109"/>
      <c r="AW66" s="109"/>
      <c r="AX66" s="109"/>
      <c r="AY66" s="109"/>
      <c r="BA66" s="99">
        <f t="shared" si="20"/>
        <v>0</v>
      </c>
      <c r="BB66" s="82"/>
      <c r="BC66" s="82"/>
      <c r="BD66" s="82"/>
    </row>
    <row r="67" spans="1:56" x14ac:dyDescent="0.2">
      <c r="A67" s="177"/>
      <c r="B67" s="177"/>
      <c r="D67" s="412">
        <v>601.4</v>
      </c>
      <c r="F67" s="120" t="s">
        <v>593</v>
      </c>
      <c r="G67" s="180"/>
      <c r="H67" s="181">
        <v>2</v>
      </c>
      <c r="I67" s="120"/>
      <c r="J67" s="231">
        <f t="shared" ref="J67:J70" si="107">+C67</f>
        <v>0</v>
      </c>
      <c r="K67" s="108"/>
      <c r="L67" s="115">
        <f>(VLOOKUP($H67,Factors,L$381))*$J67</f>
        <v>0</v>
      </c>
      <c r="M67" s="230"/>
      <c r="N67" s="115">
        <f>(VLOOKUP($H67,Factors,N$381))*$J67</f>
        <v>0</v>
      </c>
      <c r="O67" s="230"/>
      <c r="P67" s="115">
        <f>(VLOOKUP($H67,Factors,P$381))*$J67</f>
        <v>0</v>
      </c>
      <c r="Q67" s="230"/>
      <c r="R67" s="115">
        <f>(VLOOKUP($H67,Factors,R$381))*$J67</f>
        <v>0</v>
      </c>
      <c r="S67" s="230"/>
      <c r="T67" s="115">
        <f>(VLOOKUP($H67,Factors,T$381))*$J67</f>
        <v>0</v>
      </c>
      <c r="U67" s="230"/>
      <c r="V67" s="115">
        <f>(VLOOKUP($H67,Factors,V$381))*$J67</f>
        <v>0</v>
      </c>
      <c r="W67" s="230"/>
      <c r="X67" s="115">
        <f>(VLOOKUP($H67,Factors,X$381))*$J67</f>
        <v>0</v>
      </c>
      <c r="Y67" s="116"/>
      <c r="Z67" s="116">
        <f t="shared" si="104"/>
        <v>0</v>
      </c>
      <c r="AC67" s="120" t="s">
        <v>593</v>
      </c>
      <c r="AE67" s="154">
        <f>+H67</f>
        <v>2</v>
      </c>
      <c r="AG67" s="231">
        <f>+J67</f>
        <v>0</v>
      </c>
      <c r="AH67" s="108"/>
      <c r="AI67" s="115">
        <f>(VLOOKUP($AE67,func,AI$381))*$AG67</f>
        <v>0</v>
      </c>
      <c r="AJ67" s="230"/>
      <c r="AK67" s="115">
        <f>(VLOOKUP($AE67,func,AK$381))*$AG67</f>
        <v>0</v>
      </c>
      <c r="AL67" s="230"/>
      <c r="AM67" s="115">
        <f>(VLOOKUP($AE67,func,AM$381))*$AG67</f>
        <v>0</v>
      </c>
      <c r="AN67" s="230"/>
      <c r="AO67" s="115">
        <f>(VLOOKUP($AE67,func,AO$381))*$AG67</f>
        <v>0</v>
      </c>
      <c r="AP67" s="230"/>
      <c r="AQ67" s="115">
        <f>(VLOOKUP($AE67,func,AQ$381))*$AG67</f>
        <v>0</v>
      </c>
      <c r="AR67" s="230"/>
      <c r="AS67" s="115">
        <f>(VLOOKUP($AE67,func,AS$381))*$AG67</f>
        <v>0</v>
      </c>
      <c r="AT67" s="230"/>
      <c r="AU67" s="115">
        <f>(VLOOKUP($AE67,func,AU$381))*$AG67</f>
        <v>0</v>
      </c>
      <c r="AV67" s="230"/>
      <c r="AW67" s="115">
        <f>(VLOOKUP($AE67,func,AW$381))*$AG67</f>
        <v>0</v>
      </c>
      <c r="AX67" s="230"/>
      <c r="AY67" s="115">
        <f>(VLOOKUP($AE67,func,AY$381))*$AG67</f>
        <v>0</v>
      </c>
      <c r="BA67" s="99">
        <f t="shared" si="20"/>
        <v>0</v>
      </c>
      <c r="BB67" s="82"/>
      <c r="BC67" s="82"/>
      <c r="BD67" s="82"/>
    </row>
    <row r="68" spans="1:56" s="417" customFormat="1" x14ac:dyDescent="0.2">
      <c r="A68" s="177"/>
      <c r="B68" s="177"/>
      <c r="C68" s="116">
        <f>+Linkin!L76+Linkin!L97</f>
        <v>218739.06655328901</v>
      </c>
      <c r="D68" s="412">
        <v>601.4</v>
      </c>
      <c r="E68" s="116"/>
      <c r="F68" s="120" t="s">
        <v>706</v>
      </c>
      <c r="G68" s="180"/>
      <c r="H68" s="181">
        <v>2</v>
      </c>
      <c r="I68" s="120"/>
      <c r="J68" s="231">
        <f t="shared" ref="J68" si="108">+C68</f>
        <v>218739.06655328901</v>
      </c>
      <c r="K68" s="108"/>
      <c r="L68" s="115">
        <f>(VLOOKUP($H68,Factors,L$381))*$J68</f>
        <v>111972.52816862865</v>
      </c>
      <c r="M68" s="230"/>
      <c r="N68" s="115">
        <f>(VLOOKUP($H68,Factors,N$381))*$J68</f>
        <v>66956.028271961768</v>
      </c>
      <c r="O68" s="230"/>
      <c r="P68" s="115">
        <f>(VLOOKUP($H68,Factors,P$381))*$J68</f>
        <v>10740.088167766489</v>
      </c>
      <c r="Q68" s="230"/>
      <c r="R68" s="115">
        <f>(VLOOKUP($H68,Factors,R$381))*$J68</f>
        <v>21305.185082290347</v>
      </c>
      <c r="S68" s="230"/>
      <c r="T68" s="115">
        <f>(VLOOKUP($H68,Factors,T$381))*$J68</f>
        <v>6999.6501297052482</v>
      </c>
      <c r="U68" s="230"/>
      <c r="V68" s="115">
        <f>(VLOOKUP($H68,Factors,V$381))*$J68</f>
        <v>349.98250648526243</v>
      </c>
      <c r="W68" s="230"/>
      <c r="X68" s="115">
        <f>(VLOOKUP($H68,Factors,X$381))*$J68</f>
        <v>415.60422645124913</v>
      </c>
      <c r="Y68" s="116"/>
      <c r="Z68" s="116"/>
      <c r="AC68" s="120" t="s">
        <v>706</v>
      </c>
      <c r="AE68" s="154">
        <f t="shared" ref="AE68:AE71" si="109">+H68</f>
        <v>2</v>
      </c>
      <c r="AG68" s="231">
        <f t="shared" ref="AG68:AG71" si="110">+J68</f>
        <v>218739.06655328901</v>
      </c>
      <c r="AH68" s="108"/>
      <c r="AI68" s="115">
        <f>(VLOOKUP($AE68,func,AI$381))*$AG68</f>
        <v>124221.91589561282</v>
      </c>
      <c r="AJ68" s="230"/>
      <c r="AK68" s="115">
        <f>(VLOOKUP($AE68,func,AK$381))*$AG68</f>
        <v>93751.563924739661</v>
      </c>
      <c r="AL68" s="230"/>
      <c r="AM68" s="115">
        <f>(VLOOKUP($AE68,func,AM$381))*$AG68</f>
        <v>0</v>
      </c>
      <c r="AN68" s="230"/>
      <c r="AO68" s="115">
        <f>(VLOOKUP($AE68,func,AO$381))*$AG68</f>
        <v>0</v>
      </c>
      <c r="AP68" s="230"/>
      <c r="AQ68" s="115">
        <f>(VLOOKUP($AE68,func,AQ$381))*$AG68</f>
        <v>0</v>
      </c>
      <c r="AR68" s="230"/>
      <c r="AS68" s="115">
        <f>(VLOOKUP($AE68,func,AS$381))*$AG68</f>
        <v>0</v>
      </c>
      <c r="AT68" s="230"/>
      <c r="AU68" s="115">
        <f>(VLOOKUP($AE68,func,AU$381))*$AG68</f>
        <v>0</v>
      </c>
      <c r="AV68" s="230"/>
      <c r="AW68" s="115">
        <f>(VLOOKUP($AE68,func,AW$381))*$AG68</f>
        <v>349.98250648526243</v>
      </c>
      <c r="AX68" s="230"/>
      <c r="AY68" s="115">
        <f>(VLOOKUP($AE68,func,AY$381))*$AG68</f>
        <v>415.60422645124913</v>
      </c>
      <c r="BA68" s="99">
        <f t="shared" si="20"/>
        <v>0</v>
      </c>
      <c r="BB68" s="82"/>
      <c r="BC68" s="82"/>
      <c r="BD68" s="82"/>
    </row>
    <row r="69" spans="1:56" x14ac:dyDescent="0.2">
      <c r="A69" s="177"/>
      <c r="B69" s="177"/>
      <c r="C69" s="116">
        <f>+Linkin!L361+Linkin!L314+Linkin!L318+Linkin!L185</f>
        <v>39471.900331572295</v>
      </c>
      <c r="D69" s="412">
        <v>620.4</v>
      </c>
      <c r="F69" s="120" t="s">
        <v>957</v>
      </c>
      <c r="G69" s="180"/>
      <c r="H69" s="181">
        <v>2</v>
      </c>
      <c r="I69" s="120"/>
      <c r="J69" s="231">
        <f t="shared" si="107"/>
        <v>39471.900331572295</v>
      </c>
      <c r="K69" s="108"/>
      <c r="L69" s="115">
        <f>(VLOOKUP($H69,Factors,L$381))*$J69</f>
        <v>20205.665779731858</v>
      </c>
      <c r="M69" s="230"/>
      <c r="N69" s="115">
        <f>(VLOOKUP($H69,Factors,N$381))*$J69</f>
        <v>12082.348691494279</v>
      </c>
      <c r="O69" s="230"/>
      <c r="P69" s="115">
        <f>(VLOOKUP($H69,Factors,P$381))*$J69</f>
        <v>1938.0703062801997</v>
      </c>
      <c r="Q69" s="230"/>
      <c r="R69" s="115">
        <f>(VLOOKUP($H69,Factors,R$381))*$J69</f>
        <v>3844.5630922951409</v>
      </c>
      <c r="S69" s="230"/>
      <c r="T69" s="115">
        <f>(VLOOKUP($H69,Factors,T$381))*$J69</f>
        <v>1263.1008106103134</v>
      </c>
      <c r="U69" s="230"/>
      <c r="V69" s="115">
        <f>(VLOOKUP($H69,Factors,V$381))*$J69</f>
        <v>63.155040530515677</v>
      </c>
      <c r="W69" s="230"/>
      <c r="X69" s="115">
        <f>(VLOOKUP($H69,Factors,X$381))*$J69</f>
        <v>74.996610629987359</v>
      </c>
      <c r="Y69" s="116"/>
      <c r="Z69" s="116">
        <f t="shared" si="104"/>
        <v>0</v>
      </c>
      <c r="AC69" s="120" t="s">
        <v>653</v>
      </c>
      <c r="AE69" s="154">
        <f t="shared" si="109"/>
        <v>2</v>
      </c>
      <c r="AG69" s="231">
        <f t="shared" si="110"/>
        <v>39471.900331572295</v>
      </c>
      <c r="AH69" s="108"/>
      <c r="AI69" s="115">
        <f>(VLOOKUP($AE69,func,AI$381))*$AG69</f>
        <v>22416.092198299906</v>
      </c>
      <c r="AJ69" s="230"/>
      <c r="AK69" s="115">
        <f>(VLOOKUP($AE69,func,AK$381))*$AG69</f>
        <v>16917.656482111885</v>
      </c>
      <c r="AL69" s="230"/>
      <c r="AM69" s="115">
        <f>(VLOOKUP($AE69,func,AM$381))*$AG69</f>
        <v>0</v>
      </c>
      <c r="AN69" s="230"/>
      <c r="AO69" s="115">
        <f>(VLOOKUP($AE69,func,AO$381))*$AG69</f>
        <v>0</v>
      </c>
      <c r="AP69" s="230"/>
      <c r="AQ69" s="115">
        <f>(VLOOKUP($AE69,func,AQ$381))*$AG69</f>
        <v>0</v>
      </c>
      <c r="AR69" s="230"/>
      <c r="AS69" s="115">
        <f>(VLOOKUP($AE69,func,AS$381))*$AG69</f>
        <v>0</v>
      </c>
      <c r="AT69" s="230"/>
      <c r="AU69" s="115">
        <f>(VLOOKUP($AE69,func,AU$381))*$AG69</f>
        <v>0</v>
      </c>
      <c r="AV69" s="230"/>
      <c r="AW69" s="115">
        <f>(VLOOKUP($AE69,func,AW$381))*$AG69</f>
        <v>63.155040530515677</v>
      </c>
      <c r="AX69" s="230"/>
      <c r="AY69" s="115">
        <f>(VLOOKUP($AE69,func,AY$381))*$AG69</f>
        <v>74.996610629987359</v>
      </c>
      <c r="BA69" s="99">
        <f t="shared" si="20"/>
        <v>0</v>
      </c>
      <c r="BB69" s="82"/>
      <c r="BC69" s="82"/>
      <c r="BD69" s="82"/>
    </row>
    <row r="70" spans="1:56" x14ac:dyDescent="0.2">
      <c r="A70" s="177"/>
      <c r="B70" s="177"/>
      <c r="C70" s="116">
        <f>+Linkin!L357+Linkin!L376</f>
        <v>381174.27282074717</v>
      </c>
      <c r="D70" s="412">
        <v>675.4</v>
      </c>
      <c r="F70" s="420" t="s">
        <v>675</v>
      </c>
      <c r="G70" s="180"/>
      <c r="H70" s="181">
        <v>2</v>
      </c>
      <c r="I70" s="120"/>
      <c r="J70" s="231">
        <f t="shared" si="107"/>
        <v>381174.27282074717</v>
      </c>
      <c r="K70" s="108"/>
      <c r="L70" s="115">
        <f>(VLOOKUP($H70,Factors,L$381))*$J70</f>
        <v>195123.11025694048</v>
      </c>
      <c r="M70" s="230"/>
      <c r="N70" s="115">
        <f>(VLOOKUP($H70,Factors,N$381))*$J70</f>
        <v>116677.4449104307</v>
      </c>
      <c r="O70" s="230"/>
      <c r="P70" s="115">
        <f>(VLOOKUP($H70,Factors,P$381))*$J70</f>
        <v>18715.656795498686</v>
      </c>
      <c r="Q70" s="230"/>
      <c r="R70" s="115">
        <f>(VLOOKUP($H70,Factors,R$381))*$J70</f>
        <v>37126.374172740769</v>
      </c>
      <c r="S70" s="230"/>
      <c r="T70" s="115">
        <f>(VLOOKUP($H70,Factors,T$381))*$J70</f>
        <v>12197.576730263909</v>
      </c>
      <c r="U70" s="230"/>
      <c r="V70" s="115">
        <f>(VLOOKUP($H70,Factors,V$381))*$J70</f>
        <v>609.87883651319555</v>
      </c>
      <c r="W70" s="230"/>
      <c r="X70" s="115">
        <f>(VLOOKUP($H70,Factors,X$381))*$J70</f>
        <v>724.23111835941961</v>
      </c>
      <c r="Y70" s="116"/>
      <c r="Z70" s="116">
        <f t="shared" si="104"/>
        <v>0</v>
      </c>
      <c r="AC70" s="420" t="s">
        <v>675</v>
      </c>
      <c r="AE70" s="154">
        <f t="shared" si="109"/>
        <v>2</v>
      </c>
      <c r="AG70" s="231">
        <f t="shared" si="110"/>
        <v>381174.27282074717</v>
      </c>
      <c r="AH70" s="108"/>
      <c r="AI70" s="115">
        <f>(VLOOKUP($AE70,func,AI$381))*$AG70</f>
        <v>216468.8695349023</v>
      </c>
      <c r="AJ70" s="230"/>
      <c r="AK70" s="115">
        <f>(VLOOKUP($AE70,func,AK$381))*$AG70</f>
        <v>163371.29333097223</v>
      </c>
      <c r="AL70" s="230"/>
      <c r="AM70" s="115">
        <f>(VLOOKUP($AE70,func,AM$381))*$AG70</f>
        <v>0</v>
      </c>
      <c r="AN70" s="230"/>
      <c r="AO70" s="115">
        <f>(VLOOKUP($AE70,func,AO$381))*$AG70</f>
        <v>0</v>
      </c>
      <c r="AP70" s="230"/>
      <c r="AQ70" s="115">
        <f>(VLOOKUP($AE70,func,AQ$381))*$AG70</f>
        <v>0</v>
      </c>
      <c r="AR70" s="230"/>
      <c r="AS70" s="115">
        <f>(VLOOKUP($AE70,func,AS$381))*$AG70</f>
        <v>0</v>
      </c>
      <c r="AT70" s="230"/>
      <c r="AU70" s="115">
        <f>(VLOOKUP($AE70,func,AU$381))*$AG70</f>
        <v>0</v>
      </c>
      <c r="AV70" s="230"/>
      <c r="AW70" s="115">
        <f>(VLOOKUP($AE70,func,AW$381))*$AG70</f>
        <v>609.87883651319555</v>
      </c>
      <c r="AX70" s="230"/>
      <c r="AY70" s="115">
        <f>(VLOOKUP($AE70,func,AY$381))*$AG70</f>
        <v>724.23111835941961</v>
      </c>
      <c r="BA70" s="99">
        <f t="shared" si="20"/>
        <v>0</v>
      </c>
      <c r="BB70" s="82"/>
      <c r="BC70" s="82"/>
      <c r="BD70" s="82"/>
    </row>
    <row r="71" spans="1:56" x14ac:dyDescent="0.2">
      <c r="A71" s="177"/>
      <c r="B71" s="177"/>
      <c r="C71" s="116">
        <f>+Linkin!L368</f>
        <v>59513.741574317377</v>
      </c>
      <c r="D71" s="412">
        <v>675.4</v>
      </c>
      <c r="F71" s="120" t="s">
        <v>678</v>
      </c>
      <c r="G71" s="180"/>
      <c r="H71" s="181">
        <v>2</v>
      </c>
      <c r="I71" s="120"/>
      <c r="J71" s="305">
        <f t="shared" ref="J71" si="111">+C71</f>
        <v>59513.741574317377</v>
      </c>
      <c r="K71" s="108"/>
      <c r="L71" s="304">
        <f>(VLOOKUP($H71,Factors,L$381))*$J71</f>
        <v>30465.084311893068</v>
      </c>
      <c r="M71" s="108"/>
      <c r="N71" s="304">
        <f>(VLOOKUP($H71,Factors,N$381))*$J71</f>
        <v>18217.156295898549</v>
      </c>
      <c r="O71" s="108"/>
      <c r="P71" s="304">
        <f>(VLOOKUP($H71,Factors,P$381))*$J71</f>
        <v>2922.1247112989831</v>
      </c>
      <c r="Q71" s="108"/>
      <c r="R71" s="304">
        <f>(VLOOKUP($H71,Factors,R$381))*$J71</f>
        <v>5796.6384293385117</v>
      </c>
      <c r="S71" s="108"/>
      <c r="T71" s="304">
        <f>(VLOOKUP($H71,Factors,T$381))*$J71</f>
        <v>1904.4397303781561</v>
      </c>
      <c r="U71" s="108"/>
      <c r="V71" s="304">
        <f>(VLOOKUP($H71,Factors,V$381))*$J71</f>
        <v>95.221986518907812</v>
      </c>
      <c r="W71" s="108"/>
      <c r="X71" s="304">
        <f>(VLOOKUP($H71,Factors,X$381))*$J71</f>
        <v>113.07610899120301</v>
      </c>
      <c r="Y71" s="116"/>
      <c r="Z71" s="116">
        <f t="shared" ref="Z71" si="112">SUM(L71:X71)-J71</f>
        <v>0</v>
      </c>
      <c r="AC71" s="120" t="s">
        <v>678</v>
      </c>
      <c r="AE71" s="154">
        <f t="shared" si="109"/>
        <v>2</v>
      </c>
      <c r="AG71" s="305">
        <f t="shared" si="110"/>
        <v>59513.741574317377</v>
      </c>
      <c r="AH71" s="108"/>
      <c r="AI71" s="304">
        <f>(VLOOKUP($AE71,func,AI$381))*$AG71</f>
        <v>33797.853840054835</v>
      </c>
      <c r="AJ71" s="108"/>
      <c r="AK71" s="304">
        <f>(VLOOKUP($AE71,func,AK$381))*$AG71</f>
        <v>25507.589638752426</v>
      </c>
      <c r="AL71" s="108"/>
      <c r="AM71" s="304">
        <f>(VLOOKUP($AE71,func,AM$381))*$AG71</f>
        <v>0</v>
      </c>
      <c r="AN71" s="108"/>
      <c r="AO71" s="304">
        <f>(VLOOKUP($AE71,func,AO$381))*$AG71</f>
        <v>0</v>
      </c>
      <c r="AP71" s="108"/>
      <c r="AQ71" s="304">
        <f>(VLOOKUP($AE71,func,AQ$381))*$AG71</f>
        <v>0</v>
      </c>
      <c r="AR71" s="108"/>
      <c r="AS71" s="304">
        <f>(VLOOKUP($AE71,func,AS$381))*$AG71</f>
        <v>0</v>
      </c>
      <c r="AT71" s="108"/>
      <c r="AU71" s="304">
        <f>(VLOOKUP($AE71,func,AU$381))*$AG71</f>
        <v>0</v>
      </c>
      <c r="AV71" s="108"/>
      <c r="AW71" s="304">
        <f>(VLOOKUP($AE71,func,AW$381))*$AG71</f>
        <v>95.221986518907812</v>
      </c>
      <c r="AX71" s="108"/>
      <c r="AY71" s="304">
        <f>(VLOOKUP($AE71,func,AY$381))*$AG71</f>
        <v>113.07610899120301</v>
      </c>
      <c r="BA71" s="99">
        <f t="shared" si="20"/>
        <v>0</v>
      </c>
      <c r="BB71" s="82"/>
      <c r="BC71" s="82"/>
      <c r="BD71" s="82"/>
    </row>
    <row r="72" spans="1:56" x14ac:dyDescent="0.2">
      <c r="A72" s="177"/>
      <c r="B72" s="177"/>
      <c r="F72" s="120"/>
      <c r="G72" s="180"/>
      <c r="H72" s="181"/>
      <c r="I72" s="120"/>
      <c r="J72" s="231"/>
      <c r="K72" s="108"/>
      <c r="L72" s="83"/>
      <c r="M72" s="108"/>
      <c r="N72" s="83"/>
      <c r="O72" s="108"/>
      <c r="P72" s="83"/>
      <c r="Q72" s="108"/>
      <c r="R72" s="83"/>
      <c r="S72" s="108"/>
      <c r="T72" s="83"/>
      <c r="U72" s="108"/>
      <c r="V72" s="83"/>
      <c r="W72" s="108"/>
      <c r="X72" s="83"/>
      <c r="Z72" s="99">
        <f t="shared" si="104"/>
        <v>0</v>
      </c>
      <c r="AC72" s="120"/>
      <c r="AE72" s="154"/>
      <c r="AG72" s="231"/>
      <c r="AH72" s="108"/>
      <c r="AI72" s="83"/>
      <c r="AJ72" s="108"/>
      <c r="AK72" s="83"/>
      <c r="AL72" s="108"/>
      <c r="AM72" s="83"/>
      <c r="AN72" s="108"/>
      <c r="AO72" s="83"/>
      <c r="AP72" s="108"/>
      <c r="AQ72" s="83"/>
      <c r="AR72" s="108"/>
      <c r="AS72" s="83"/>
      <c r="AT72" s="108"/>
      <c r="AU72" s="83"/>
      <c r="AV72" s="108"/>
      <c r="AW72" s="83"/>
      <c r="AX72" s="108"/>
      <c r="AY72" s="83"/>
      <c r="BA72" s="99">
        <f t="shared" si="20"/>
        <v>0</v>
      </c>
      <c r="BB72" s="82"/>
      <c r="BC72" s="82"/>
      <c r="BD72" s="82"/>
    </row>
    <row r="73" spans="1:56" x14ac:dyDescent="0.2">
      <c r="A73" s="177"/>
      <c r="B73" s="177"/>
      <c r="F73" s="120" t="s">
        <v>100</v>
      </c>
      <c r="G73" s="180"/>
      <c r="H73" s="181"/>
      <c r="I73" s="120"/>
      <c r="J73" s="305">
        <f>SUM(J67:J72)</f>
        <v>698898.98127992579</v>
      </c>
      <c r="K73" s="120"/>
      <c r="L73" s="305">
        <f>SUM(L67:L72)</f>
        <v>357766.38851719408</v>
      </c>
      <c r="M73" s="120"/>
      <c r="N73" s="305">
        <f>SUM(N67:N72)</f>
        <v>213932.97816978529</v>
      </c>
      <c r="O73" s="120"/>
      <c r="P73" s="305">
        <f>SUM(P67:P72)</f>
        <v>34315.939980844356</v>
      </c>
      <c r="Q73" s="120"/>
      <c r="R73" s="305">
        <f>SUM(R67:R72)</f>
        <v>68072.760776664771</v>
      </c>
      <c r="S73" s="120"/>
      <c r="T73" s="305">
        <f>SUM(T67:T72)</f>
        <v>22364.767400957626</v>
      </c>
      <c r="U73" s="120"/>
      <c r="V73" s="305">
        <f>SUM(V67:V72)</f>
        <v>1118.2383700478815</v>
      </c>
      <c r="W73" s="120"/>
      <c r="X73" s="305">
        <f>SUM(X67:X72)</f>
        <v>1327.9080644318592</v>
      </c>
      <c r="Z73" s="99">
        <f t="shared" si="104"/>
        <v>0</v>
      </c>
      <c r="AC73" s="120" t="s">
        <v>100</v>
      </c>
      <c r="AD73" s="180"/>
      <c r="AE73" s="181"/>
      <c r="AF73" s="120"/>
      <c r="AG73" s="305">
        <f>SUM(AG67:AG72)</f>
        <v>698898.98127992579</v>
      </c>
      <c r="AH73" s="120"/>
      <c r="AI73" s="305">
        <f>SUM(AI67:AI72)</f>
        <v>396904.73146886984</v>
      </c>
      <c r="AJ73" s="120"/>
      <c r="AK73" s="305">
        <f>SUM(AK67:AK72)</f>
        <v>299548.10337657621</v>
      </c>
      <c r="AL73" s="120"/>
      <c r="AM73" s="305">
        <f>SUM(AM67:AM72)</f>
        <v>0</v>
      </c>
      <c r="AN73" s="120"/>
      <c r="AO73" s="305">
        <f>SUM(AO67:AO72)</f>
        <v>0</v>
      </c>
      <c r="AP73" s="120"/>
      <c r="AQ73" s="305">
        <f>SUM(AQ67:AQ72)</f>
        <v>0</v>
      </c>
      <c r="AR73" s="120"/>
      <c r="AS73" s="305">
        <f>SUM(AS67:AS72)</f>
        <v>0</v>
      </c>
      <c r="AT73" s="120"/>
      <c r="AU73" s="305">
        <f>SUM(AU67:AU72)</f>
        <v>0</v>
      </c>
      <c r="AV73" s="120"/>
      <c r="AW73" s="305">
        <f t="shared" ref="AW73" si="113">SUM(AW67:AW72)</f>
        <v>1118.2383700478815</v>
      </c>
      <c r="AX73" s="120"/>
      <c r="AY73" s="305">
        <f t="shared" ref="AY73" si="114">SUM(AY67:AY72)</f>
        <v>1327.9080644318592</v>
      </c>
      <c r="BA73" s="99">
        <f t="shared" si="20"/>
        <v>0</v>
      </c>
      <c r="BB73" s="82"/>
      <c r="BC73" s="82"/>
      <c r="BD73" s="82"/>
    </row>
    <row r="74" spans="1:56" x14ac:dyDescent="0.2">
      <c r="A74" s="177"/>
      <c r="B74" s="177"/>
      <c r="F74" s="120"/>
      <c r="G74" s="180"/>
      <c r="H74" s="181"/>
      <c r="I74" s="120"/>
      <c r="J74" s="231"/>
      <c r="K74" s="120"/>
      <c r="L74" s="231"/>
      <c r="M74" s="120"/>
      <c r="N74" s="231"/>
      <c r="O74" s="120"/>
      <c r="P74" s="231"/>
      <c r="Q74" s="120"/>
      <c r="R74" s="231"/>
      <c r="S74" s="120"/>
      <c r="T74" s="231"/>
      <c r="U74" s="120"/>
      <c r="V74" s="231"/>
      <c r="W74" s="120"/>
      <c r="X74" s="231"/>
      <c r="Z74" s="99">
        <f t="shared" si="104"/>
        <v>0</v>
      </c>
      <c r="AC74" s="120"/>
      <c r="AE74" s="154"/>
      <c r="AG74" s="231"/>
      <c r="AH74" s="120"/>
      <c r="AI74" s="231"/>
      <c r="AJ74" s="120"/>
      <c r="AK74" s="231"/>
      <c r="AL74" s="120"/>
      <c r="AM74" s="231"/>
      <c r="AN74" s="120"/>
      <c r="AO74" s="231"/>
      <c r="AP74" s="120"/>
      <c r="AQ74" s="231"/>
      <c r="AR74" s="120"/>
      <c r="AS74" s="231"/>
      <c r="AT74" s="120"/>
      <c r="AU74" s="231"/>
      <c r="AV74" s="120"/>
      <c r="AW74" s="231"/>
      <c r="AX74" s="120"/>
      <c r="AY74" s="231"/>
      <c r="BA74" s="99">
        <f t="shared" si="20"/>
        <v>0</v>
      </c>
      <c r="BB74" s="82"/>
      <c r="BC74" s="82"/>
      <c r="BD74" s="82"/>
    </row>
    <row r="75" spans="1:56" x14ac:dyDescent="0.2">
      <c r="A75" s="177"/>
      <c r="B75" s="177"/>
      <c r="F75" s="120" t="s">
        <v>103</v>
      </c>
      <c r="G75" s="180"/>
      <c r="H75" s="181"/>
      <c r="I75" s="120"/>
      <c r="J75" s="305">
        <f>J64+J73</f>
        <v>9014680.4296366181</v>
      </c>
      <c r="K75" s="120"/>
      <c r="L75" s="305">
        <f>L64+L73</f>
        <v>4501437.6624314124</v>
      </c>
      <c r="M75" s="120"/>
      <c r="N75" s="305">
        <f>N64+N73</f>
        <v>2767011.3789973161</v>
      </c>
      <c r="O75" s="120"/>
      <c r="P75" s="305">
        <f>P64+P73</f>
        <v>472003.36425370036</v>
      </c>
      <c r="Q75" s="120"/>
      <c r="R75" s="305">
        <f>R64+R73</f>
        <v>921015.46380077046</v>
      </c>
      <c r="S75" s="120"/>
      <c r="T75" s="305">
        <f>T64+T73</f>
        <v>307514.02246224182</v>
      </c>
      <c r="U75" s="120"/>
      <c r="V75" s="305">
        <f>V64+V73</f>
        <v>20952.945389316901</v>
      </c>
      <c r="W75" s="120"/>
      <c r="X75" s="305">
        <f>X64+X73</f>
        <v>24745.592301857603</v>
      </c>
      <c r="Z75" s="99">
        <f t="shared" si="104"/>
        <v>0</v>
      </c>
      <c r="AC75" s="120" t="s">
        <v>103</v>
      </c>
      <c r="AE75" s="154"/>
      <c r="AG75" s="305">
        <f>+AG73+AG64</f>
        <v>9014680.4296366181</v>
      </c>
      <c r="AH75" s="120"/>
      <c r="AI75" s="305">
        <f>+AI73+AI64</f>
        <v>7437394.1451645382</v>
      </c>
      <c r="AJ75" s="120"/>
      <c r="AK75" s="305">
        <f>+AK73+AK64</f>
        <v>1531587.7467809054</v>
      </c>
      <c r="AL75" s="120"/>
      <c r="AM75" s="305">
        <f>+AM73+AM64</f>
        <v>0</v>
      </c>
      <c r="AN75" s="120"/>
      <c r="AO75" s="305">
        <f>+AO73+AO64</f>
        <v>0</v>
      </c>
      <c r="AP75" s="120"/>
      <c r="AQ75" s="305">
        <f>+AQ73+AQ64</f>
        <v>0</v>
      </c>
      <c r="AR75" s="120"/>
      <c r="AS75" s="305">
        <f>+AS73+AS64</f>
        <v>0</v>
      </c>
      <c r="AT75" s="120"/>
      <c r="AU75" s="305">
        <f>+AU73+AU64</f>
        <v>0</v>
      </c>
      <c r="AV75" s="120"/>
      <c r="AW75" s="305">
        <f t="shared" ref="AW75" si="115">+AW73+AW64</f>
        <v>20952.945389316901</v>
      </c>
      <c r="AX75" s="120"/>
      <c r="AY75" s="305">
        <f t="shared" ref="AY75" si="116">+AY73+AY64</f>
        <v>24745.592301857603</v>
      </c>
      <c r="BA75" s="99">
        <f t="shared" ref="BA75:BA137" si="117">SUM(AI75:AY75)-AG75</f>
        <v>0</v>
      </c>
      <c r="BB75" s="82"/>
      <c r="BC75" s="82"/>
      <c r="BD75" s="82"/>
    </row>
    <row r="76" spans="1:56" x14ac:dyDescent="0.2">
      <c r="A76" s="177"/>
      <c r="B76" s="177"/>
      <c r="F76" s="307" t="s">
        <v>145</v>
      </c>
      <c r="G76" s="180"/>
      <c r="H76" s="181"/>
      <c r="I76" s="120"/>
      <c r="J76" s="231"/>
      <c r="K76" s="108"/>
      <c r="L76" s="83"/>
      <c r="M76" s="109"/>
      <c r="N76" s="83"/>
      <c r="O76" s="109"/>
      <c r="P76" s="83"/>
      <c r="Q76" s="109"/>
      <c r="R76" s="83"/>
      <c r="S76" s="109"/>
      <c r="T76" s="83"/>
      <c r="U76" s="109"/>
      <c r="V76" s="83"/>
      <c r="W76" s="109"/>
      <c r="X76" s="83"/>
      <c r="Z76" s="99">
        <f t="shared" si="104"/>
        <v>0</v>
      </c>
      <c r="AC76" s="120" t="s">
        <v>145</v>
      </c>
      <c r="AE76" s="154"/>
      <c r="AG76" s="231"/>
      <c r="AH76" s="108"/>
      <c r="AI76" s="83"/>
      <c r="AJ76" s="109"/>
      <c r="AK76" s="83"/>
      <c r="AL76" s="109"/>
      <c r="AM76" s="83"/>
      <c r="AN76" s="109"/>
      <c r="AO76" s="83"/>
      <c r="AP76" s="109"/>
      <c r="AQ76" s="83"/>
      <c r="AR76" s="109"/>
      <c r="AS76" s="83"/>
      <c r="AT76" s="109"/>
      <c r="AU76" s="83"/>
      <c r="AV76" s="83"/>
      <c r="AW76" s="83"/>
      <c r="AX76" s="83"/>
      <c r="AY76" s="83"/>
      <c r="BA76" s="99">
        <f t="shared" si="117"/>
        <v>0</v>
      </c>
      <c r="BB76" s="82"/>
      <c r="BC76" s="82"/>
      <c r="BD76" s="82"/>
    </row>
    <row r="77" spans="1:56" x14ac:dyDescent="0.2">
      <c r="A77" s="177"/>
      <c r="B77" s="177"/>
      <c r="F77" s="120" t="s">
        <v>97</v>
      </c>
      <c r="G77" s="180"/>
      <c r="H77" s="181"/>
      <c r="I77" s="120"/>
      <c r="J77" s="231"/>
      <c r="K77" s="108"/>
      <c r="L77" s="83"/>
      <c r="M77" s="109"/>
      <c r="N77" s="83"/>
      <c r="O77" s="109"/>
      <c r="P77" s="83"/>
      <c r="Q77" s="109"/>
      <c r="R77" s="83"/>
      <c r="S77" s="109"/>
      <c r="T77" s="83"/>
      <c r="U77" s="109"/>
      <c r="V77" s="83"/>
      <c r="W77" s="109"/>
      <c r="X77" s="83"/>
      <c r="Z77" s="99">
        <f t="shared" si="104"/>
        <v>0</v>
      </c>
      <c r="AC77" s="120" t="s">
        <v>97</v>
      </c>
      <c r="AE77" s="154"/>
      <c r="AG77" s="231"/>
      <c r="AH77" s="108"/>
      <c r="AI77" s="83"/>
      <c r="AJ77" s="109"/>
      <c r="AK77" s="83"/>
      <c r="AL77" s="109"/>
      <c r="AM77" s="83"/>
      <c r="AN77" s="109"/>
      <c r="AO77" s="83"/>
      <c r="AP77" s="109"/>
      <c r="AQ77" s="83"/>
      <c r="AR77" s="109"/>
      <c r="AS77" s="83"/>
      <c r="AT77" s="109"/>
      <c r="AU77" s="83"/>
      <c r="AV77" s="83"/>
      <c r="AW77" s="83"/>
      <c r="AX77" s="83"/>
      <c r="AY77" s="83"/>
      <c r="BA77" s="99">
        <f t="shared" si="117"/>
        <v>0</v>
      </c>
      <c r="BB77" s="82"/>
      <c r="BC77" s="82"/>
      <c r="BD77" s="82"/>
    </row>
    <row r="78" spans="1:56" ht="4.1500000000000004" customHeight="1" x14ac:dyDescent="0.2">
      <c r="A78" s="177"/>
      <c r="B78" s="177"/>
      <c r="F78"/>
      <c r="G78" s="180"/>
      <c r="H78" s="181"/>
      <c r="I78" s="120"/>
      <c r="J78" s="231"/>
      <c r="K78" s="296"/>
      <c r="L78" s="296"/>
      <c r="M78" s="296"/>
      <c r="N78" s="296"/>
      <c r="O78" s="296"/>
      <c r="P78" s="296"/>
      <c r="Q78" s="296"/>
      <c r="R78" s="296"/>
      <c r="S78" s="296"/>
      <c r="T78" s="296"/>
      <c r="U78" s="296"/>
      <c r="V78" s="296"/>
      <c r="W78" s="296"/>
      <c r="X78" s="296"/>
      <c r="Z78" s="99">
        <f t="shared" si="104"/>
        <v>0</v>
      </c>
      <c r="AC78" s="459"/>
      <c r="AG78" s="231"/>
      <c r="AH78" s="296"/>
      <c r="AI78" s="296"/>
      <c r="AJ78" s="296"/>
      <c r="AK78" s="296"/>
      <c r="AL78" s="296"/>
      <c r="AM78" s="296"/>
      <c r="AN78" s="296"/>
      <c r="AO78" s="296"/>
      <c r="AP78" s="296"/>
      <c r="AQ78" s="296"/>
      <c r="AR78" s="296"/>
      <c r="AS78" s="296"/>
      <c r="AT78" s="296"/>
      <c r="AU78" s="296"/>
      <c r="AV78" s="296"/>
      <c r="AW78" s="296"/>
      <c r="AX78" s="296"/>
      <c r="AY78" s="296"/>
      <c r="BA78" s="99">
        <f t="shared" si="117"/>
        <v>0</v>
      </c>
      <c r="BB78" s="82"/>
      <c r="BC78" s="82"/>
      <c r="BD78" s="82"/>
    </row>
    <row r="79" spans="1:56" x14ac:dyDescent="0.2">
      <c r="A79" s="177"/>
      <c r="B79" s="177"/>
      <c r="C79" s="116">
        <f>+Linkin!L67</f>
        <v>69928.580977577905</v>
      </c>
      <c r="D79" s="412">
        <v>601.5</v>
      </c>
      <c r="F79" s="120" t="s">
        <v>593</v>
      </c>
      <c r="G79" s="180"/>
      <c r="H79" s="181">
        <v>11</v>
      </c>
      <c r="I79" s="120"/>
      <c r="J79" s="231">
        <f>+C79</f>
        <v>69928.580977577905</v>
      </c>
      <c r="K79" s="295"/>
      <c r="L79" s="115">
        <f t="shared" ref="L79:L94" si="118">(VLOOKUP($H79,Factors,L$381))*$J79</f>
        <v>55914.893349671293</v>
      </c>
      <c r="M79" s="230"/>
      <c r="N79" s="115">
        <f t="shared" ref="N79:N94" si="119">(VLOOKUP($H79,Factors,N$381))*$J79</f>
        <v>9929.8584988160619</v>
      </c>
      <c r="O79" s="230"/>
      <c r="P79" s="115">
        <f t="shared" ref="P79:P94" si="120">(VLOOKUP($H79,Factors,P$381))*$J79</f>
        <v>482.50720874528753</v>
      </c>
      <c r="Q79" s="230"/>
      <c r="R79" s="115">
        <f t="shared" ref="R79:R94" si="121">(VLOOKUP($H79,Factors,R$381))*$J79</f>
        <v>1937.0216930789079</v>
      </c>
      <c r="S79" s="230"/>
      <c r="T79" s="115">
        <f t="shared" ref="T79:T94" si="122">(VLOOKUP($H79,Factors,T$381))*$J79</f>
        <v>181.81431054170255</v>
      </c>
      <c r="U79" s="230"/>
      <c r="V79" s="115">
        <f t="shared" ref="V79:V94" si="123">(VLOOKUP($H79,Factors,V$381))*$J79</f>
        <v>1097.8787213479729</v>
      </c>
      <c r="W79" s="230"/>
      <c r="X79" s="115">
        <f t="shared" ref="X79:X94" si="124">(VLOOKUP($H79,Factors,X$381))*$J79</f>
        <v>384.60719537667848</v>
      </c>
      <c r="Y79" s="116"/>
      <c r="Z79" s="116">
        <f>SUM(L79:X79)-J79</f>
        <v>0</v>
      </c>
      <c r="AC79" s="120" t="s">
        <v>593</v>
      </c>
      <c r="AE79" s="154">
        <f>+H79</f>
        <v>11</v>
      </c>
      <c r="AG79" s="231">
        <f>+J79</f>
        <v>69928.580977577905</v>
      </c>
      <c r="AH79" s="295"/>
      <c r="AI79" s="115">
        <f t="shared" ref="AI79:AI94" si="125">(VLOOKUP($AE79,func,AI$381))*$AG79</f>
        <v>2216.7360169892195</v>
      </c>
      <c r="AJ79" s="230"/>
      <c r="AK79" s="115">
        <f t="shared" ref="AK79:AK94" si="126">(VLOOKUP($AE79,func,AK$381))*$AG79</f>
        <v>461.52863445201416</v>
      </c>
      <c r="AL79" s="230"/>
      <c r="AM79" s="115">
        <f t="shared" ref="AM79:AM94" si="127">(VLOOKUP($AE79,func,AM$381))*$AG79</f>
        <v>2419.5289018241956</v>
      </c>
      <c r="AN79" s="230"/>
      <c r="AO79" s="115">
        <f t="shared" ref="AO79:AO94" si="128">(VLOOKUP($AE79,func,AO$381))*$AG79</f>
        <v>63348.301507587828</v>
      </c>
      <c r="AP79" s="230"/>
      <c r="AQ79" s="115">
        <f t="shared" ref="AQ79:AQ94" si="129">(VLOOKUP($AE79,func,AQ$381))*$AG79</f>
        <v>0</v>
      </c>
      <c r="AR79" s="230"/>
      <c r="AS79" s="115">
        <f t="shared" ref="AS79:AS94" si="130">(VLOOKUP($AE79,func,AS$381))*$AG79</f>
        <v>0</v>
      </c>
      <c r="AT79" s="230"/>
      <c r="AU79" s="115">
        <f t="shared" ref="AU79:AU94" si="131">(VLOOKUP($AE79,func,AU$381))*$AG79</f>
        <v>0</v>
      </c>
      <c r="AV79" s="69"/>
      <c r="AW79" s="69">
        <f t="shared" ref="AW79:AW94" si="132">(VLOOKUP($AE79,func,AW$381))*$AG79</f>
        <v>1097.8787213479729</v>
      </c>
      <c r="AX79" s="69"/>
      <c r="AY79" s="69">
        <f t="shared" ref="AY79:AY94" si="133">(VLOOKUP($AE79,func,AY$381))*$AG79</f>
        <v>384.60719537667848</v>
      </c>
      <c r="BA79" s="99">
        <f t="shared" si="117"/>
        <v>0</v>
      </c>
      <c r="BB79" s="82"/>
      <c r="BC79" s="82"/>
      <c r="BD79" s="82"/>
    </row>
    <row r="80" spans="1:56" s="417" customFormat="1" x14ac:dyDescent="0.2">
      <c r="A80" s="177"/>
      <c r="B80" s="177"/>
      <c r="C80" s="116">
        <f>+Linkin!L66+Linkin!L88</f>
        <v>481389.21883420955</v>
      </c>
      <c r="D80" s="412">
        <v>601.5</v>
      </c>
      <c r="E80" s="116"/>
      <c r="F80" s="120" t="s">
        <v>705</v>
      </c>
      <c r="G80" s="180"/>
      <c r="H80" s="181">
        <v>11</v>
      </c>
      <c r="I80" s="120"/>
      <c r="J80" s="231">
        <f t="shared" ref="J80:J86" si="134">+C80</f>
        <v>481389.21883420955</v>
      </c>
      <c r="K80" s="295"/>
      <c r="L80" s="115">
        <f t="shared" si="118"/>
        <v>384918.81937983393</v>
      </c>
      <c r="M80" s="230"/>
      <c r="N80" s="115">
        <f t="shared" si="119"/>
        <v>68357.269074457756</v>
      </c>
      <c r="O80" s="230"/>
      <c r="P80" s="115">
        <f t="shared" si="120"/>
        <v>3321.585609956046</v>
      </c>
      <c r="Q80" s="230"/>
      <c r="R80" s="115">
        <f t="shared" si="121"/>
        <v>13334.481361707603</v>
      </c>
      <c r="S80" s="230"/>
      <c r="T80" s="115">
        <f t="shared" si="122"/>
        <v>1251.6119689689447</v>
      </c>
      <c r="U80" s="230"/>
      <c r="V80" s="115">
        <f t="shared" si="123"/>
        <v>7557.8107356970895</v>
      </c>
      <c r="W80" s="230"/>
      <c r="X80" s="115">
        <f t="shared" si="124"/>
        <v>2647.6407035881525</v>
      </c>
      <c r="Y80" s="116"/>
      <c r="Z80" s="116">
        <f t="shared" ref="Z80:Z83" si="135">SUM(L80:X80)-J80</f>
        <v>0</v>
      </c>
      <c r="AC80" s="120" t="s">
        <v>705</v>
      </c>
      <c r="AE80" s="154">
        <f t="shared" ref="AE80:AE94" si="136">+H80</f>
        <v>11</v>
      </c>
      <c r="AG80" s="231">
        <f t="shared" ref="AG80:AG94" si="137">+J80</f>
        <v>481389.21883420955</v>
      </c>
      <c r="AH80" s="295"/>
      <c r="AI80" s="115">
        <f t="shared" si="125"/>
        <v>15260.038237044442</v>
      </c>
      <c r="AJ80" s="230"/>
      <c r="AK80" s="115">
        <f t="shared" si="126"/>
        <v>3177.1688443057828</v>
      </c>
      <c r="AL80" s="230"/>
      <c r="AM80" s="115">
        <f t="shared" si="127"/>
        <v>16656.066971663651</v>
      </c>
      <c r="AN80" s="230"/>
      <c r="AO80" s="115">
        <f t="shared" si="128"/>
        <v>436090.49334191042</v>
      </c>
      <c r="AP80" s="230"/>
      <c r="AQ80" s="115">
        <f t="shared" si="129"/>
        <v>0</v>
      </c>
      <c r="AR80" s="230"/>
      <c r="AS80" s="115">
        <f t="shared" si="130"/>
        <v>0</v>
      </c>
      <c r="AT80" s="230"/>
      <c r="AU80" s="115">
        <f t="shared" si="131"/>
        <v>0</v>
      </c>
      <c r="AV80" s="69"/>
      <c r="AW80" s="69">
        <f t="shared" si="132"/>
        <v>7557.8107356970895</v>
      </c>
      <c r="AX80" s="69"/>
      <c r="AY80" s="69">
        <f t="shared" si="133"/>
        <v>2647.6407035881525</v>
      </c>
      <c r="BA80" s="99">
        <f t="shared" si="117"/>
        <v>0</v>
      </c>
      <c r="BB80" s="82"/>
      <c r="BC80" s="82"/>
      <c r="BD80" s="82"/>
    </row>
    <row r="81" spans="1:56" s="392" customFormat="1" x14ac:dyDescent="0.2">
      <c r="A81" s="177"/>
      <c r="B81" s="177"/>
      <c r="C81" s="116">
        <f>+Linkin!$L$50</f>
        <v>-111564.35844310872</v>
      </c>
      <c r="D81" s="412">
        <v>615.5</v>
      </c>
      <c r="E81" s="116"/>
      <c r="F81" s="120" t="s">
        <v>589</v>
      </c>
      <c r="G81" s="180"/>
      <c r="H81" s="181">
        <v>11</v>
      </c>
      <c r="I81" s="120"/>
      <c r="J81" s="231">
        <f t="shared" si="134"/>
        <v>-111564.35844310872</v>
      </c>
      <c r="K81" s="295"/>
      <c r="L81" s="115">
        <f t="shared" si="118"/>
        <v>-89206.861011109737</v>
      </c>
      <c r="M81" s="230"/>
      <c r="N81" s="115">
        <f t="shared" si="119"/>
        <v>-15842.138898921437</v>
      </c>
      <c r="O81" s="230"/>
      <c r="P81" s="115">
        <f t="shared" si="120"/>
        <v>-769.79407325745012</v>
      </c>
      <c r="Q81" s="230"/>
      <c r="R81" s="115">
        <f t="shared" si="121"/>
        <v>-3090.3327288741116</v>
      </c>
      <c r="S81" s="230"/>
      <c r="T81" s="115">
        <f t="shared" si="122"/>
        <v>-290.06733195208267</v>
      </c>
      <c r="U81" s="230"/>
      <c r="V81" s="115">
        <f t="shared" si="123"/>
        <v>-1751.5604275568069</v>
      </c>
      <c r="W81" s="230"/>
      <c r="X81" s="115">
        <f t="shared" si="124"/>
        <v>-613.60397143709793</v>
      </c>
      <c r="Y81" s="116"/>
      <c r="Z81" s="116">
        <f t="shared" si="135"/>
        <v>0</v>
      </c>
      <c r="AC81" s="120" t="s">
        <v>589</v>
      </c>
      <c r="AE81" s="154">
        <f t="shared" si="136"/>
        <v>11</v>
      </c>
      <c r="AG81" s="231">
        <f t="shared" si="137"/>
        <v>-111564.35844310872</v>
      </c>
      <c r="AH81" s="295"/>
      <c r="AI81" s="115">
        <f t="shared" si="125"/>
        <v>-3536.5901626465466</v>
      </c>
      <c r="AJ81" s="230"/>
      <c r="AK81" s="115">
        <f t="shared" si="126"/>
        <v>-736.32476572451753</v>
      </c>
      <c r="AL81" s="230"/>
      <c r="AM81" s="115">
        <f t="shared" si="127"/>
        <v>-3860.1268021315618</v>
      </c>
      <c r="AN81" s="230"/>
      <c r="AO81" s="115">
        <f t="shared" si="128"/>
        <v>-101066.1523136122</v>
      </c>
      <c r="AP81" s="230"/>
      <c r="AQ81" s="115">
        <f t="shared" si="129"/>
        <v>0</v>
      </c>
      <c r="AR81" s="230"/>
      <c r="AS81" s="115">
        <f t="shared" si="130"/>
        <v>0</v>
      </c>
      <c r="AT81" s="230"/>
      <c r="AU81" s="115">
        <f t="shared" si="131"/>
        <v>0</v>
      </c>
      <c r="AV81" s="69"/>
      <c r="AW81" s="69">
        <f t="shared" si="132"/>
        <v>-1751.5604275568069</v>
      </c>
      <c r="AX81" s="69"/>
      <c r="AY81" s="69">
        <f t="shared" si="133"/>
        <v>-613.60397143709793</v>
      </c>
      <c r="BA81" s="99">
        <f t="shared" si="117"/>
        <v>0</v>
      </c>
      <c r="BB81" s="82"/>
      <c r="BC81" s="82"/>
      <c r="BD81" s="82"/>
    </row>
    <row r="82" spans="1:56" x14ac:dyDescent="0.2">
      <c r="A82" s="177"/>
      <c r="B82" s="177"/>
      <c r="C82" s="116">
        <f>+Linkin!L68+Linkin!L90</f>
        <v>79889.518888154169</v>
      </c>
      <c r="D82" s="412">
        <v>601.5</v>
      </c>
      <c r="F82" s="120" t="s">
        <v>707</v>
      </c>
      <c r="G82" s="180"/>
      <c r="H82" s="181">
        <v>7</v>
      </c>
      <c r="I82" s="120"/>
      <c r="J82" s="231">
        <f t="shared" si="134"/>
        <v>79889.518888154169</v>
      </c>
      <c r="K82" s="295"/>
      <c r="L82" s="115">
        <f t="shared" si="118"/>
        <v>37500.140166099569</v>
      </c>
      <c r="M82" s="230"/>
      <c r="N82" s="115">
        <f t="shared" si="119"/>
        <v>22648.678604791705</v>
      </c>
      <c r="O82" s="230"/>
      <c r="P82" s="115">
        <f t="shared" si="120"/>
        <v>3227.536563081429</v>
      </c>
      <c r="Q82" s="230"/>
      <c r="R82" s="115">
        <f t="shared" si="121"/>
        <v>6183.448761943132</v>
      </c>
      <c r="S82" s="230"/>
      <c r="T82" s="115">
        <f t="shared" si="122"/>
        <v>471.34816144010961</v>
      </c>
      <c r="U82" s="230"/>
      <c r="V82" s="115">
        <f t="shared" si="123"/>
        <v>4553.702576624788</v>
      </c>
      <c r="W82" s="230"/>
      <c r="X82" s="115">
        <f t="shared" si="124"/>
        <v>5304.6640541734369</v>
      </c>
      <c r="Y82" s="116"/>
      <c r="Z82" s="116">
        <f t="shared" si="135"/>
        <v>0</v>
      </c>
      <c r="AC82" s="120" t="s">
        <v>707</v>
      </c>
      <c r="AE82" s="154">
        <f t="shared" si="136"/>
        <v>7</v>
      </c>
      <c r="AG82" s="231">
        <f t="shared" si="137"/>
        <v>79889.518888154169</v>
      </c>
      <c r="AH82" s="295"/>
      <c r="AI82" s="115">
        <f t="shared" si="125"/>
        <v>30453.884600164369</v>
      </c>
      <c r="AJ82" s="230"/>
      <c r="AK82" s="115">
        <f t="shared" si="126"/>
        <v>6359.2057034970721</v>
      </c>
      <c r="AL82" s="230"/>
      <c r="AM82" s="115">
        <f t="shared" si="127"/>
        <v>33218.061953694501</v>
      </c>
      <c r="AN82" s="230"/>
      <c r="AO82" s="115">
        <f t="shared" si="128"/>
        <v>0</v>
      </c>
      <c r="AP82" s="230"/>
      <c r="AQ82" s="115">
        <f t="shared" si="129"/>
        <v>0</v>
      </c>
      <c r="AR82" s="230"/>
      <c r="AS82" s="115">
        <f t="shared" si="130"/>
        <v>0</v>
      </c>
      <c r="AT82" s="230"/>
      <c r="AU82" s="115">
        <f t="shared" si="131"/>
        <v>0</v>
      </c>
      <c r="AV82" s="69"/>
      <c r="AW82" s="69">
        <f t="shared" si="132"/>
        <v>4553.702576624788</v>
      </c>
      <c r="AX82" s="69"/>
      <c r="AY82" s="69">
        <f t="shared" si="133"/>
        <v>5304.6640541734369</v>
      </c>
      <c r="BA82" s="99">
        <f t="shared" si="117"/>
        <v>0</v>
      </c>
      <c r="BB82" s="82"/>
      <c r="BC82" s="82"/>
      <c r="BD82" s="82"/>
    </row>
    <row r="83" spans="1:56" x14ac:dyDescent="0.2">
      <c r="A83" s="177"/>
      <c r="B83" s="177"/>
      <c r="C83" s="116">
        <f>+Linkin!L69+Linkin!L91</f>
        <v>880394.51584572799</v>
      </c>
      <c r="D83" s="412">
        <v>601.5</v>
      </c>
      <c r="F83" s="120" t="s">
        <v>708</v>
      </c>
      <c r="G83" s="180"/>
      <c r="H83" s="181">
        <v>9</v>
      </c>
      <c r="I83" s="120"/>
      <c r="J83" s="231">
        <f t="shared" si="134"/>
        <v>880394.51584572799</v>
      </c>
      <c r="K83" s="295"/>
      <c r="L83" s="115">
        <f t="shared" si="118"/>
        <v>730287.25089403137</v>
      </c>
      <c r="M83" s="230"/>
      <c r="N83" s="115">
        <f t="shared" si="119"/>
        <v>113746.97144726806</v>
      </c>
      <c r="O83" s="230"/>
      <c r="P83" s="115">
        <f t="shared" si="120"/>
        <v>3433.5386117983389</v>
      </c>
      <c r="Q83" s="230"/>
      <c r="R83" s="115">
        <f t="shared" si="121"/>
        <v>20425.152767620886</v>
      </c>
      <c r="S83" s="230"/>
      <c r="T83" s="115">
        <f t="shared" si="122"/>
        <v>2024.9073864451743</v>
      </c>
      <c r="U83" s="230"/>
      <c r="V83" s="115">
        <f t="shared" si="123"/>
        <v>10476.694738564163</v>
      </c>
      <c r="W83" s="230"/>
      <c r="X83" s="115">
        <f t="shared" si="124"/>
        <v>0</v>
      </c>
      <c r="Y83" s="116"/>
      <c r="Z83" s="116">
        <f t="shared" si="135"/>
        <v>0</v>
      </c>
      <c r="AC83" s="120" t="s">
        <v>708</v>
      </c>
      <c r="AE83" s="154">
        <f t="shared" si="136"/>
        <v>9</v>
      </c>
      <c r="AG83" s="231">
        <f t="shared" si="137"/>
        <v>880394.51584572799</v>
      </c>
      <c r="AH83" s="295"/>
      <c r="AI83" s="115">
        <f t="shared" si="125"/>
        <v>0</v>
      </c>
      <c r="AJ83" s="230"/>
      <c r="AK83" s="115">
        <f t="shared" si="126"/>
        <v>0</v>
      </c>
      <c r="AL83" s="230"/>
      <c r="AM83" s="115">
        <f t="shared" si="127"/>
        <v>0</v>
      </c>
      <c r="AN83" s="230"/>
      <c r="AO83" s="115">
        <f t="shared" si="128"/>
        <v>869917.82110716379</v>
      </c>
      <c r="AP83" s="230"/>
      <c r="AQ83" s="115">
        <f t="shared" si="129"/>
        <v>0</v>
      </c>
      <c r="AR83" s="230"/>
      <c r="AS83" s="115">
        <f t="shared" si="130"/>
        <v>0</v>
      </c>
      <c r="AT83" s="230"/>
      <c r="AU83" s="115">
        <f t="shared" si="131"/>
        <v>0</v>
      </c>
      <c r="AV83" s="69"/>
      <c r="AW83" s="69">
        <f t="shared" si="132"/>
        <v>10476.694738564163</v>
      </c>
      <c r="AX83" s="69"/>
      <c r="AY83" s="69">
        <f t="shared" si="133"/>
        <v>0</v>
      </c>
      <c r="BA83" s="99">
        <f t="shared" si="117"/>
        <v>0</v>
      </c>
      <c r="BB83" s="82"/>
      <c r="BC83" s="82"/>
      <c r="BD83" s="82"/>
    </row>
    <row r="84" spans="1:56" x14ac:dyDescent="0.2">
      <c r="A84" s="177"/>
      <c r="B84" s="177"/>
      <c r="D84" s="412">
        <v>601.5</v>
      </c>
      <c r="F84" s="120" t="s">
        <v>709</v>
      </c>
      <c r="G84" s="180"/>
      <c r="H84" s="181">
        <v>10</v>
      </c>
      <c r="I84" s="120"/>
      <c r="J84" s="231">
        <f t="shared" si="134"/>
        <v>0</v>
      </c>
      <c r="K84" s="295"/>
      <c r="L84" s="115">
        <f t="shared" si="118"/>
        <v>0</v>
      </c>
      <c r="M84" s="230"/>
      <c r="N84" s="115">
        <f t="shared" si="119"/>
        <v>0</v>
      </c>
      <c r="O84" s="230"/>
      <c r="P84" s="115">
        <f t="shared" si="120"/>
        <v>0</v>
      </c>
      <c r="Q84" s="230"/>
      <c r="R84" s="115">
        <f t="shared" si="121"/>
        <v>0</v>
      </c>
      <c r="S84" s="230"/>
      <c r="T84" s="115">
        <f t="shared" si="122"/>
        <v>0</v>
      </c>
      <c r="U84" s="230"/>
      <c r="V84" s="115">
        <f t="shared" si="123"/>
        <v>0</v>
      </c>
      <c r="W84" s="230"/>
      <c r="X84" s="115">
        <f t="shared" si="124"/>
        <v>0</v>
      </c>
      <c r="Y84" s="116"/>
      <c r="Z84" s="116">
        <f t="shared" ref="Z84:Z93" si="138">SUM(L84:X84)-J84</f>
        <v>0</v>
      </c>
      <c r="AC84" s="120" t="s">
        <v>709</v>
      </c>
      <c r="AE84" s="154">
        <f t="shared" si="136"/>
        <v>10</v>
      </c>
      <c r="AG84" s="231">
        <f t="shared" si="137"/>
        <v>0</v>
      </c>
      <c r="AH84" s="295"/>
      <c r="AI84" s="115">
        <f t="shared" si="125"/>
        <v>0</v>
      </c>
      <c r="AJ84" s="230"/>
      <c r="AK84" s="115">
        <f t="shared" si="126"/>
        <v>0</v>
      </c>
      <c r="AL84" s="230"/>
      <c r="AM84" s="115">
        <f t="shared" si="127"/>
        <v>0</v>
      </c>
      <c r="AN84" s="230"/>
      <c r="AO84" s="115">
        <f t="shared" si="128"/>
        <v>0</v>
      </c>
      <c r="AP84" s="230"/>
      <c r="AQ84" s="115">
        <f t="shared" si="129"/>
        <v>0</v>
      </c>
      <c r="AR84" s="230"/>
      <c r="AS84" s="115">
        <f t="shared" si="130"/>
        <v>0</v>
      </c>
      <c r="AT84" s="230"/>
      <c r="AU84" s="115">
        <f t="shared" si="131"/>
        <v>0</v>
      </c>
      <c r="AV84" s="69"/>
      <c r="AW84" s="69">
        <f t="shared" si="132"/>
        <v>0</v>
      </c>
      <c r="AX84" s="69"/>
      <c r="AY84" s="69">
        <f t="shared" si="133"/>
        <v>0</v>
      </c>
      <c r="BA84" s="99">
        <f t="shared" si="117"/>
        <v>0</v>
      </c>
      <c r="BB84" s="82"/>
      <c r="BC84" s="82"/>
      <c r="BD84" s="82"/>
    </row>
    <row r="85" spans="1:56" x14ac:dyDescent="0.2">
      <c r="A85" s="177"/>
      <c r="B85" s="177"/>
      <c r="C85" s="116">
        <f>+Linkin!L267+Linkin!L198+Linkin!L186</f>
        <v>29466.845546506484</v>
      </c>
      <c r="D85" s="412">
        <v>620.5</v>
      </c>
      <c r="F85" s="120" t="s">
        <v>653</v>
      </c>
      <c r="G85" s="180"/>
      <c r="H85" s="181">
        <v>11</v>
      </c>
      <c r="I85" s="120"/>
      <c r="J85" s="231">
        <f t="shared" si="134"/>
        <v>29466.845546506484</v>
      </c>
      <c r="K85" s="295"/>
      <c r="L85" s="115">
        <f t="shared" si="118"/>
        <v>23561.689698986582</v>
      </c>
      <c r="M85" s="230"/>
      <c r="N85" s="115">
        <f t="shared" si="119"/>
        <v>4184.2920676039203</v>
      </c>
      <c r="O85" s="230"/>
      <c r="P85" s="115">
        <f t="shared" si="120"/>
        <v>203.32123427089473</v>
      </c>
      <c r="Q85" s="230"/>
      <c r="R85" s="115">
        <f t="shared" si="121"/>
        <v>816.23162163822951</v>
      </c>
      <c r="S85" s="230"/>
      <c r="T85" s="115">
        <f t="shared" si="122"/>
        <v>76.613798420916851</v>
      </c>
      <c r="U85" s="230"/>
      <c r="V85" s="115">
        <f t="shared" si="123"/>
        <v>462.62947508015174</v>
      </c>
      <c r="W85" s="230"/>
      <c r="X85" s="115">
        <f t="shared" si="124"/>
        <v>162.06765050578565</v>
      </c>
      <c r="Y85" s="116"/>
      <c r="Z85" s="116">
        <f t="shared" si="138"/>
        <v>0</v>
      </c>
      <c r="AC85" s="120" t="s">
        <v>653</v>
      </c>
      <c r="AE85" s="154">
        <f t="shared" si="136"/>
        <v>11</v>
      </c>
      <c r="AG85" s="231">
        <f t="shared" si="137"/>
        <v>29466.845546506484</v>
      </c>
      <c r="AH85" s="295"/>
      <c r="AI85" s="115">
        <f t="shared" si="125"/>
        <v>934.09900382425553</v>
      </c>
      <c r="AJ85" s="230"/>
      <c r="AK85" s="115">
        <f t="shared" si="126"/>
        <v>194.48118060694279</v>
      </c>
      <c r="AL85" s="230"/>
      <c r="AM85" s="115">
        <f t="shared" si="127"/>
        <v>1019.5528559091243</v>
      </c>
      <c r="AN85" s="230"/>
      <c r="AO85" s="115">
        <f t="shared" si="128"/>
        <v>26694.015380580226</v>
      </c>
      <c r="AP85" s="230"/>
      <c r="AQ85" s="115">
        <f t="shared" si="129"/>
        <v>0</v>
      </c>
      <c r="AR85" s="230"/>
      <c r="AS85" s="115">
        <f t="shared" si="130"/>
        <v>0</v>
      </c>
      <c r="AT85" s="230"/>
      <c r="AU85" s="115">
        <f t="shared" si="131"/>
        <v>0</v>
      </c>
      <c r="AV85" s="69"/>
      <c r="AW85" s="69">
        <f t="shared" si="132"/>
        <v>462.62947508015174</v>
      </c>
      <c r="AX85" s="69"/>
      <c r="AY85" s="69">
        <f t="shared" si="133"/>
        <v>162.06765050578565</v>
      </c>
      <c r="BA85" s="99">
        <f t="shared" si="117"/>
        <v>0</v>
      </c>
      <c r="BB85" s="82"/>
      <c r="BC85" s="82"/>
      <c r="BD85" s="82"/>
    </row>
    <row r="86" spans="1:56" s="392" customFormat="1" x14ac:dyDescent="0.2">
      <c r="A86" s="177"/>
      <c r="B86" s="177"/>
      <c r="C86" s="116">
        <f>+Linkin!L166</f>
        <v>93439.249420238077</v>
      </c>
      <c r="D86" s="412">
        <v>636.5</v>
      </c>
      <c r="E86" s="116"/>
      <c r="F86" s="120" t="s">
        <v>650</v>
      </c>
      <c r="G86" s="180"/>
      <c r="H86" s="181">
        <v>11</v>
      </c>
      <c r="I86" s="120"/>
      <c r="J86" s="231">
        <f t="shared" si="134"/>
        <v>93439.249420238077</v>
      </c>
      <c r="K86" s="295"/>
      <c r="L86" s="115">
        <f t="shared" si="118"/>
        <v>74714.023836422362</v>
      </c>
      <c r="M86" s="230"/>
      <c r="N86" s="115">
        <f t="shared" si="119"/>
        <v>13268.373417673805</v>
      </c>
      <c r="O86" s="230"/>
      <c r="P86" s="115">
        <f t="shared" si="120"/>
        <v>644.73082099964267</v>
      </c>
      <c r="Q86" s="230"/>
      <c r="R86" s="115">
        <f t="shared" si="121"/>
        <v>2588.2672089405946</v>
      </c>
      <c r="S86" s="230"/>
      <c r="T86" s="115">
        <f t="shared" si="122"/>
        <v>242.94204849261899</v>
      </c>
      <c r="U86" s="230"/>
      <c r="V86" s="115">
        <f t="shared" si="123"/>
        <v>1466.9962158977378</v>
      </c>
      <c r="W86" s="230"/>
      <c r="X86" s="115">
        <f t="shared" si="124"/>
        <v>513.91587181130944</v>
      </c>
      <c r="Y86" s="116"/>
      <c r="Z86" s="116">
        <f t="shared" si="138"/>
        <v>0</v>
      </c>
      <c r="AC86" s="120" t="s">
        <v>650</v>
      </c>
      <c r="AE86" s="154">
        <f t="shared" si="136"/>
        <v>11</v>
      </c>
      <c r="AG86" s="231">
        <f t="shared" si="137"/>
        <v>93439.249420238077</v>
      </c>
      <c r="AH86" s="295"/>
      <c r="AI86" s="115">
        <f t="shared" si="125"/>
        <v>2962.0242066215469</v>
      </c>
      <c r="AJ86" s="230"/>
      <c r="AK86" s="115">
        <f t="shared" si="126"/>
        <v>616.69904617357133</v>
      </c>
      <c r="AL86" s="230"/>
      <c r="AM86" s="115">
        <f t="shared" si="127"/>
        <v>3232.9980299402373</v>
      </c>
      <c r="AN86" s="230"/>
      <c r="AO86" s="115">
        <f t="shared" si="128"/>
        <v>84646.61604979368</v>
      </c>
      <c r="AP86" s="230"/>
      <c r="AQ86" s="115">
        <f t="shared" si="129"/>
        <v>0</v>
      </c>
      <c r="AR86" s="230"/>
      <c r="AS86" s="115">
        <f t="shared" si="130"/>
        <v>0</v>
      </c>
      <c r="AT86" s="230"/>
      <c r="AU86" s="115">
        <f t="shared" si="131"/>
        <v>0</v>
      </c>
      <c r="AV86" s="69"/>
      <c r="AW86" s="69">
        <f t="shared" si="132"/>
        <v>1466.9962158977378</v>
      </c>
      <c r="AX86" s="69"/>
      <c r="AY86" s="69">
        <f t="shared" si="133"/>
        <v>513.91587181130944</v>
      </c>
      <c r="BA86" s="99">
        <f t="shared" si="117"/>
        <v>0</v>
      </c>
      <c r="BB86" s="82"/>
      <c r="BC86" s="82"/>
      <c r="BD86" s="82"/>
    </row>
    <row r="87" spans="1:56" s="392" customFormat="1" x14ac:dyDescent="0.2">
      <c r="A87" s="299"/>
      <c r="B87" s="299"/>
      <c r="C87" s="116">
        <f>+Linkin!L315+Linkin!L319</f>
        <v>124.04761064289809</v>
      </c>
      <c r="D87" s="412">
        <v>650.5</v>
      </c>
      <c r="E87" s="116"/>
      <c r="F87" s="120" t="s">
        <v>662</v>
      </c>
      <c r="G87" s="180"/>
      <c r="H87" s="181">
        <v>11</v>
      </c>
      <c r="I87" s="120"/>
      <c r="J87" s="231">
        <f t="shared" ref="J87:J94" si="139">+C87</f>
        <v>124.04761064289809</v>
      </c>
      <c r="K87" s="108"/>
      <c r="L87" s="115">
        <f t="shared" si="118"/>
        <v>99.188469470061307</v>
      </c>
      <c r="M87" s="230"/>
      <c r="N87" s="115">
        <f t="shared" si="119"/>
        <v>17.614760711291527</v>
      </c>
      <c r="O87" s="230"/>
      <c r="P87" s="115">
        <f t="shared" si="120"/>
        <v>0.85592851343599685</v>
      </c>
      <c r="Q87" s="230"/>
      <c r="R87" s="115">
        <f t="shared" si="121"/>
        <v>3.4361188148082769</v>
      </c>
      <c r="S87" s="230"/>
      <c r="T87" s="115">
        <f t="shared" si="122"/>
        <v>0.322523787671535</v>
      </c>
      <c r="U87" s="230"/>
      <c r="V87" s="115">
        <f t="shared" si="123"/>
        <v>1.9475474870934999</v>
      </c>
      <c r="W87" s="230"/>
      <c r="X87" s="115">
        <f t="shared" si="124"/>
        <v>0.68226185853593946</v>
      </c>
      <c r="Y87" s="116"/>
      <c r="Z87" s="116">
        <f t="shared" si="138"/>
        <v>0</v>
      </c>
      <c r="AC87" s="120" t="s">
        <v>662</v>
      </c>
      <c r="AE87" s="154">
        <f t="shared" si="136"/>
        <v>11</v>
      </c>
      <c r="AG87" s="231">
        <f t="shared" si="137"/>
        <v>124.04761064289809</v>
      </c>
      <c r="AH87" s="108"/>
      <c r="AI87" s="115">
        <f t="shared" si="125"/>
        <v>3.9323092573798695</v>
      </c>
      <c r="AJ87" s="230"/>
      <c r="AK87" s="115">
        <f t="shared" si="126"/>
        <v>0.81871423024312739</v>
      </c>
      <c r="AL87" s="230"/>
      <c r="AM87" s="115">
        <f t="shared" si="127"/>
        <v>4.2920473282442737</v>
      </c>
      <c r="AN87" s="230"/>
      <c r="AO87" s="115">
        <f t="shared" si="128"/>
        <v>112.37473048140139</v>
      </c>
      <c r="AP87" s="230"/>
      <c r="AQ87" s="115">
        <f t="shared" si="129"/>
        <v>0</v>
      </c>
      <c r="AR87" s="230"/>
      <c r="AS87" s="115">
        <f t="shared" si="130"/>
        <v>0</v>
      </c>
      <c r="AT87" s="230"/>
      <c r="AU87" s="115">
        <f t="shared" si="131"/>
        <v>0</v>
      </c>
      <c r="AV87" s="69"/>
      <c r="AW87" s="69">
        <f t="shared" si="132"/>
        <v>1.9475474870934999</v>
      </c>
      <c r="AX87" s="69"/>
      <c r="AY87" s="69">
        <f t="shared" si="133"/>
        <v>0.68226185853593946</v>
      </c>
      <c r="BA87" s="99">
        <f t="shared" si="117"/>
        <v>0</v>
      </c>
      <c r="BB87" s="82"/>
      <c r="BC87" s="82"/>
      <c r="BD87" s="82"/>
    </row>
    <row r="88" spans="1:56" s="392" customFormat="1" x14ac:dyDescent="0.2">
      <c r="A88" s="299"/>
      <c r="B88" s="299"/>
      <c r="C88" s="116">
        <f>+Linkin!L228+Linkin!L246+Linkin!L240</f>
        <v>16348.159230975012</v>
      </c>
      <c r="D88" s="412">
        <v>675.5</v>
      </c>
      <c r="E88" s="116"/>
      <c r="F88" s="120" t="s">
        <v>674</v>
      </c>
      <c r="G88" s="180"/>
      <c r="H88" s="181">
        <v>11</v>
      </c>
      <c r="I88" s="120"/>
      <c r="J88" s="231">
        <f t="shared" si="139"/>
        <v>16348.159230975012</v>
      </c>
      <c r="K88" s="108"/>
      <c r="L88" s="115">
        <f t="shared" si="118"/>
        <v>13071.988121087619</v>
      </c>
      <c r="M88" s="230"/>
      <c r="N88" s="115">
        <f t="shared" si="119"/>
        <v>2321.4386107984515</v>
      </c>
      <c r="O88" s="230"/>
      <c r="P88" s="115">
        <f t="shared" si="120"/>
        <v>112.80229869372758</v>
      </c>
      <c r="Q88" s="230"/>
      <c r="R88" s="115">
        <f t="shared" si="121"/>
        <v>452.84401069800782</v>
      </c>
      <c r="S88" s="230"/>
      <c r="T88" s="115">
        <f t="shared" si="122"/>
        <v>42.505214000535027</v>
      </c>
      <c r="U88" s="230"/>
      <c r="V88" s="115">
        <f t="shared" si="123"/>
        <v>256.66609992630765</v>
      </c>
      <c r="W88" s="230"/>
      <c r="X88" s="115">
        <f t="shared" si="124"/>
        <v>89.914875770362556</v>
      </c>
      <c r="Y88" s="116"/>
      <c r="Z88" s="116">
        <f t="shared" si="138"/>
        <v>0</v>
      </c>
      <c r="AC88" s="120" t="s">
        <v>674</v>
      </c>
      <c r="AE88" s="154">
        <f t="shared" si="136"/>
        <v>11</v>
      </c>
      <c r="AG88" s="231">
        <f t="shared" si="137"/>
        <v>16348.159230975012</v>
      </c>
      <c r="AH88" s="108"/>
      <c r="AI88" s="115">
        <f t="shared" si="125"/>
        <v>518.23664762190788</v>
      </c>
      <c r="AJ88" s="230"/>
      <c r="AK88" s="115">
        <f t="shared" si="126"/>
        <v>107.89785092443508</v>
      </c>
      <c r="AL88" s="230"/>
      <c r="AM88" s="115">
        <f t="shared" si="127"/>
        <v>565.64630939173537</v>
      </c>
      <c r="AN88" s="230"/>
      <c r="AO88" s="115">
        <f t="shared" si="128"/>
        <v>14809.797447340265</v>
      </c>
      <c r="AP88" s="230"/>
      <c r="AQ88" s="115">
        <f t="shared" si="129"/>
        <v>0</v>
      </c>
      <c r="AR88" s="230"/>
      <c r="AS88" s="115">
        <f t="shared" si="130"/>
        <v>0</v>
      </c>
      <c r="AT88" s="230"/>
      <c r="AU88" s="115">
        <f t="shared" si="131"/>
        <v>0</v>
      </c>
      <c r="AV88" s="69"/>
      <c r="AW88" s="69">
        <f t="shared" si="132"/>
        <v>256.66609992630765</v>
      </c>
      <c r="AX88" s="69"/>
      <c r="AY88" s="69">
        <f t="shared" si="133"/>
        <v>89.914875770362556</v>
      </c>
      <c r="BA88" s="99">
        <f t="shared" si="117"/>
        <v>0</v>
      </c>
      <c r="BB88" s="82"/>
      <c r="BC88" s="82"/>
      <c r="BD88" s="82"/>
    </row>
    <row r="89" spans="1:56" x14ac:dyDescent="0.2">
      <c r="A89" s="299"/>
      <c r="B89" s="299"/>
      <c r="C89" s="116">
        <f>+Linkin!L272+Linkin!L131</f>
        <v>25108.546627563992</v>
      </c>
      <c r="D89" s="412">
        <v>675.5</v>
      </c>
      <c r="F89" s="120" t="s">
        <v>657</v>
      </c>
      <c r="G89" s="180"/>
      <c r="H89" s="181">
        <v>11</v>
      </c>
      <c r="I89" s="120"/>
      <c r="J89" s="231">
        <f t="shared" si="139"/>
        <v>25108.546627563992</v>
      </c>
      <c r="K89" s="108"/>
      <c r="L89" s="115">
        <f t="shared" si="118"/>
        <v>20076.793883400169</v>
      </c>
      <c r="M89" s="230"/>
      <c r="N89" s="115">
        <f t="shared" si="119"/>
        <v>3565.4136211140867</v>
      </c>
      <c r="O89" s="230"/>
      <c r="P89" s="115">
        <f t="shared" si="120"/>
        <v>173.24897173019153</v>
      </c>
      <c r="Q89" s="230"/>
      <c r="R89" s="115">
        <f t="shared" si="121"/>
        <v>695.50674158352251</v>
      </c>
      <c r="S89" s="230"/>
      <c r="T89" s="115">
        <f t="shared" si="122"/>
        <v>65.282221231666369</v>
      </c>
      <c r="U89" s="230"/>
      <c r="V89" s="115">
        <f t="shared" si="123"/>
        <v>394.20418205275462</v>
      </c>
      <c r="W89" s="230"/>
      <c r="X89" s="115">
        <f t="shared" si="124"/>
        <v>138.09700645160194</v>
      </c>
      <c r="Y89" s="116"/>
      <c r="Z89" s="116">
        <f t="shared" si="138"/>
        <v>0</v>
      </c>
      <c r="AC89" s="120" t="s">
        <v>657</v>
      </c>
      <c r="AE89" s="154">
        <f t="shared" si="136"/>
        <v>11</v>
      </c>
      <c r="AG89" s="231">
        <f t="shared" si="137"/>
        <v>25108.546627563992</v>
      </c>
      <c r="AH89" s="108"/>
      <c r="AI89" s="115">
        <f t="shared" si="125"/>
        <v>795.94092809377855</v>
      </c>
      <c r="AJ89" s="230"/>
      <c r="AK89" s="115">
        <f t="shared" si="126"/>
        <v>165.71640774192235</v>
      </c>
      <c r="AL89" s="230"/>
      <c r="AM89" s="115">
        <f t="shared" si="127"/>
        <v>868.75571331371407</v>
      </c>
      <c r="AN89" s="230"/>
      <c r="AO89" s="115">
        <f t="shared" si="128"/>
        <v>22745.832389910222</v>
      </c>
      <c r="AP89" s="230"/>
      <c r="AQ89" s="115">
        <f t="shared" si="129"/>
        <v>0</v>
      </c>
      <c r="AR89" s="230"/>
      <c r="AS89" s="115">
        <f t="shared" si="130"/>
        <v>0</v>
      </c>
      <c r="AT89" s="230"/>
      <c r="AU89" s="115">
        <f t="shared" si="131"/>
        <v>0</v>
      </c>
      <c r="AV89" s="69"/>
      <c r="AW89" s="69">
        <f t="shared" si="132"/>
        <v>394.20418205275462</v>
      </c>
      <c r="AX89" s="69"/>
      <c r="AY89" s="69">
        <f t="shared" si="133"/>
        <v>138.09700645160194</v>
      </c>
      <c r="BA89" s="99">
        <f t="shared" si="117"/>
        <v>0</v>
      </c>
      <c r="BB89" s="82"/>
      <c r="BC89" s="82"/>
      <c r="BD89" s="82"/>
    </row>
    <row r="90" spans="1:56" s="399" customFormat="1" x14ac:dyDescent="0.2">
      <c r="A90" s="299"/>
      <c r="B90" s="299"/>
      <c r="C90" s="116">
        <f>+Linkin!L181</f>
        <v>36906.247608201447</v>
      </c>
      <c r="D90" s="412">
        <v>675.5</v>
      </c>
      <c r="E90" s="116"/>
      <c r="F90" s="120" t="s">
        <v>682</v>
      </c>
      <c r="G90" s="180"/>
      <c r="H90" s="181">
        <v>11</v>
      </c>
      <c r="I90" s="120"/>
      <c r="J90" s="231">
        <f t="shared" si="139"/>
        <v>36906.247608201447</v>
      </c>
      <c r="K90" s="108"/>
      <c r="L90" s="115">
        <f t="shared" si="118"/>
        <v>29510.235587517876</v>
      </c>
      <c r="M90" s="230"/>
      <c r="N90" s="115">
        <f t="shared" si="119"/>
        <v>5240.687160364605</v>
      </c>
      <c r="O90" s="230"/>
      <c r="P90" s="115">
        <f t="shared" si="120"/>
        <v>254.65310849658999</v>
      </c>
      <c r="Q90" s="230"/>
      <c r="R90" s="115">
        <f t="shared" si="121"/>
        <v>1022.3030587471801</v>
      </c>
      <c r="S90" s="230"/>
      <c r="T90" s="115">
        <f t="shared" si="122"/>
        <v>95.956243781323764</v>
      </c>
      <c r="U90" s="230"/>
      <c r="V90" s="115">
        <f t="shared" si="123"/>
        <v>579.42808744876265</v>
      </c>
      <c r="W90" s="230"/>
      <c r="X90" s="115">
        <f t="shared" si="124"/>
        <v>202.98436184510794</v>
      </c>
      <c r="Y90" s="116"/>
      <c r="Z90" s="116">
        <f t="shared" si="138"/>
        <v>0</v>
      </c>
      <c r="AC90" s="120" t="s">
        <v>682</v>
      </c>
      <c r="AE90" s="154">
        <f t="shared" si="136"/>
        <v>11</v>
      </c>
      <c r="AG90" s="231">
        <f t="shared" si="137"/>
        <v>36906.247608201447</v>
      </c>
      <c r="AH90" s="108"/>
      <c r="AI90" s="115">
        <f t="shared" si="125"/>
        <v>1169.9280491799859</v>
      </c>
      <c r="AJ90" s="230"/>
      <c r="AK90" s="115">
        <f t="shared" si="126"/>
        <v>243.58123421412955</v>
      </c>
      <c r="AL90" s="230"/>
      <c r="AM90" s="115">
        <f t="shared" si="127"/>
        <v>1276.9561672437701</v>
      </c>
      <c r="AN90" s="230"/>
      <c r="AO90" s="115">
        <f t="shared" si="128"/>
        <v>33433.369708269689</v>
      </c>
      <c r="AP90" s="230"/>
      <c r="AQ90" s="115">
        <f t="shared" si="129"/>
        <v>0</v>
      </c>
      <c r="AR90" s="230"/>
      <c r="AS90" s="115">
        <f t="shared" si="130"/>
        <v>0</v>
      </c>
      <c r="AT90" s="230"/>
      <c r="AU90" s="115">
        <f t="shared" si="131"/>
        <v>0</v>
      </c>
      <c r="AV90" s="69"/>
      <c r="AW90" s="69">
        <f t="shared" si="132"/>
        <v>579.42808744876265</v>
      </c>
      <c r="AX90" s="69"/>
      <c r="AY90" s="69">
        <f t="shared" si="133"/>
        <v>202.98436184510794</v>
      </c>
      <c r="BA90" s="99">
        <f t="shared" si="117"/>
        <v>0</v>
      </c>
      <c r="BB90" s="82"/>
      <c r="BC90" s="82"/>
      <c r="BD90" s="82"/>
    </row>
    <row r="91" spans="1:56" s="399" customFormat="1" x14ac:dyDescent="0.2">
      <c r="A91" s="299"/>
      <c r="B91" s="299"/>
      <c r="C91" s="116">
        <f>+Linkin!L190</f>
        <v>-5075.1592866115789</v>
      </c>
      <c r="D91" s="412">
        <v>675.5</v>
      </c>
      <c r="E91" s="116"/>
      <c r="F91" s="120" t="s">
        <v>684</v>
      </c>
      <c r="G91" s="180"/>
      <c r="H91" s="181">
        <v>11</v>
      </c>
      <c r="I91" s="120"/>
      <c r="J91" s="231">
        <f t="shared" si="139"/>
        <v>-5075.1592866115789</v>
      </c>
      <c r="K91" s="108"/>
      <c r="L91" s="115">
        <f t="shared" si="118"/>
        <v>-4058.0973655746184</v>
      </c>
      <c r="M91" s="230"/>
      <c r="N91" s="115">
        <f t="shared" si="119"/>
        <v>-720.67261869884419</v>
      </c>
      <c r="O91" s="230"/>
      <c r="P91" s="115">
        <f t="shared" si="120"/>
        <v>-35.018599077619896</v>
      </c>
      <c r="Q91" s="230"/>
      <c r="R91" s="115">
        <f t="shared" si="121"/>
        <v>-140.58191223914073</v>
      </c>
      <c r="S91" s="230"/>
      <c r="T91" s="115">
        <f t="shared" si="122"/>
        <v>-13.195414145190105</v>
      </c>
      <c r="U91" s="230"/>
      <c r="V91" s="115">
        <f t="shared" si="123"/>
        <v>-79.680000799801775</v>
      </c>
      <c r="W91" s="230"/>
      <c r="X91" s="115">
        <f t="shared" si="124"/>
        <v>-27.913376076363683</v>
      </c>
      <c r="Y91" s="116"/>
      <c r="Z91" s="116">
        <f t="shared" si="138"/>
        <v>0</v>
      </c>
      <c r="AC91" s="120" t="s">
        <v>684</v>
      </c>
      <c r="AE91" s="154">
        <f t="shared" si="136"/>
        <v>11</v>
      </c>
      <c r="AG91" s="231">
        <f t="shared" si="137"/>
        <v>-5075.1592866115789</v>
      </c>
      <c r="AH91" s="108"/>
      <c r="AI91" s="115">
        <f t="shared" si="125"/>
        <v>-160.88254938558705</v>
      </c>
      <c r="AJ91" s="230"/>
      <c r="AK91" s="115">
        <f t="shared" si="126"/>
        <v>-33.496051291636419</v>
      </c>
      <c r="AL91" s="230"/>
      <c r="AM91" s="115">
        <f t="shared" si="127"/>
        <v>-175.60051131676062</v>
      </c>
      <c r="AN91" s="230"/>
      <c r="AO91" s="115">
        <f t="shared" si="128"/>
        <v>-4597.5867977414291</v>
      </c>
      <c r="AP91" s="230"/>
      <c r="AQ91" s="115">
        <f t="shared" si="129"/>
        <v>0</v>
      </c>
      <c r="AR91" s="230"/>
      <c r="AS91" s="115">
        <f t="shared" si="130"/>
        <v>0</v>
      </c>
      <c r="AT91" s="230"/>
      <c r="AU91" s="115">
        <f t="shared" si="131"/>
        <v>0</v>
      </c>
      <c r="AV91" s="69"/>
      <c r="AW91" s="69">
        <f t="shared" si="132"/>
        <v>-79.680000799801775</v>
      </c>
      <c r="AX91" s="69"/>
      <c r="AY91" s="69">
        <f t="shared" si="133"/>
        <v>-27.913376076363683</v>
      </c>
      <c r="BA91" s="99">
        <f t="shared" si="117"/>
        <v>0</v>
      </c>
      <c r="BB91" s="82"/>
      <c r="BC91" s="82"/>
      <c r="BD91" s="82"/>
    </row>
    <row r="92" spans="1:56" s="399" customFormat="1" x14ac:dyDescent="0.2">
      <c r="A92" s="299"/>
      <c r="B92" s="299"/>
      <c r="C92" s="116">
        <f>+Linkin!L203+Linkin!L194</f>
        <v>13296.399457525742</v>
      </c>
      <c r="D92" s="412">
        <v>675.5</v>
      </c>
      <c r="E92" s="116"/>
      <c r="F92" s="120" t="s">
        <v>692</v>
      </c>
      <c r="G92" s="180"/>
      <c r="H92" s="181">
        <v>11</v>
      </c>
      <c r="I92" s="120"/>
      <c r="J92" s="231">
        <f t="shared" si="139"/>
        <v>13296.399457525742</v>
      </c>
      <c r="K92" s="108"/>
      <c r="L92" s="115">
        <f t="shared" si="118"/>
        <v>10631.801006237583</v>
      </c>
      <c r="M92" s="230"/>
      <c r="N92" s="115">
        <f t="shared" si="119"/>
        <v>1888.0887229686552</v>
      </c>
      <c r="O92" s="230"/>
      <c r="P92" s="115">
        <f t="shared" si="120"/>
        <v>91.745156256927615</v>
      </c>
      <c r="Q92" s="230"/>
      <c r="R92" s="115">
        <f t="shared" si="121"/>
        <v>368.31026497346306</v>
      </c>
      <c r="S92" s="230"/>
      <c r="T92" s="115">
        <f t="shared" si="122"/>
        <v>34.570638589566926</v>
      </c>
      <c r="U92" s="230"/>
      <c r="V92" s="115">
        <f t="shared" si="123"/>
        <v>208.75347148315413</v>
      </c>
      <c r="W92" s="230"/>
      <c r="X92" s="115">
        <f t="shared" si="124"/>
        <v>73.130197016391577</v>
      </c>
      <c r="Y92" s="116"/>
      <c r="Z92" s="116">
        <f t="shared" si="138"/>
        <v>0</v>
      </c>
      <c r="AC92" s="120" t="s">
        <v>692</v>
      </c>
      <c r="AE92" s="154">
        <f t="shared" si="136"/>
        <v>11</v>
      </c>
      <c r="AG92" s="231">
        <f t="shared" si="137"/>
        <v>13296.399457525742</v>
      </c>
      <c r="AH92" s="108"/>
      <c r="AI92" s="115">
        <f t="shared" si="125"/>
        <v>421.49586280356601</v>
      </c>
      <c r="AJ92" s="230"/>
      <c r="AK92" s="115">
        <f t="shared" si="126"/>
        <v>87.756236419669904</v>
      </c>
      <c r="AL92" s="230"/>
      <c r="AM92" s="115">
        <f t="shared" si="127"/>
        <v>460.05542123039066</v>
      </c>
      <c r="AN92" s="230"/>
      <c r="AO92" s="115">
        <f t="shared" si="128"/>
        <v>12045.208268572571</v>
      </c>
      <c r="AP92" s="230"/>
      <c r="AQ92" s="115">
        <f t="shared" si="129"/>
        <v>0</v>
      </c>
      <c r="AR92" s="230"/>
      <c r="AS92" s="115">
        <f t="shared" si="130"/>
        <v>0</v>
      </c>
      <c r="AT92" s="230"/>
      <c r="AU92" s="115">
        <f t="shared" si="131"/>
        <v>0</v>
      </c>
      <c r="AV92" s="69"/>
      <c r="AW92" s="69">
        <f t="shared" si="132"/>
        <v>208.75347148315413</v>
      </c>
      <c r="AX92" s="69"/>
      <c r="AY92" s="69">
        <f t="shared" si="133"/>
        <v>73.130197016391577</v>
      </c>
      <c r="BA92" s="99">
        <f t="shared" si="117"/>
        <v>0</v>
      </c>
      <c r="BB92" s="82"/>
      <c r="BC92" s="82"/>
      <c r="BD92" s="82"/>
    </row>
    <row r="93" spans="1:56" s="399" customFormat="1" x14ac:dyDescent="0.2">
      <c r="A93" s="299"/>
      <c r="B93" s="299"/>
      <c r="C93" s="116">
        <f>+Linkin!L213+Linkin!L219</f>
        <v>6355.1566149738455</v>
      </c>
      <c r="D93" s="412">
        <v>675.5</v>
      </c>
      <c r="E93" s="116"/>
      <c r="F93" s="120" t="s">
        <v>701</v>
      </c>
      <c r="G93" s="180"/>
      <c r="H93" s="181">
        <v>11</v>
      </c>
      <c r="I93" s="120"/>
      <c r="J93" s="231">
        <f t="shared" si="139"/>
        <v>6355.1566149738455</v>
      </c>
      <c r="K93" s="108"/>
      <c r="L93" s="115">
        <f t="shared" si="118"/>
        <v>5081.5832293330868</v>
      </c>
      <c r="M93" s="230"/>
      <c r="N93" s="115">
        <f t="shared" si="119"/>
        <v>902.43223932628598</v>
      </c>
      <c r="O93" s="230"/>
      <c r="P93" s="115">
        <f t="shared" si="120"/>
        <v>43.850580643319532</v>
      </c>
      <c r="Q93" s="230"/>
      <c r="R93" s="115">
        <f t="shared" si="121"/>
        <v>176.03783823477551</v>
      </c>
      <c r="S93" s="230"/>
      <c r="T93" s="115">
        <f t="shared" si="122"/>
        <v>16.523407198931999</v>
      </c>
      <c r="U93" s="230"/>
      <c r="V93" s="115">
        <f t="shared" si="123"/>
        <v>99.775958855089371</v>
      </c>
      <c r="W93" s="230"/>
      <c r="X93" s="115">
        <f t="shared" si="124"/>
        <v>34.95336138235615</v>
      </c>
      <c r="Y93" s="116"/>
      <c r="Z93" s="116">
        <f t="shared" si="138"/>
        <v>0</v>
      </c>
      <c r="AC93" s="120" t="s">
        <v>701</v>
      </c>
      <c r="AE93" s="154">
        <f t="shared" si="136"/>
        <v>11</v>
      </c>
      <c r="AG93" s="231">
        <f t="shared" si="137"/>
        <v>6355.1566149738455</v>
      </c>
      <c r="AH93" s="108"/>
      <c r="AI93" s="115">
        <f t="shared" si="125"/>
        <v>201.45846469467091</v>
      </c>
      <c r="AJ93" s="230"/>
      <c r="AK93" s="115">
        <f t="shared" si="126"/>
        <v>41.944033658827379</v>
      </c>
      <c r="AL93" s="230"/>
      <c r="AM93" s="115">
        <f t="shared" si="127"/>
        <v>219.88841887809505</v>
      </c>
      <c r="AN93" s="230"/>
      <c r="AO93" s="115">
        <f t="shared" si="128"/>
        <v>5757.1363775048067</v>
      </c>
      <c r="AP93" s="230"/>
      <c r="AQ93" s="115">
        <f t="shared" si="129"/>
        <v>0</v>
      </c>
      <c r="AR93" s="230"/>
      <c r="AS93" s="115">
        <f t="shared" si="130"/>
        <v>0</v>
      </c>
      <c r="AT93" s="230"/>
      <c r="AU93" s="115">
        <f t="shared" si="131"/>
        <v>0</v>
      </c>
      <c r="AV93" s="69"/>
      <c r="AW93" s="69">
        <f t="shared" si="132"/>
        <v>99.775958855089371</v>
      </c>
      <c r="AX93" s="69"/>
      <c r="AY93" s="69">
        <f t="shared" si="133"/>
        <v>34.95336138235615</v>
      </c>
      <c r="BA93" s="99">
        <f t="shared" si="117"/>
        <v>0</v>
      </c>
      <c r="BB93" s="82"/>
      <c r="BC93" s="82"/>
      <c r="BD93" s="82"/>
    </row>
    <row r="94" spans="1:56" x14ac:dyDescent="0.2">
      <c r="A94" s="299"/>
      <c r="B94" s="299"/>
      <c r="C94" s="116">
        <f>+Linkin!L305+Linkin!L307</f>
        <v>5321.1920598092292</v>
      </c>
      <c r="D94" s="412">
        <v>641.5</v>
      </c>
      <c r="F94" s="120" t="s">
        <v>591</v>
      </c>
      <c r="G94" s="180"/>
      <c r="H94" s="181">
        <v>11</v>
      </c>
      <c r="I94" s="120"/>
      <c r="J94" s="305">
        <f t="shared" si="139"/>
        <v>5321.1920598092292</v>
      </c>
      <c r="K94" s="108"/>
      <c r="L94" s="304">
        <f t="shared" si="118"/>
        <v>4254.8251710234599</v>
      </c>
      <c r="M94" s="108"/>
      <c r="N94" s="304">
        <f t="shared" si="119"/>
        <v>755.60927249291046</v>
      </c>
      <c r="O94" s="108"/>
      <c r="P94" s="304">
        <f t="shared" si="120"/>
        <v>36.716225212683682</v>
      </c>
      <c r="Q94" s="108"/>
      <c r="R94" s="304">
        <f t="shared" si="121"/>
        <v>147.39702005671563</v>
      </c>
      <c r="S94" s="108"/>
      <c r="T94" s="304">
        <f t="shared" si="122"/>
        <v>13.835099355503996</v>
      </c>
      <c r="U94" s="108"/>
      <c r="V94" s="304">
        <f t="shared" si="123"/>
        <v>83.542715339004886</v>
      </c>
      <c r="W94" s="108"/>
      <c r="X94" s="304">
        <f t="shared" si="124"/>
        <v>29.26655632895076</v>
      </c>
      <c r="Y94" s="116"/>
      <c r="Z94" s="116">
        <f>SUM(L94:X94)-J94</f>
        <v>0</v>
      </c>
      <c r="AC94" s="120" t="s">
        <v>591</v>
      </c>
      <c r="AE94" s="154">
        <f t="shared" si="136"/>
        <v>11</v>
      </c>
      <c r="AG94" s="305">
        <f t="shared" si="137"/>
        <v>5321.1920598092292</v>
      </c>
      <c r="AH94" s="108"/>
      <c r="AI94" s="304">
        <f t="shared" si="125"/>
        <v>168.68178829595257</v>
      </c>
      <c r="AJ94" s="108"/>
      <c r="AK94" s="304">
        <f t="shared" si="126"/>
        <v>35.11986759474091</v>
      </c>
      <c r="AL94" s="108"/>
      <c r="AM94" s="304">
        <f t="shared" si="127"/>
        <v>184.11324526939933</v>
      </c>
      <c r="AN94" s="108"/>
      <c r="AO94" s="304">
        <f t="shared" si="128"/>
        <v>4820.4678869811814</v>
      </c>
      <c r="AP94" s="108"/>
      <c r="AQ94" s="304">
        <f t="shared" si="129"/>
        <v>0</v>
      </c>
      <c r="AR94" s="108"/>
      <c r="AS94" s="304">
        <f t="shared" si="130"/>
        <v>0</v>
      </c>
      <c r="AT94" s="108"/>
      <c r="AU94" s="304">
        <f t="shared" si="131"/>
        <v>0</v>
      </c>
      <c r="AV94" s="108"/>
      <c r="AW94" s="304">
        <f t="shared" si="132"/>
        <v>83.542715339004886</v>
      </c>
      <c r="AX94" s="108"/>
      <c r="AY94" s="304">
        <f t="shared" si="133"/>
        <v>29.26655632895076</v>
      </c>
      <c r="BA94" s="99">
        <f t="shared" si="117"/>
        <v>0</v>
      </c>
      <c r="BB94" s="82"/>
      <c r="BC94" s="82"/>
      <c r="BD94" s="82"/>
    </row>
    <row r="95" spans="1:56" x14ac:dyDescent="0.2">
      <c r="A95" s="177"/>
      <c r="B95" s="177"/>
      <c r="F95" s="120"/>
      <c r="G95" s="180"/>
      <c r="H95" s="181"/>
      <c r="I95" s="120"/>
      <c r="J95" s="231"/>
      <c r="K95" s="108"/>
      <c r="L95" s="83"/>
      <c r="M95" s="108"/>
      <c r="N95" s="83"/>
      <c r="O95" s="108"/>
      <c r="P95" s="83"/>
      <c r="Q95" s="108"/>
      <c r="R95" s="83"/>
      <c r="S95" s="108"/>
      <c r="T95" s="83"/>
      <c r="U95" s="108"/>
      <c r="V95" s="83"/>
      <c r="W95" s="108"/>
      <c r="X95" s="83"/>
      <c r="Z95" s="99">
        <f t="shared" ref="Z95:Z104" si="140">SUM(L95:X95)-J95</f>
        <v>0</v>
      </c>
      <c r="AC95" s="120"/>
      <c r="AG95" s="231"/>
      <c r="AH95" s="108"/>
      <c r="AI95" s="83"/>
      <c r="AJ95" s="108"/>
      <c r="AK95" s="83"/>
      <c r="AL95" s="108"/>
      <c r="AM95" s="83"/>
      <c r="AN95" s="108"/>
      <c r="AO95" s="83"/>
      <c r="AP95" s="108"/>
      <c r="AQ95" s="83"/>
      <c r="AR95" s="108"/>
      <c r="AS95" s="83"/>
      <c r="AT95" s="108"/>
      <c r="AU95" s="83"/>
      <c r="AV95" s="108"/>
      <c r="AW95" s="83"/>
      <c r="AX95" s="108"/>
      <c r="AY95" s="83"/>
      <c r="BA95" s="99">
        <f t="shared" si="117"/>
        <v>0</v>
      </c>
      <c r="BB95" s="82"/>
      <c r="BC95" s="82"/>
      <c r="BD95" s="82"/>
    </row>
    <row r="96" spans="1:56" x14ac:dyDescent="0.2">
      <c r="A96" s="177"/>
      <c r="B96" s="177"/>
      <c r="F96" s="120" t="s">
        <v>98</v>
      </c>
      <c r="G96" s="180"/>
      <c r="H96" s="181"/>
      <c r="I96" s="120"/>
      <c r="J96" s="305">
        <f>SUM(J79:J95)</f>
        <v>1621328.1609923858</v>
      </c>
      <c r="K96" s="120"/>
      <c r="L96" s="305">
        <f>SUM(L79:L95)</f>
        <v>1296358.2744164304</v>
      </c>
      <c r="M96" s="120"/>
      <c r="N96" s="305">
        <f t="shared" ref="N96" si="141">SUM(N79:N95)</f>
        <v>230263.91598076728</v>
      </c>
      <c r="O96" s="120"/>
      <c r="P96" s="305">
        <f t="shared" ref="P96" si="142">SUM(P79:P95)</f>
        <v>11222.279646063445</v>
      </c>
      <c r="Q96" s="120"/>
      <c r="R96" s="305">
        <f t="shared" ref="R96" si="143">SUM(R79:R95)</f>
        <v>44919.523826924575</v>
      </c>
      <c r="S96" s="120"/>
      <c r="T96" s="305">
        <f t="shared" ref="T96" si="144">SUM(T79:T95)</f>
        <v>4214.9702761573944</v>
      </c>
      <c r="U96" s="120"/>
      <c r="V96" s="305">
        <f t="shared" ref="V96" si="145">SUM(V79:V95)</f>
        <v>25408.790097447461</v>
      </c>
      <c r="W96" s="120"/>
      <c r="X96" s="305">
        <f t="shared" ref="X96" si="146">SUM(X79:X95)</f>
        <v>8940.4067485952091</v>
      </c>
      <c r="Z96" s="99">
        <f t="shared" si="140"/>
        <v>0</v>
      </c>
      <c r="AC96" s="120" t="s">
        <v>98</v>
      </c>
      <c r="AD96" s="180"/>
      <c r="AE96" s="181"/>
      <c r="AF96" s="120"/>
      <c r="AG96" s="305">
        <f>SUM(AG79:AG95)</f>
        <v>1621328.1609923858</v>
      </c>
      <c r="AH96" s="120"/>
      <c r="AI96" s="305">
        <f>SUM(AI79:AI95)</f>
        <v>51408.983402558944</v>
      </c>
      <c r="AJ96" s="120"/>
      <c r="AK96" s="305">
        <f>SUM(AK79:AK95)</f>
        <v>10722.096936803197</v>
      </c>
      <c r="AL96" s="120"/>
      <c r="AM96" s="305">
        <f>SUM(AM79:AM95)</f>
        <v>56090.188722238738</v>
      </c>
      <c r="AN96" s="120"/>
      <c r="AO96" s="305">
        <f>SUM(AO79:AO95)</f>
        <v>1468757.6950847423</v>
      </c>
      <c r="AP96" s="120"/>
      <c r="AQ96" s="305">
        <f>SUM(AQ79:AQ95)</f>
        <v>0</v>
      </c>
      <c r="AR96" s="120"/>
      <c r="AS96" s="305">
        <f>SUM(AS79:AS95)</f>
        <v>0</v>
      </c>
      <c r="AT96" s="120"/>
      <c r="AU96" s="305">
        <f>SUM(AU79:AU95)</f>
        <v>0</v>
      </c>
      <c r="AV96" s="120"/>
      <c r="AW96" s="305">
        <f t="shared" ref="AW96" si="147">SUM(AW79:AW95)</f>
        <v>25408.790097447461</v>
      </c>
      <c r="AX96" s="120"/>
      <c r="AY96" s="305">
        <f t="shared" ref="AY96" si="148">SUM(AY79:AY95)</f>
        <v>8940.4067485952091</v>
      </c>
      <c r="BA96" s="99">
        <f t="shared" si="117"/>
        <v>0</v>
      </c>
      <c r="BB96" s="82"/>
      <c r="BC96" s="82"/>
      <c r="BD96" s="82"/>
    </row>
    <row r="97" spans="1:56" x14ac:dyDescent="0.2">
      <c r="A97" s="177"/>
      <c r="B97" s="177"/>
      <c r="F97" s="120"/>
      <c r="G97" s="180"/>
      <c r="H97" s="181"/>
      <c r="I97" s="120"/>
      <c r="J97" s="231"/>
      <c r="K97" s="83"/>
      <c r="L97" s="83"/>
      <c r="M97" s="83"/>
      <c r="N97" s="83"/>
      <c r="O97" s="83"/>
      <c r="P97" s="83"/>
      <c r="Q97" s="83"/>
      <c r="R97" s="83"/>
      <c r="S97" s="83"/>
      <c r="T97" s="83"/>
      <c r="U97" s="83"/>
      <c r="V97" s="83"/>
      <c r="W97" s="83"/>
      <c r="X97" s="83"/>
      <c r="Z97" s="99">
        <f t="shared" si="140"/>
        <v>0</v>
      </c>
      <c r="AC97" s="120"/>
      <c r="AG97" s="231"/>
      <c r="AH97" s="83"/>
      <c r="AI97" s="83"/>
      <c r="AJ97" s="83"/>
      <c r="AK97" s="83"/>
      <c r="AL97" s="83"/>
      <c r="AM97" s="83"/>
      <c r="AN97" s="83"/>
      <c r="AO97" s="83"/>
      <c r="AP97" s="83"/>
      <c r="AQ97" s="83"/>
      <c r="AR97" s="83"/>
      <c r="AS97" s="83"/>
      <c r="AT97" s="83"/>
      <c r="AU97" s="83"/>
      <c r="AV97" s="83"/>
      <c r="AW97" s="83"/>
      <c r="AX97" s="83"/>
      <c r="AY97" s="83"/>
      <c r="BA97" s="99">
        <f t="shared" si="117"/>
        <v>0</v>
      </c>
      <c r="BB97" s="82"/>
      <c r="BC97" s="82"/>
      <c r="BD97" s="82"/>
    </row>
    <row r="98" spans="1:56" x14ac:dyDescent="0.2">
      <c r="A98" s="177"/>
      <c r="B98" s="177"/>
      <c r="F98" s="120" t="s">
        <v>99</v>
      </c>
      <c r="G98" s="180"/>
      <c r="H98" s="181"/>
      <c r="I98" s="120"/>
      <c r="J98" s="231"/>
      <c r="K98" s="108"/>
      <c r="L98" s="83"/>
      <c r="M98" s="109"/>
      <c r="N98" s="109"/>
      <c r="O98" s="109"/>
      <c r="P98" s="109"/>
      <c r="Q98" s="109"/>
      <c r="R98" s="109"/>
      <c r="S98" s="109"/>
      <c r="T98" s="109"/>
      <c r="U98" s="109"/>
      <c r="V98" s="109"/>
      <c r="W98" s="109"/>
      <c r="X98" s="109"/>
      <c r="Z98" s="99">
        <f t="shared" si="140"/>
        <v>0</v>
      </c>
      <c r="AC98" s="120" t="s">
        <v>99</v>
      </c>
      <c r="AG98" s="231"/>
      <c r="AH98" s="108"/>
      <c r="AI98" s="83"/>
      <c r="AJ98" s="109"/>
      <c r="AK98" s="109"/>
      <c r="AL98" s="109"/>
      <c r="AM98" s="109"/>
      <c r="AN98" s="109"/>
      <c r="AO98" s="109"/>
      <c r="AP98" s="109"/>
      <c r="AQ98" s="109"/>
      <c r="AR98" s="109"/>
      <c r="AS98" s="109"/>
      <c r="AT98" s="109"/>
      <c r="AU98" s="109"/>
      <c r="AV98" s="109"/>
      <c r="AW98" s="109"/>
      <c r="AX98" s="109"/>
      <c r="AY98" s="109"/>
      <c r="BA98" s="99">
        <f t="shared" si="117"/>
        <v>0</v>
      </c>
      <c r="BB98" s="82"/>
      <c r="BC98" s="82"/>
      <c r="BD98" s="82"/>
    </row>
    <row r="99" spans="1:56" ht="2.4500000000000002" customHeight="1" x14ac:dyDescent="0.2">
      <c r="A99" s="177"/>
      <c r="B99" s="177"/>
      <c r="F99"/>
      <c r="G99" s="180"/>
      <c r="H99" s="181"/>
      <c r="I99" s="120"/>
      <c r="J99" s="231"/>
      <c r="K99" s="108"/>
      <c r="L99" s="83"/>
      <c r="M99" s="109"/>
      <c r="N99" s="109"/>
      <c r="O99" s="109"/>
      <c r="P99" s="109"/>
      <c r="Q99" s="109"/>
      <c r="R99" s="109"/>
      <c r="S99" s="109"/>
      <c r="T99" s="109"/>
      <c r="U99" s="109"/>
      <c r="V99" s="109"/>
      <c r="W99" s="109"/>
      <c r="X99" s="109"/>
      <c r="Z99" s="99">
        <f t="shared" si="140"/>
        <v>0</v>
      </c>
      <c r="AC99" s="459"/>
      <c r="AG99" s="231"/>
      <c r="AH99" s="108"/>
      <c r="AI99" s="83"/>
      <c r="AJ99" s="109"/>
      <c r="AK99" s="109"/>
      <c r="AL99" s="109"/>
      <c r="AM99" s="109"/>
      <c r="AN99" s="109"/>
      <c r="AO99" s="109"/>
      <c r="AP99" s="109"/>
      <c r="AQ99" s="109"/>
      <c r="AR99" s="109"/>
      <c r="AS99" s="109"/>
      <c r="AT99" s="109"/>
      <c r="AU99" s="109"/>
      <c r="AV99" s="109"/>
      <c r="AW99" s="109"/>
      <c r="AX99" s="109"/>
      <c r="AY99" s="109"/>
      <c r="BA99" s="99">
        <f t="shared" si="117"/>
        <v>0</v>
      </c>
      <c r="BB99" s="82"/>
      <c r="BC99" s="82"/>
      <c r="BD99" s="82"/>
    </row>
    <row r="100" spans="1:56" s="417" customFormat="1" x14ac:dyDescent="0.2">
      <c r="A100" s="177"/>
      <c r="B100" s="177"/>
      <c r="C100" s="116">
        <f>+Linkin!L77+Linkin!L98</f>
        <v>633087.55353655713</v>
      </c>
      <c r="D100" s="412">
        <v>601.6</v>
      </c>
      <c r="E100" s="116"/>
      <c r="F100" s="120" t="s">
        <v>706</v>
      </c>
      <c r="G100" s="180"/>
      <c r="H100" s="181">
        <v>12</v>
      </c>
      <c r="I100" s="120"/>
      <c r="J100" s="231">
        <f t="shared" ref="J100" si="149">+C100</f>
        <v>633087.55353655713</v>
      </c>
      <c r="K100" s="108"/>
      <c r="L100" s="115">
        <f t="shared" ref="L100:L110" si="150">(VLOOKUP($H100,Factors,L$381))*$J100</f>
        <v>382828.04362355609</v>
      </c>
      <c r="M100" s="230"/>
      <c r="N100" s="115">
        <f t="shared" ref="N100:N110" si="151">(VLOOKUP($H100,Factors,N$381))*$J100</f>
        <v>101483.93483191011</v>
      </c>
      <c r="O100" s="230"/>
      <c r="P100" s="115">
        <f t="shared" ref="P100:P110" si="152">(VLOOKUP($H100,Factors,P$381))*$J100</f>
        <v>9496.3133030483568</v>
      </c>
      <c r="Q100" s="230"/>
      <c r="R100" s="115">
        <f t="shared" ref="R100:R110" si="153">(VLOOKUP($H100,Factors,R$381))*$J100</f>
        <v>22411.299395194124</v>
      </c>
      <c r="S100" s="230"/>
      <c r="T100" s="115">
        <f t="shared" ref="T100:T110" si="154">(VLOOKUP($H100,Factors,T$381))*$J100</f>
        <v>1646.0276391950486</v>
      </c>
      <c r="U100" s="230"/>
      <c r="V100" s="115">
        <f t="shared" ref="V100:V110" si="155">(VLOOKUP($H100,Factors,V$381))*$J100</f>
        <v>25196.884630754976</v>
      </c>
      <c r="W100" s="230"/>
      <c r="X100" s="115">
        <f t="shared" ref="X100:X110" si="156">(VLOOKUP($H100,Factors,X$381))*$J100</f>
        <v>90025.050112898418</v>
      </c>
      <c r="Y100" s="116"/>
      <c r="Z100" s="116">
        <f t="shared" ref="Z100" si="157">SUM(L100:X100)-J100</f>
        <v>0</v>
      </c>
      <c r="AC100" s="120" t="s">
        <v>706</v>
      </c>
      <c r="AE100" s="154">
        <f t="shared" ref="AE100:AE110" si="158">+H100</f>
        <v>12</v>
      </c>
      <c r="AG100" s="231">
        <f t="shared" ref="AG100:AG110" si="159">+J100</f>
        <v>633087.55353655713</v>
      </c>
      <c r="AH100" s="108"/>
      <c r="AI100" s="115">
        <f t="shared" ref="AI100:AI110" si="160">(VLOOKUP($AE100,func,AI$381))*$AG100</f>
        <v>83314.322045410911</v>
      </c>
      <c r="AJ100" s="230"/>
      <c r="AK100" s="115">
        <f t="shared" ref="AK100:AK110" si="161">(VLOOKUP($AE100,func,AK$381))*$AG100</f>
        <v>17409.907722255321</v>
      </c>
      <c r="AL100" s="230"/>
      <c r="AM100" s="115">
        <f t="shared" ref="AM100:AM110" si="162">(VLOOKUP($AE100,func,AM$381))*$AG100</f>
        <v>90911.372687849609</v>
      </c>
      <c r="AN100" s="230"/>
      <c r="AO100" s="115">
        <f t="shared" ref="AO100:AO110" si="163">(VLOOKUP($AE100,func,AO$381))*$AG100</f>
        <v>97242.248223215167</v>
      </c>
      <c r="AP100" s="230"/>
      <c r="AQ100" s="115">
        <f t="shared" ref="AQ100:AQ110" si="164">(VLOOKUP($AE100,func,AQ$381))*$AG100</f>
        <v>228987.76811417274</v>
      </c>
      <c r="AR100" s="230"/>
      <c r="AS100" s="115">
        <f t="shared" ref="AS100:AS110" si="165">(VLOOKUP($AE100,func,AS$381))*$AG100</f>
        <v>0</v>
      </c>
      <c r="AT100" s="230"/>
      <c r="AU100" s="115">
        <f t="shared" ref="AU100:AU110" si="166">(VLOOKUP($AE100,func,AU$381))*$AG100</f>
        <v>0</v>
      </c>
      <c r="AV100" s="230"/>
      <c r="AW100" s="115">
        <f t="shared" ref="AW100:AW110" si="167">(VLOOKUP($AE100,func,AW$381))*$AG100</f>
        <v>25196.884630754976</v>
      </c>
      <c r="AX100" s="230"/>
      <c r="AY100" s="115">
        <f t="shared" ref="AY100:AY110" si="168">(VLOOKUP($AE100,func,AY$381))*$AG100</f>
        <v>90025.050112898418</v>
      </c>
      <c r="BA100" s="99">
        <f t="shared" si="117"/>
        <v>0</v>
      </c>
      <c r="BB100" s="82"/>
      <c r="BC100" s="82"/>
      <c r="BD100" s="82"/>
    </row>
    <row r="101" spans="1:56" x14ac:dyDescent="0.2">
      <c r="A101" s="177"/>
      <c r="B101" s="177"/>
      <c r="C101" s="116">
        <f>+Linkin!L78</f>
        <v>0</v>
      </c>
      <c r="D101" s="412">
        <v>601.6</v>
      </c>
      <c r="F101" s="120" t="s">
        <v>710</v>
      </c>
      <c r="G101" s="180"/>
      <c r="H101" s="181">
        <v>12</v>
      </c>
      <c r="I101" s="120"/>
      <c r="J101" s="231">
        <f t="shared" ref="J101:J108" si="169">+C101</f>
        <v>0</v>
      </c>
      <c r="K101" s="108"/>
      <c r="L101" s="115">
        <f t="shared" si="150"/>
        <v>0</v>
      </c>
      <c r="M101" s="230"/>
      <c r="N101" s="115">
        <f t="shared" si="151"/>
        <v>0</v>
      </c>
      <c r="O101" s="230"/>
      <c r="P101" s="115">
        <f t="shared" si="152"/>
        <v>0</v>
      </c>
      <c r="Q101" s="230"/>
      <c r="R101" s="115">
        <f t="shared" si="153"/>
        <v>0</v>
      </c>
      <c r="S101" s="230"/>
      <c r="T101" s="115">
        <f t="shared" si="154"/>
        <v>0</v>
      </c>
      <c r="U101" s="230"/>
      <c r="V101" s="115">
        <f t="shared" si="155"/>
        <v>0</v>
      </c>
      <c r="W101" s="230"/>
      <c r="X101" s="115">
        <f t="shared" si="156"/>
        <v>0</v>
      </c>
      <c r="Y101" s="116"/>
      <c r="Z101" s="116">
        <f t="shared" si="140"/>
        <v>0</v>
      </c>
      <c r="AC101" s="120" t="s">
        <v>710</v>
      </c>
      <c r="AE101" s="154">
        <f t="shared" si="158"/>
        <v>12</v>
      </c>
      <c r="AG101" s="231">
        <f t="shared" si="159"/>
        <v>0</v>
      </c>
      <c r="AH101" s="108"/>
      <c r="AI101" s="115">
        <f t="shared" si="160"/>
        <v>0</v>
      </c>
      <c r="AJ101" s="230"/>
      <c r="AK101" s="115">
        <f t="shared" si="161"/>
        <v>0</v>
      </c>
      <c r="AL101" s="230"/>
      <c r="AM101" s="115">
        <f t="shared" si="162"/>
        <v>0</v>
      </c>
      <c r="AN101" s="230"/>
      <c r="AO101" s="115">
        <f t="shared" si="163"/>
        <v>0</v>
      </c>
      <c r="AP101" s="230"/>
      <c r="AQ101" s="115">
        <f t="shared" si="164"/>
        <v>0</v>
      </c>
      <c r="AR101" s="230"/>
      <c r="AS101" s="115">
        <f t="shared" si="165"/>
        <v>0</v>
      </c>
      <c r="AT101" s="230"/>
      <c r="AU101" s="115">
        <f t="shared" si="166"/>
        <v>0</v>
      </c>
      <c r="AV101" s="230"/>
      <c r="AW101" s="115">
        <f t="shared" si="167"/>
        <v>0</v>
      </c>
      <c r="AX101" s="230"/>
      <c r="AY101" s="115">
        <f t="shared" si="168"/>
        <v>0</v>
      </c>
      <c r="BA101" s="99">
        <f t="shared" si="117"/>
        <v>0</v>
      </c>
      <c r="BB101" s="82"/>
      <c r="BC101" s="82"/>
      <c r="BD101" s="82"/>
    </row>
    <row r="102" spans="1:56" x14ac:dyDescent="0.2">
      <c r="A102" s="177"/>
      <c r="B102" s="177"/>
      <c r="D102" s="412">
        <v>601.6</v>
      </c>
      <c r="F102" s="120" t="s">
        <v>711</v>
      </c>
      <c r="G102" s="180"/>
      <c r="H102" s="181">
        <v>5</v>
      </c>
      <c r="I102" s="120"/>
      <c r="J102" s="231">
        <f t="shared" si="169"/>
        <v>0</v>
      </c>
      <c r="K102" s="108"/>
      <c r="L102" s="115">
        <f t="shared" si="150"/>
        <v>0</v>
      </c>
      <c r="M102" s="230"/>
      <c r="N102" s="115">
        <f t="shared" si="151"/>
        <v>0</v>
      </c>
      <c r="O102" s="230"/>
      <c r="P102" s="115">
        <f t="shared" si="152"/>
        <v>0</v>
      </c>
      <c r="Q102" s="230"/>
      <c r="R102" s="115">
        <f t="shared" si="153"/>
        <v>0</v>
      </c>
      <c r="S102" s="230"/>
      <c r="T102" s="115">
        <f t="shared" si="154"/>
        <v>0</v>
      </c>
      <c r="U102" s="230"/>
      <c r="V102" s="115">
        <f t="shared" si="155"/>
        <v>0</v>
      </c>
      <c r="W102" s="230"/>
      <c r="X102" s="115">
        <f t="shared" si="156"/>
        <v>0</v>
      </c>
      <c r="Y102" s="116"/>
      <c r="Z102" s="116">
        <f t="shared" si="140"/>
        <v>0</v>
      </c>
      <c r="AC102" s="120" t="s">
        <v>711</v>
      </c>
      <c r="AE102" s="154">
        <f t="shared" si="158"/>
        <v>5</v>
      </c>
      <c r="AG102" s="231">
        <f t="shared" si="159"/>
        <v>0</v>
      </c>
      <c r="AH102" s="108"/>
      <c r="AI102" s="115">
        <f t="shared" si="160"/>
        <v>0</v>
      </c>
      <c r="AJ102" s="230"/>
      <c r="AK102" s="115">
        <f t="shared" si="161"/>
        <v>0</v>
      </c>
      <c r="AL102" s="230"/>
      <c r="AM102" s="115">
        <f t="shared" si="162"/>
        <v>0</v>
      </c>
      <c r="AN102" s="230"/>
      <c r="AO102" s="115">
        <f t="shared" si="163"/>
        <v>0</v>
      </c>
      <c r="AP102" s="230"/>
      <c r="AQ102" s="115">
        <f t="shared" si="164"/>
        <v>0</v>
      </c>
      <c r="AR102" s="230"/>
      <c r="AS102" s="115">
        <f t="shared" si="165"/>
        <v>0</v>
      </c>
      <c r="AT102" s="230"/>
      <c r="AU102" s="115">
        <f t="shared" si="166"/>
        <v>0</v>
      </c>
      <c r="AV102" s="230"/>
      <c r="AW102" s="115">
        <f t="shared" si="167"/>
        <v>0</v>
      </c>
      <c r="AX102" s="230"/>
      <c r="AY102" s="115">
        <f t="shared" si="168"/>
        <v>0</v>
      </c>
      <c r="BA102" s="99">
        <f t="shared" si="117"/>
        <v>0</v>
      </c>
      <c r="BB102" s="82"/>
      <c r="BC102" s="82"/>
      <c r="BD102" s="82"/>
    </row>
    <row r="103" spans="1:56" x14ac:dyDescent="0.2">
      <c r="A103" s="177"/>
      <c r="B103" s="177"/>
      <c r="C103" s="116">
        <f>+Linkin!L79+Linkin!L99</f>
        <v>103644.02852742875</v>
      </c>
      <c r="D103" s="412">
        <v>601.6</v>
      </c>
      <c r="F103" s="120" t="s">
        <v>712</v>
      </c>
      <c r="G103" s="180"/>
      <c r="H103" s="181">
        <v>7</v>
      </c>
      <c r="I103" s="120"/>
      <c r="J103" s="231">
        <f t="shared" si="169"/>
        <v>103644.02852742875</v>
      </c>
      <c r="K103" s="108"/>
      <c r="L103" s="115">
        <f t="shared" si="150"/>
        <v>48650.506990775051</v>
      </c>
      <c r="M103" s="230"/>
      <c r="N103" s="115">
        <f t="shared" si="151"/>
        <v>29383.082087526047</v>
      </c>
      <c r="O103" s="230"/>
      <c r="P103" s="115">
        <f t="shared" si="152"/>
        <v>4187.2187525081217</v>
      </c>
      <c r="Q103" s="230"/>
      <c r="R103" s="115">
        <f t="shared" si="153"/>
        <v>8022.0478080229841</v>
      </c>
      <c r="S103" s="230"/>
      <c r="T103" s="115">
        <f t="shared" si="154"/>
        <v>611.4997683118296</v>
      </c>
      <c r="U103" s="230"/>
      <c r="V103" s="115">
        <f t="shared" si="155"/>
        <v>5907.7096260634389</v>
      </c>
      <c r="W103" s="230"/>
      <c r="X103" s="115">
        <f t="shared" si="156"/>
        <v>6881.9634942212688</v>
      </c>
      <c r="Y103" s="116"/>
      <c r="Z103" s="116">
        <f t="shared" si="140"/>
        <v>0</v>
      </c>
      <c r="AC103" s="120" t="s">
        <v>712</v>
      </c>
      <c r="AE103" s="154">
        <f t="shared" si="158"/>
        <v>7</v>
      </c>
      <c r="AG103" s="231">
        <f t="shared" si="159"/>
        <v>103644.02852742875</v>
      </c>
      <c r="AH103" s="108"/>
      <c r="AI103" s="115">
        <f t="shared" si="160"/>
        <v>39509.103674655838</v>
      </c>
      <c r="AJ103" s="230"/>
      <c r="AK103" s="115">
        <f t="shared" si="161"/>
        <v>8250.0646707833293</v>
      </c>
      <c r="AL103" s="230"/>
      <c r="AM103" s="115">
        <f t="shared" si="162"/>
        <v>43095.18706170487</v>
      </c>
      <c r="AN103" s="230"/>
      <c r="AO103" s="115">
        <f t="shared" si="163"/>
        <v>0</v>
      </c>
      <c r="AP103" s="230"/>
      <c r="AQ103" s="115">
        <f t="shared" si="164"/>
        <v>0</v>
      </c>
      <c r="AR103" s="230"/>
      <c r="AS103" s="115">
        <f t="shared" si="165"/>
        <v>0</v>
      </c>
      <c r="AT103" s="230"/>
      <c r="AU103" s="115">
        <f t="shared" si="166"/>
        <v>0</v>
      </c>
      <c r="AV103" s="230"/>
      <c r="AW103" s="115">
        <f t="shared" si="167"/>
        <v>5907.7096260634389</v>
      </c>
      <c r="AX103" s="230"/>
      <c r="AY103" s="115">
        <f t="shared" si="168"/>
        <v>6881.9634942212688</v>
      </c>
      <c r="BA103" s="99">
        <f t="shared" si="117"/>
        <v>0</v>
      </c>
      <c r="BB103" s="82"/>
      <c r="BC103" s="82"/>
      <c r="BD103" s="82"/>
    </row>
    <row r="104" spans="1:56" x14ac:dyDescent="0.2">
      <c r="A104" s="177"/>
      <c r="B104" s="177"/>
      <c r="C104" s="116">
        <f>+Linkin!L81+Linkin!L100</f>
        <v>276304.49185726076</v>
      </c>
      <c r="D104" s="412">
        <v>601.6</v>
      </c>
      <c r="F104" s="120" t="s">
        <v>709</v>
      </c>
      <c r="G104" s="180"/>
      <c r="H104" s="181">
        <v>10</v>
      </c>
      <c r="I104" s="120"/>
      <c r="J104" s="231">
        <f t="shared" si="169"/>
        <v>276304.49185726076</v>
      </c>
      <c r="K104" s="83"/>
      <c r="L104" s="115">
        <f t="shared" si="150"/>
        <v>228006.4666806116</v>
      </c>
      <c r="M104" s="230"/>
      <c r="N104" s="115">
        <f t="shared" si="151"/>
        <v>30807.950842084574</v>
      </c>
      <c r="O104" s="230"/>
      <c r="P104" s="115">
        <f t="shared" si="152"/>
        <v>303.93494104298685</v>
      </c>
      <c r="Q104" s="230"/>
      <c r="R104" s="115">
        <f t="shared" si="153"/>
        <v>3702.4801908872942</v>
      </c>
      <c r="S104" s="230"/>
      <c r="T104" s="115">
        <f t="shared" si="154"/>
        <v>165.78269511435644</v>
      </c>
      <c r="U104" s="230"/>
      <c r="V104" s="115">
        <f t="shared" si="155"/>
        <v>13317.876507519968</v>
      </c>
      <c r="W104" s="230"/>
      <c r="X104" s="115">
        <f t="shared" si="156"/>
        <v>0</v>
      </c>
      <c r="Y104" s="116"/>
      <c r="Z104" s="116">
        <f t="shared" si="140"/>
        <v>0</v>
      </c>
      <c r="AC104" s="120" t="s">
        <v>709</v>
      </c>
      <c r="AE104" s="154">
        <f t="shared" si="158"/>
        <v>10</v>
      </c>
      <c r="AG104" s="231">
        <f t="shared" si="159"/>
        <v>276304.49185726076</v>
      </c>
      <c r="AH104" s="83"/>
      <c r="AI104" s="115">
        <f t="shared" si="160"/>
        <v>0</v>
      </c>
      <c r="AJ104" s="230"/>
      <c r="AK104" s="115">
        <f t="shared" si="161"/>
        <v>0</v>
      </c>
      <c r="AL104" s="230"/>
      <c r="AM104" s="115">
        <f t="shared" si="162"/>
        <v>0</v>
      </c>
      <c r="AN104" s="230"/>
      <c r="AO104" s="115">
        <f t="shared" si="163"/>
        <v>0</v>
      </c>
      <c r="AP104" s="230"/>
      <c r="AQ104" s="115">
        <f t="shared" si="164"/>
        <v>262986.61534974078</v>
      </c>
      <c r="AR104" s="230"/>
      <c r="AS104" s="115">
        <f t="shared" si="165"/>
        <v>0</v>
      </c>
      <c r="AT104" s="230"/>
      <c r="AU104" s="115">
        <f t="shared" si="166"/>
        <v>0</v>
      </c>
      <c r="AV104" s="230"/>
      <c r="AW104" s="115">
        <f t="shared" si="167"/>
        <v>13317.876507519968</v>
      </c>
      <c r="AX104" s="230"/>
      <c r="AY104" s="115">
        <f t="shared" si="168"/>
        <v>0</v>
      </c>
      <c r="BA104" s="99">
        <f t="shared" si="117"/>
        <v>0</v>
      </c>
      <c r="BB104" s="82"/>
      <c r="BC104" s="82"/>
      <c r="BD104" s="82"/>
    </row>
    <row r="105" spans="1:56" x14ac:dyDescent="0.2">
      <c r="A105" s="177"/>
      <c r="B105" s="177"/>
      <c r="C105" s="116">
        <f>+Linkin!L82+Linkin!L101</f>
        <v>113028.54108330935</v>
      </c>
      <c r="D105" s="412">
        <v>601.6</v>
      </c>
      <c r="F105" s="120" t="s">
        <v>713</v>
      </c>
      <c r="G105" s="180"/>
      <c r="H105" s="181">
        <v>9</v>
      </c>
      <c r="I105" s="120"/>
      <c r="J105" s="231">
        <f t="shared" si="169"/>
        <v>113028.54108330935</v>
      </c>
      <c r="K105" s="108"/>
      <c r="L105" s="115">
        <f t="shared" si="150"/>
        <v>93757.174828605101</v>
      </c>
      <c r="M105" s="230"/>
      <c r="N105" s="115">
        <f t="shared" si="151"/>
        <v>14603.287507963569</v>
      </c>
      <c r="O105" s="230"/>
      <c r="P105" s="115">
        <f t="shared" si="152"/>
        <v>440.81131022490644</v>
      </c>
      <c r="Q105" s="230"/>
      <c r="R105" s="115">
        <f t="shared" si="153"/>
        <v>2622.2621531327768</v>
      </c>
      <c r="S105" s="230"/>
      <c r="T105" s="115">
        <f t="shared" si="154"/>
        <v>259.9656444916115</v>
      </c>
      <c r="U105" s="230"/>
      <c r="V105" s="115">
        <f t="shared" si="155"/>
        <v>1345.0396388913814</v>
      </c>
      <c r="W105" s="230"/>
      <c r="X105" s="115">
        <f t="shared" si="156"/>
        <v>0</v>
      </c>
      <c r="Y105" s="116"/>
      <c r="Z105" s="116">
        <f t="shared" ref="Z105:Z108" si="170">SUM(L105:X105)-J105</f>
        <v>0</v>
      </c>
      <c r="AC105" s="120" t="s">
        <v>713</v>
      </c>
      <c r="AE105" s="154">
        <f t="shared" si="158"/>
        <v>9</v>
      </c>
      <c r="AG105" s="231">
        <f t="shared" si="159"/>
        <v>113028.54108330935</v>
      </c>
      <c r="AH105" s="108"/>
      <c r="AI105" s="115">
        <f t="shared" si="160"/>
        <v>0</v>
      </c>
      <c r="AJ105" s="230"/>
      <c r="AK105" s="115">
        <f t="shared" si="161"/>
        <v>0</v>
      </c>
      <c r="AL105" s="230"/>
      <c r="AM105" s="115">
        <f t="shared" si="162"/>
        <v>0</v>
      </c>
      <c r="AN105" s="230"/>
      <c r="AO105" s="115">
        <f t="shared" si="163"/>
        <v>111683.50144441797</v>
      </c>
      <c r="AP105" s="230"/>
      <c r="AQ105" s="115">
        <f t="shared" si="164"/>
        <v>0</v>
      </c>
      <c r="AR105" s="230"/>
      <c r="AS105" s="115">
        <f t="shared" si="165"/>
        <v>0</v>
      </c>
      <c r="AT105" s="230"/>
      <c r="AU105" s="115">
        <f t="shared" si="166"/>
        <v>0</v>
      </c>
      <c r="AV105" s="230"/>
      <c r="AW105" s="115">
        <f t="shared" si="167"/>
        <v>1345.0396388913814</v>
      </c>
      <c r="AX105" s="230"/>
      <c r="AY105" s="115">
        <f t="shared" si="168"/>
        <v>0</v>
      </c>
      <c r="BA105" s="99">
        <f t="shared" si="117"/>
        <v>0</v>
      </c>
      <c r="BB105" s="82"/>
      <c r="BC105" s="82"/>
      <c r="BD105" s="82"/>
    </row>
    <row r="106" spans="1:56" x14ac:dyDescent="0.2">
      <c r="A106" s="177"/>
      <c r="B106" s="177"/>
      <c r="C106" s="116">
        <f>+Linkin!L83+Linkin!L102</f>
        <v>86766.828511400105</v>
      </c>
      <c r="D106" s="412">
        <v>601.6</v>
      </c>
      <c r="F106" s="120" t="s">
        <v>714</v>
      </c>
      <c r="G106" s="180"/>
      <c r="H106" s="181">
        <v>8</v>
      </c>
      <c r="I106" s="120"/>
      <c r="J106" s="231">
        <f t="shared" si="169"/>
        <v>86766.828511400105</v>
      </c>
      <c r="K106" s="108"/>
      <c r="L106" s="115">
        <f t="shared" si="150"/>
        <v>0</v>
      </c>
      <c r="M106" s="230"/>
      <c r="N106" s="115">
        <f t="shared" si="151"/>
        <v>0</v>
      </c>
      <c r="O106" s="230"/>
      <c r="P106" s="115">
        <f t="shared" si="152"/>
        <v>0</v>
      </c>
      <c r="Q106" s="230"/>
      <c r="R106" s="115">
        <f t="shared" si="153"/>
        <v>0</v>
      </c>
      <c r="S106" s="230"/>
      <c r="T106" s="115">
        <f t="shared" si="154"/>
        <v>0</v>
      </c>
      <c r="U106" s="230"/>
      <c r="V106" s="115">
        <f t="shared" si="155"/>
        <v>0</v>
      </c>
      <c r="W106" s="230"/>
      <c r="X106" s="115">
        <f t="shared" si="156"/>
        <v>86766.828511400105</v>
      </c>
      <c r="Y106" s="116"/>
      <c r="Z106" s="116">
        <f t="shared" si="170"/>
        <v>0</v>
      </c>
      <c r="AC106" s="120" t="s">
        <v>714</v>
      </c>
      <c r="AE106" s="154">
        <f t="shared" si="158"/>
        <v>8</v>
      </c>
      <c r="AG106" s="231">
        <f t="shared" si="159"/>
        <v>86766.828511400105</v>
      </c>
      <c r="AH106" s="108"/>
      <c r="AI106" s="115">
        <f t="shared" si="160"/>
        <v>0</v>
      </c>
      <c r="AJ106" s="230"/>
      <c r="AK106" s="115">
        <f t="shared" si="161"/>
        <v>0</v>
      </c>
      <c r="AL106" s="230"/>
      <c r="AM106" s="115">
        <f t="shared" si="162"/>
        <v>0</v>
      </c>
      <c r="AN106" s="230"/>
      <c r="AO106" s="115">
        <f t="shared" si="163"/>
        <v>0</v>
      </c>
      <c r="AP106" s="230"/>
      <c r="AQ106" s="115">
        <f t="shared" si="164"/>
        <v>0</v>
      </c>
      <c r="AR106" s="230"/>
      <c r="AS106" s="115">
        <f t="shared" si="165"/>
        <v>0</v>
      </c>
      <c r="AT106" s="230"/>
      <c r="AU106" s="115">
        <f t="shared" si="166"/>
        <v>0</v>
      </c>
      <c r="AV106" s="230"/>
      <c r="AW106" s="115">
        <f t="shared" si="167"/>
        <v>0</v>
      </c>
      <c r="AX106" s="230"/>
      <c r="AY106" s="115">
        <f t="shared" si="168"/>
        <v>86766.828511400105</v>
      </c>
      <c r="BA106" s="99">
        <f t="shared" si="117"/>
        <v>0</v>
      </c>
      <c r="BB106" s="82"/>
      <c r="BC106" s="82"/>
      <c r="BD106" s="82"/>
    </row>
    <row r="107" spans="1:56" x14ac:dyDescent="0.2">
      <c r="A107" s="177"/>
      <c r="B107" s="177"/>
      <c r="C107" s="116">
        <f>+Linkin!L358+Linkin!L377+Linkin!L364</f>
        <v>340384.49674397346</v>
      </c>
      <c r="D107" s="412">
        <v>620.6</v>
      </c>
      <c r="F107" s="120" t="s">
        <v>655</v>
      </c>
      <c r="G107" s="180"/>
      <c r="H107" s="181">
        <v>12</v>
      </c>
      <c r="I107" s="295"/>
      <c r="J107" s="232">
        <f t="shared" si="169"/>
        <v>340384.49674397346</v>
      </c>
      <c r="K107" s="108"/>
      <c r="L107" s="167">
        <f t="shared" si="150"/>
        <v>205830.50518108075</v>
      </c>
      <c r="M107" s="458"/>
      <c r="N107" s="167">
        <f t="shared" si="151"/>
        <v>54563.634828058945</v>
      </c>
      <c r="O107" s="458"/>
      <c r="P107" s="167">
        <f t="shared" si="152"/>
        <v>5105.7674511596015</v>
      </c>
      <c r="Q107" s="458"/>
      <c r="R107" s="167">
        <f t="shared" si="153"/>
        <v>12049.611184736661</v>
      </c>
      <c r="S107" s="458"/>
      <c r="T107" s="167">
        <f t="shared" si="154"/>
        <v>884.99969153433096</v>
      </c>
      <c r="U107" s="458"/>
      <c r="V107" s="167">
        <f t="shared" si="155"/>
        <v>13547.302970410145</v>
      </c>
      <c r="W107" s="458"/>
      <c r="X107" s="167">
        <f t="shared" si="156"/>
        <v>48402.67543699302</v>
      </c>
      <c r="Y107" s="403"/>
      <c r="Z107" s="403">
        <f t="shared" si="170"/>
        <v>0</v>
      </c>
      <c r="AA107" s="84"/>
      <c r="AB107" s="84"/>
      <c r="AC107" s="120" t="s">
        <v>655</v>
      </c>
      <c r="AD107" s="84"/>
      <c r="AE107" s="457">
        <f t="shared" si="158"/>
        <v>12</v>
      </c>
      <c r="AF107" s="84"/>
      <c r="AG107" s="232">
        <f t="shared" si="159"/>
        <v>340384.49674397346</v>
      </c>
      <c r="AH107" s="108"/>
      <c r="AI107" s="167">
        <f t="shared" si="160"/>
        <v>44794.599771506902</v>
      </c>
      <c r="AJ107" s="458"/>
      <c r="AK107" s="167">
        <f t="shared" si="161"/>
        <v>9360.5736604592694</v>
      </c>
      <c r="AL107" s="458"/>
      <c r="AM107" s="167">
        <f t="shared" si="162"/>
        <v>48879.213732434589</v>
      </c>
      <c r="AN107" s="458"/>
      <c r="AO107" s="167">
        <f t="shared" si="163"/>
        <v>52283.058699874317</v>
      </c>
      <c r="AP107" s="458"/>
      <c r="AQ107" s="167">
        <f t="shared" si="164"/>
        <v>123117.07247229521</v>
      </c>
      <c r="AR107" s="458"/>
      <c r="AS107" s="167">
        <f t="shared" si="165"/>
        <v>0</v>
      </c>
      <c r="AT107" s="458"/>
      <c r="AU107" s="167">
        <f t="shared" si="166"/>
        <v>0</v>
      </c>
      <c r="AV107" s="458"/>
      <c r="AW107" s="167">
        <f t="shared" si="167"/>
        <v>13547.302970410145</v>
      </c>
      <c r="AX107" s="458"/>
      <c r="AY107" s="167">
        <f t="shared" si="168"/>
        <v>48402.67543699302</v>
      </c>
      <c r="AZ107" s="84"/>
      <c r="BA107" s="99">
        <f t="shared" si="117"/>
        <v>0</v>
      </c>
      <c r="BB107" s="297"/>
      <c r="BC107" s="297"/>
      <c r="BD107" s="82"/>
    </row>
    <row r="108" spans="1:56" x14ac:dyDescent="0.2">
      <c r="A108" s="177"/>
      <c r="B108" s="177"/>
      <c r="C108" s="116">
        <f>+Linkin!L362</f>
        <v>162393.58505655202</v>
      </c>
      <c r="D108" s="412">
        <v>675.6</v>
      </c>
      <c r="F108" s="120" t="s">
        <v>676</v>
      </c>
      <c r="G108" s="180"/>
      <c r="H108" s="181">
        <v>12</v>
      </c>
      <c r="I108" s="295"/>
      <c r="J108" s="232">
        <f t="shared" si="169"/>
        <v>162393.58505655202</v>
      </c>
      <c r="K108" s="108"/>
      <c r="L108" s="167">
        <f t="shared" si="150"/>
        <v>98199.400883697017</v>
      </c>
      <c r="M108" s="108"/>
      <c r="N108" s="167">
        <f t="shared" si="151"/>
        <v>26031.691684565289</v>
      </c>
      <c r="O108" s="108"/>
      <c r="P108" s="167">
        <f t="shared" si="152"/>
        <v>2435.9037758482805</v>
      </c>
      <c r="Q108" s="108"/>
      <c r="R108" s="167">
        <f t="shared" si="153"/>
        <v>5748.7329110019418</v>
      </c>
      <c r="S108" s="108"/>
      <c r="T108" s="167">
        <f t="shared" si="154"/>
        <v>422.22332114703522</v>
      </c>
      <c r="U108" s="108"/>
      <c r="V108" s="167">
        <f t="shared" si="155"/>
        <v>6463.2646852507705</v>
      </c>
      <c r="W108" s="108"/>
      <c r="X108" s="167">
        <f t="shared" si="156"/>
        <v>23092.367795041697</v>
      </c>
      <c r="Y108" s="108"/>
      <c r="Z108" s="403">
        <f t="shared" si="170"/>
        <v>0</v>
      </c>
      <c r="AA108" s="84"/>
      <c r="AB108" s="84"/>
      <c r="AC108" s="120" t="s">
        <v>676</v>
      </c>
      <c r="AD108" s="84"/>
      <c r="AE108" s="457">
        <f t="shared" si="158"/>
        <v>12</v>
      </c>
      <c r="AF108" s="84"/>
      <c r="AG108" s="232">
        <f t="shared" si="159"/>
        <v>162393.58505655202</v>
      </c>
      <c r="AH108" s="108"/>
      <c r="AI108" s="167">
        <f t="shared" si="160"/>
        <v>21370.995793442245</v>
      </c>
      <c r="AJ108" s="108"/>
      <c r="AK108" s="167">
        <f t="shared" si="161"/>
        <v>4465.8235890551805</v>
      </c>
      <c r="AL108" s="108"/>
      <c r="AM108" s="167">
        <f t="shared" si="162"/>
        <v>23319.718814120872</v>
      </c>
      <c r="AN108" s="108"/>
      <c r="AO108" s="167">
        <f t="shared" si="163"/>
        <v>24943.65466468639</v>
      </c>
      <c r="AP108" s="108"/>
      <c r="AQ108" s="167">
        <f t="shared" si="164"/>
        <v>58737.759714954867</v>
      </c>
      <c r="AR108" s="108"/>
      <c r="AS108" s="167">
        <f t="shared" si="165"/>
        <v>0</v>
      </c>
      <c r="AT108" s="108"/>
      <c r="AU108" s="167">
        <f t="shared" si="166"/>
        <v>0</v>
      </c>
      <c r="AV108" s="108"/>
      <c r="AW108" s="167">
        <f t="shared" si="167"/>
        <v>6463.2646852507705</v>
      </c>
      <c r="AX108" s="108"/>
      <c r="AY108" s="167">
        <f t="shared" si="168"/>
        <v>23092.367795041697</v>
      </c>
      <c r="AZ108" s="84"/>
      <c r="BA108" s="99">
        <f t="shared" si="117"/>
        <v>0</v>
      </c>
      <c r="BB108" s="297"/>
      <c r="BC108" s="297"/>
      <c r="BD108" s="82"/>
    </row>
    <row r="109" spans="1:56" s="399" customFormat="1" x14ac:dyDescent="0.2">
      <c r="A109" s="177"/>
      <c r="B109" s="177"/>
      <c r="C109" s="116">
        <f>+Linkin!L369</f>
        <v>163965.61521763966</v>
      </c>
      <c r="D109" s="412">
        <v>675.6</v>
      </c>
      <c r="E109" s="116"/>
      <c r="F109" s="120" t="s">
        <v>679</v>
      </c>
      <c r="G109" s="180"/>
      <c r="H109" s="181">
        <v>12</v>
      </c>
      <c r="I109" s="120"/>
      <c r="J109" s="232">
        <f t="shared" ref="J109:J110" si="171">+C109</f>
        <v>163965.61521763966</v>
      </c>
      <c r="K109" s="108"/>
      <c r="L109" s="167">
        <f t="shared" si="150"/>
        <v>99150.007522106709</v>
      </c>
      <c r="M109" s="108"/>
      <c r="N109" s="167">
        <f t="shared" si="151"/>
        <v>26283.688119387636</v>
      </c>
      <c r="O109" s="108"/>
      <c r="P109" s="167">
        <f t="shared" si="152"/>
        <v>2459.4842282645945</v>
      </c>
      <c r="Q109" s="108"/>
      <c r="R109" s="167">
        <f t="shared" si="153"/>
        <v>5804.3827787044438</v>
      </c>
      <c r="S109" s="108"/>
      <c r="T109" s="167">
        <f t="shared" si="154"/>
        <v>426.31059956586307</v>
      </c>
      <c r="U109" s="108"/>
      <c r="V109" s="167">
        <f t="shared" si="155"/>
        <v>6525.8314856620591</v>
      </c>
      <c r="W109" s="108"/>
      <c r="X109" s="167">
        <f t="shared" si="156"/>
        <v>23315.910483948359</v>
      </c>
      <c r="Y109" s="108"/>
      <c r="Z109" s="403">
        <f t="shared" ref="Z109" si="172">SUM(L109:X109)-J109</f>
        <v>0</v>
      </c>
      <c r="AC109" s="120" t="s">
        <v>679</v>
      </c>
      <c r="AE109" s="154">
        <f t="shared" si="158"/>
        <v>12</v>
      </c>
      <c r="AG109" s="232">
        <f t="shared" si="159"/>
        <v>163965.61521763966</v>
      </c>
      <c r="AH109" s="108"/>
      <c r="AI109" s="167">
        <f t="shared" si="160"/>
        <v>21577.874962641377</v>
      </c>
      <c r="AJ109" s="108"/>
      <c r="AK109" s="167">
        <f t="shared" si="161"/>
        <v>4509.0544184850905</v>
      </c>
      <c r="AL109" s="108"/>
      <c r="AM109" s="167">
        <f t="shared" si="162"/>
        <v>23545.462345253054</v>
      </c>
      <c r="AN109" s="108"/>
      <c r="AO109" s="167">
        <f t="shared" si="163"/>
        <v>25185.118497429448</v>
      </c>
      <c r="AP109" s="108"/>
      <c r="AQ109" s="167">
        <f t="shared" si="164"/>
        <v>59306.363024220271</v>
      </c>
      <c r="AR109" s="108"/>
      <c r="AS109" s="167">
        <f t="shared" si="165"/>
        <v>0</v>
      </c>
      <c r="AT109" s="108"/>
      <c r="AU109" s="167">
        <f t="shared" si="166"/>
        <v>0</v>
      </c>
      <c r="AV109" s="108"/>
      <c r="AW109" s="167">
        <f t="shared" si="167"/>
        <v>6525.8314856620591</v>
      </c>
      <c r="AX109" s="108"/>
      <c r="AY109" s="167">
        <f t="shared" si="168"/>
        <v>23315.910483948359</v>
      </c>
      <c r="BA109" s="99">
        <f t="shared" si="117"/>
        <v>0</v>
      </c>
      <c r="BB109" s="82"/>
      <c r="BC109" s="82"/>
      <c r="BD109" s="82"/>
    </row>
    <row r="110" spans="1:56" s="399" customFormat="1" x14ac:dyDescent="0.2">
      <c r="A110" s="177"/>
      <c r="B110" s="177"/>
      <c r="C110" s="116">
        <f>+Linkin!L370</f>
        <v>147412.15811721695</v>
      </c>
      <c r="D110" s="412">
        <v>675.6</v>
      </c>
      <c r="E110" s="116"/>
      <c r="F110" s="120" t="s">
        <v>680</v>
      </c>
      <c r="G110" s="180"/>
      <c r="H110" s="181">
        <v>7</v>
      </c>
      <c r="I110" s="120"/>
      <c r="J110" s="305">
        <f t="shared" si="171"/>
        <v>147412.15811721695</v>
      </c>
      <c r="K110" s="108"/>
      <c r="L110" s="304">
        <f t="shared" si="150"/>
        <v>69195.26702022164</v>
      </c>
      <c r="M110" s="108"/>
      <c r="N110" s="304">
        <f t="shared" si="151"/>
        <v>41791.346826231005</v>
      </c>
      <c r="O110" s="108"/>
      <c r="P110" s="304">
        <f t="shared" si="152"/>
        <v>5955.4511879355659</v>
      </c>
      <c r="Q110" s="108"/>
      <c r="R110" s="304">
        <f t="shared" si="153"/>
        <v>11409.701038272591</v>
      </c>
      <c r="S110" s="108"/>
      <c r="T110" s="304">
        <f t="shared" si="154"/>
        <v>869.73173289158001</v>
      </c>
      <c r="U110" s="108"/>
      <c r="V110" s="304">
        <f t="shared" si="155"/>
        <v>8402.493012681367</v>
      </c>
      <c r="W110" s="108"/>
      <c r="X110" s="304">
        <f t="shared" si="156"/>
        <v>9788.1672989832059</v>
      </c>
      <c r="Y110" s="108"/>
      <c r="Z110" s="403">
        <f t="shared" ref="Z110" si="173">SUM(L110:X110)-J110</f>
        <v>0</v>
      </c>
      <c r="AC110" s="120" t="s">
        <v>680</v>
      </c>
      <c r="AE110" s="154">
        <f t="shared" si="158"/>
        <v>7</v>
      </c>
      <c r="AG110" s="305">
        <f t="shared" si="159"/>
        <v>147412.15811721695</v>
      </c>
      <c r="AH110" s="108"/>
      <c r="AI110" s="304">
        <f t="shared" si="160"/>
        <v>56193.514674283098</v>
      </c>
      <c r="AJ110" s="108"/>
      <c r="AK110" s="304">
        <f t="shared" si="161"/>
        <v>11734.007786130471</v>
      </c>
      <c r="AL110" s="108"/>
      <c r="AM110" s="304">
        <f t="shared" si="162"/>
        <v>61293.97534513881</v>
      </c>
      <c r="AN110" s="108"/>
      <c r="AO110" s="304">
        <f t="shared" si="163"/>
        <v>0</v>
      </c>
      <c r="AP110" s="108"/>
      <c r="AQ110" s="304">
        <f t="shared" si="164"/>
        <v>0</v>
      </c>
      <c r="AR110" s="108"/>
      <c r="AS110" s="304">
        <f t="shared" si="165"/>
        <v>0</v>
      </c>
      <c r="AT110" s="108"/>
      <c r="AU110" s="304">
        <f t="shared" si="166"/>
        <v>0</v>
      </c>
      <c r="AV110" s="108"/>
      <c r="AW110" s="304">
        <f t="shared" si="167"/>
        <v>8402.493012681367</v>
      </c>
      <c r="AX110" s="108"/>
      <c r="AY110" s="304">
        <f t="shared" si="168"/>
        <v>9788.1672989832059</v>
      </c>
      <c r="BA110" s="99">
        <f t="shared" si="117"/>
        <v>0</v>
      </c>
      <c r="BB110" s="82"/>
      <c r="BC110" s="82"/>
      <c r="BD110" s="82"/>
    </row>
    <row r="111" spans="1:56" x14ac:dyDescent="0.2">
      <c r="A111" s="177"/>
      <c r="B111" s="177"/>
      <c r="F111" s="120"/>
      <c r="G111" s="180"/>
      <c r="H111" s="181"/>
      <c r="I111" s="120"/>
      <c r="J111" s="231"/>
      <c r="K111" s="108"/>
      <c r="L111" s="83"/>
      <c r="M111" s="108"/>
      <c r="N111" s="83"/>
      <c r="O111" s="108"/>
      <c r="P111" s="83"/>
      <c r="Q111" s="108"/>
      <c r="R111" s="83"/>
      <c r="S111" s="108"/>
      <c r="T111" s="83"/>
      <c r="U111" s="108"/>
      <c r="V111" s="83"/>
      <c r="W111" s="108"/>
      <c r="X111" s="83"/>
      <c r="Y111" s="108"/>
      <c r="Z111" s="99">
        <f t="shared" ref="Z111:Z130" si="174">SUM(L111:X111)-J111</f>
        <v>0</v>
      </c>
      <c r="AC111" s="120"/>
      <c r="AE111" s="154"/>
      <c r="AG111" s="231"/>
      <c r="AH111" s="108"/>
      <c r="AI111" s="83"/>
      <c r="AJ111" s="108"/>
      <c r="AK111" s="83"/>
      <c r="AL111" s="108"/>
      <c r="AM111" s="83"/>
      <c r="AN111" s="108"/>
      <c r="AO111" s="83"/>
      <c r="AP111" s="108"/>
      <c r="AQ111" s="83"/>
      <c r="AR111" s="108"/>
      <c r="AS111" s="83"/>
      <c r="AT111" s="108"/>
      <c r="AU111" s="83"/>
      <c r="AV111" s="108"/>
      <c r="AW111" s="83"/>
      <c r="AX111" s="108"/>
      <c r="AY111" s="83"/>
      <c r="BA111" s="99">
        <f t="shared" si="117"/>
        <v>0</v>
      </c>
      <c r="BB111" s="82"/>
      <c r="BC111" s="82"/>
      <c r="BD111" s="82"/>
    </row>
    <row r="112" spans="1:56" x14ac:dyDescent="0.2">
      <c r="A112" s="177"/>
      <c r="B112" s="177"/>
      <c r="F112" s="120" t="s">
        <v>100</v>
      </c>
      <c r="G112" s="180"/>
      <c r="H112" s="181"/>
      <c r="I112" s="120"/>
      <c r="J112" s="305">
        <f>SUM(J100:J111)</f>
        <v>2026987.2986513383</v>
      </c>
      <c r="K112" s="120"/>
      <c r="L112" s="305">
        <f>SUM(L100:L111)</f>
        <v>1225617.372730654</v>
      </c>
      <c r="M112" s="120"/>
      <c r="N112" s="305">
        <f>SUM(N100:N111)</f>
        <v>324948.61672772717</v>
      </c>
      <c r="O112" s="120"/>
      <c r="P112" s="305">
        <f>SUM(P100:P111)</f>
        <v>30384.884950032418</v>
      </c>
      <c r="Q112" s="120"/>
      <c r="R112" s="305">
        <f>SUM(R100:R111)</f>
        <v>71770.517459952811</v>
      </c>
      <c r="S112" s="120"/>
      <c r="T112" s="305">
        <f>SUM(T100:T111)</f>
        <v>5286.5410922516548</v>
      </c>
      <c r="U112" s="120"/>
      <c r="V112" s="305">
        <f>SUM(V100:V111)</f>
        <v>80706.402557234105</v>
      </c>
      <c r="W112" s="120"/>
      <c r="X112" s="305">
        <f>SUM(X100:X111)</f>
        <v>288272.96313348605</v>
      </c>
      <c r="Y112" s="120"/>
      <c r="Z112" s="99">
        <f t="shared" si="174"/>
        <v>0</v>
      </c>
      <c r="AC112" s="120" t="s">
        <v>100</v>
      </c>
      <c r="AD112" s="180"/>
      <c r="AE112" s="181"/>
      <c r="AF112" s="120"/>
      <c r="AG112" s="305">
        <f>SUM(AG100:AG111)</f>
        <v>2026987.2986513383</v>
      </c>
      <c r="AH112" s="120"/>
      <c r="AI112" s="305">
        <f>SUM(AI100:AI111)</f>
        <v>266760.41092194035</v>
      </c>
      <c r="AJ112" s="120"/>
      <c r="AK112" s="305">
        <f>SUM(AK100:AK111)</f>
        <v>55729.431847168657</v>
      </c>
      <c r="AL112" s="120"/>
      <c r="AM112" s="305">
        <f>SUM(AM100:AM111)</f>
        <v>291044.92998650181</v>
      </c>
      <c r="AN112" s="120"/>
      <c r="AO112" s="305">
        <f>SUM(AO100:AO111)</f>
        <v>311337.58152962336</v>
      </c>
      <c r="AP112" s="120"/>
      <c r="AQ112" s="305">
        <f>SUM(AQ100:AQ111)</f>
        <v>733135.57867538382</v>
      </c>
      <c r="AR112" s="120"/>
      <c r="AS112" s="305">
        <f>SUM(AS100:AS111)</f>
        <v>0</v>
      </c>
      <c r="AT112" s="120"/>
      <c r="AU112" s="305">
        <f>SUM(AU100:AU111)</f>
        <v>0</v>
      </c>
      <c r="AV112" s="120"/>
      <c r="AW112" s="305">
        <f>SUM(AW100:AW111)</f>
        <v>80706.402557234105</v>
      </c>
      <c r="AX112" s="120"/>
      <c r="AY112" s="305">
        <f>SUM(AY100:AY111)</f>
        <v>288272.96313348605</v>
      </c>
      <c r="BA112" s="99">
        <f t="shared" si="117"/>
        <v>0</v>
      </c>
      <c r="BB112" s="82"/>
      <c r="BC112" s="82"/>
      <c r="BD112" s="82"/>
    </row>
    <row r="113" spans="1:56" x14ac:dyDescent="0.2">
      <c r="A113" s="177"/>
      <c r="B113" s="177"/>
      <c r="F113" s="120"/>
      <c r="G113" s="180"/>
      <c r="H113" s="181"/>
      <c r="I113" s="120"/>
      <c r="J113" s="231"/>
      <c r="K113" s="120"/>
      <c r="L113" s="231"/>
      <c r="M113" s="120"/>
      <c r="N113" s="231"/>
      <c r="O113" s="120"/>
      <c r="P113" s="231"/>
      <c r="Q113" s="120"/>
      <c r="R113" s="231"/>
      <c r="S113" s="120"/>
      <c r="T113" s="231"/>
      <c r="U113" s="120"/>
      <c r="V113" s="231"/>
      <c r="W113" s="120"/>
      <c r="X113" s="231"/>
      <c r="Y113" s="120"/>
      <c r="Z113" s="99">
        <f t="shared" si="174"/>
        <v>0</v>
      </c>
      <c r="AC113" s="120"/>
      <c r="AD113" s="180"/>
      <c r="AE113" s="181"/>
      <c r="AF113" s="120"/>
      <c r="AG113" s="231"/>
      <c r="AH113" s="120"/>
      <c r="AI113" s="231"/>
      <c r="AJ113" s="120"/>
      <c r="AK113" s="231"/>
      <c r="AL113" s="120"/>
      <c r="AM113" s="231"/>
      <c r="AN113" s="120"/>
      <c r="AO113" s="231"/>
      <c r="AP113" s="120"/>
      <c r="AQ113" s="231"/>
      <c r="AR113" s="120"/>
      <c r="AS113" s="231"/>
      <c r="AT113" s="120"/>
      <c r="AU113" s="231"/>
      <c r="AV113" s="120"/>
      <c r="AW113" s="231"/>
      <c r="AX113" s="120"/>
      <c r="AY113" s="231"/>
      <c r="BA113" s="99">
        <f t="shared" si="117"/>
        <v>0</v>
      </c>
      <c r="BB113" s="82"/>
      <c r="BC113" s="82"/>
      <c r="BD113" s="82"/>
    </row>
    <row r="114" spans="1:56" x14ac:dyDescent="0.2">
      <c r="A114" s="177"/>
      <c r="B114" s="177"/>
      <c r="F114" s="120" t="s">
        <v>104</v>
      </c>
      <c r="G114" s="180"/>
      <c r="H114" s="181"/>
      <c r="I114" s="120"/>
      <c r="J114" s="231">
        <f>J112+J96</f>
        <v>3648315.4596437244</v>
      </c>
      <c r="K114" s="120"/>
      <c r="L114" s="231">
        <f>L112+L96</f>
        <v>2521975.6471470846</v>
      </c>
      <c r="M114" s="120"/>
      <c r="N114" s="231">
        <f>N112+N96</f>
        <v>555212.53270849446</v>
      </c>
      <c r="O114" s="120"/>
      <c r="P114" s="231">
        <f>P112+P96</f>
        <v>41607.164596095863</v>
      </c>
      <c r="Q114" s="120"/>
      <c r="R114" s="231">
        <f>R112+R96</f>
        <v>116690.04128687739</v>
      </c>
      <c r="S114" s="120"/>
      <c r="T114" s="231">
        <f>T112+T96</f>
        <v>9501.5113684090502</v>
      </c>
      <c r="U114" s="120"/>
      <c r="V114" s="231">
        <f>V112+V96</f>
        <v>106115.19265468157</v>
      </c>
      <c r="W114" s="120"/>
      <c r="X114" s="231">
        <f>X112+X96</f>
        <v>297213.36988208123</v>
      </c>
      <c r="Y114" s="120"/>
      <c r="Z114" s="99">
        <f t="shared" si="174"/>
        <v>0</v>
      </c>
      <c r="AC114" s="120" t="s">
        <v>104</v>
      </c>
      <c r="AD114" s="180"/>
      <c r="AE114" s="181"/>
      <c r="AF114" s="120"/>
      <c r="AG114" s="231">
        <f>AG112+AG96</f>
        <v>3648315.4596437244</v>
      </c>
      <c r="AH114" s="120"/>
      <c r="AI114" s="231">
        <f>AI112+AI96</f>
        <v>318169.3943244993</v>
      </c>
      <c r="AJ114" s="120"/>
      <c r="AK114" s="231">
        <f>AK112+AK96</f>
        <v>66451.528783971851</v>
      </c>
      <c r="AL114" s="120"/>
      <c r="AM114" s="231">
        <f>AM112+AM96</f>
        <v>347135.11870874057</v>
      </c>
      <c r="AN114" s="120"/>
      <c r="AO114" s="231">
        <f>AO112+AO96</f>
        <v>1780095.2766143656</v>
      </c>
      <c r="AP114" s="120"/>
      <c r="AQ114" s="231">
        <f>AQ112+AQ96</f>
        <v>733135.57867538382</v>
      </c>
      <c r="AR114" s="120"/>
      <c r="AS114" s="231">
        <f>AS112+AS96</f>
        <v>0</v>
      </c>
      <c r="AT114" s="120"/>
      <c r="AU114" s="231">
        <f>AU112+AU96</f>
        <v>0</v>
      </c>
      <c r="AV114" s="120"/>
      <c r="AW114" s="231">
        <f>AW112+AW96</f>
        <v>106115.19265468157</v>
      </c>
      <c r="AX114" s="120"/>
      <c r="AY114" s="231">
        <f>AY112+AY96</f>
        <v>297213.36988208123</v>
      </c>
      <c r="BA114" s="99">
        <f t="shared" si="117"/>
        <v>0</v>
      </c>
      <c r="BB114" s="82"/>
      <c r="BC114" s="82"/>
      <c r="BD114" s="82"/>
    </row>
    <row r="115" spans="1:56" x14ac:dyDescent="0.2">
      <c r="A115" s="177"/>
      <c r="B115" s="177"/>
      <c r="F115" s="120"/>
      <c r="G115" s="180"/>
      <c r="H115" s="181"/>
      <c r="I115" s="120"/>
      <c r="J115" s="231"/>
      <c r="K115" s="108"/>
      <c r="L115" s="83"/>
      <c r="M115" s="109"/>
      <c r="N115" s="83"/>
      <c r="O115" s="109"/>
      <c r="P115" s="83"/>
      <c r="Q115" s="109"/>
      <c r="R115" s="83"/>
      <c r="S115" s="109"/>
      <c r="T115" s="83"/>
      <c r="U115" s="109"/>
      <c r="V115" s="83"/>
      <c r="W115" s="109"/>
      <c r="X115" s="83"/>
      <c r="Z115" s="99">
        <f t="shared" si="174"/>
        <v>0</v>
      </c>
      <c r="AC115" s="120"/>
      <c r="AE115" s="154"/>
      <c r="AG115" s="231"/>
      <c r="AH115" s="108"/>
      <c r="AI115" s="83"/>
      <c r="AJ115" s="109"/>
      <c r="AK115" s="83"/>
      <c r="AL115" s="109"/>
      <c r="AM115" s="83"/>
      <c r="AN115" s="109"/>
      <c r="AO115" s="83"/>
      <c r="AP115" s="109"/>
      <c r="AQ115" s="83"/>
      <c r="AR115" s="109"/>
      <c r="AS115" s="83"/>
      <c r="AT115" s="109"/>
      <c r="AU115" s="83"/>
      <c r="AV115" s="109"/>
      <c r="AW115" s="83"/>
      <c r="AX115" s="109"/>
      <c r="AY115" s="83"/>
      <c r="BA115" s="99">
        <f t="shared" si="117"/>
        <v>0</v>
      </c>
      <c r="BB115" s="82"/>
      <c r="BC115" s="82"/>
      <c r="BD115" s="82"/>
    </row>
    <row r="116" spans="1:56" x14ac:dyDescent="0.2">
      <c r="A116" s="177"/>
      <c r="B116" s="177"/>
      <c r="F116" s="307" t="s">
        <v>423</v>
      </c>
      <c r="G116" s="180"/>
      <c r="H116" s="181"/>
      <c r="I116" s="120"/>
      <c r="J116" s="231"/>
      <c r="K116" s="108"/>
      <c r="L116" s="83"/>
      <c r="M116" s="109"/>
      <c r="N116" s="83"/>
      <c r="O116" s="109"/>
      <c r="P116" s="83"/>
      <c r="Q116" s="109"/>
      <c r="R116" s="83"/>
      <c r="S116" s="109"/>
      <c r="T116" s="83"/>
      <c r="U116" s="109"/>
      <c r="V116" s="83"/>
      <c r="W116" s="109"/>
      <c r="X116" s="83"/>
      <c r="Z116" s="99">
        <f t="shared" si="174"/>
        <v>0</v>
      </c>
      <c r="AC116" s="120" t="s">
        <v>423</v>
      </c>
      <c r="AE116" s="154"/>
      <c r="AG116" s="231"/>
      <c r="AH116" s="108"/>
      <c r="AI116" s="83"/>
      <c r="AJ116" s="109"/>
      <c r="AK116" s="83"/>
      <c r="AL116" s="109"/>
      <c r="AM116" s="83"/>
      <c r="AN116" s="109"/>
      <c r="AO116" s="83"/>
      <c r="AP116" s="109"/>
      <c r="AQ116" s="83"/>
      <c r="AR116" s="109"/>
      <c r="AS116" s="83"/>
      <c r="AT116" s="109"/>
      <c r="AU116" s="83"/>
      <c r="AV116" s="109"/>
      <c r="AW116" s="83"/>
      <c r="AX116" s="109"/>
      <c r="AY116" s="83"/>
      <c r="BA116" s="99">
        <f t="shared" si="117"/>
        <v>0</v>
      </c>
      <c r="BB116" s="82"/>
      <c r="BC116" s="82"/>
      <c r="BD116" s="82"/>
    </row>
    <row r="117" spans="1:56" x14ac:dyDescent="0.2">
      <c r="A117" s="177"/>
      <c r="B117" s="177"/>
      <c r="C117" s="116">
        <f>+Linkin!L71+Linkin!L93</f>
        <v>300523.57334079256</v>
      </c>
      <c r="D117" s="412">
        <v>601.70000000000005</v>
      </c>
      <c r="F117" s="120" t="s">
        <v>715</v>
      </c>
      <c r="G117" s="180"/>
      <c r="H117" s="181">
        <v>14</v>
      </c>
      <c r="I117" s="120"/>
      <c r="J117" s="231">
        <f t="shared" ref="J117:J129" si="175">+C117</f>
        <v>300523.57334079256</v>
      </c>
      <c r="K117" s="108"/>
      <c r="L117" s="115">
        <f t="shared" ref="L117:L130" si="176">(VLOOKUP($H117,Factors,L$381))*$J117</f>
        <v>273175.92816678045</v>
      </c>
      <c r="M117" s="230"/>
      <c r="N117" s="115">
        <f t="shared" ref="N117:N130" si="177">(VLOOKUP($H117,Factors,N$381))*$J117</f>
        <v>21397.27842186443</v>
      </c>
      <c r="O117" s="230"/>
      <c r="P117" s="115">
        <f t="shared" ref="P117:P130" si="178">(VLOOKUP($H117,Factors,P$381))*$J117</f>
        <v>120.20942933631703</v>
      </c>
      <c r="Q117" s="230"/>
      <c r="R117" s="115">
        <f t="shared" ref="R117:R130" si="179">(VLOOKUP($H117,Factors,R$381))*$J117</f>
        <v>1803.1414400447554</v>
      </c>
      <c r="S117" s="230"/>
      <c r="T117" s="115">
        <f t="shared" ref="T117:T130" si="180">(VLOOKUP($H117,Factors,T$381))*$J117</f>
        <v>60.104714668158515</v>
      </c>
      <c r="U117" s="230"/>
      <c r="V117" s="115">
        <f t="shared" ref="V117:V130" si="181">(VLOOKUP($H117,Factors,V$381))*$J117</f>
        <v>3966.9111680984615</v>
      </c>
      <c r="W117" s="230"/>
      <c r="X117" s="115">
        <f t="shared" ref="X117:X130" si="182">(VLOOKUP($H117,Factors,X$381))*$J117</f>
        <v>0</v>
      </c>
      <c r="Y117" s="116"/>
      <c r="Z117" s="116">
        <f t="shared" si="174"/>
        <v>0</v>
      </c>
      <c r="AC117" s="120" t="s">
        <v>715</v>
      </c>
      <c r="AE117" s="154">
        <f t="shared" ref="AE117:AE130" si="183">+H117</f>
        <v>14</v>
      </c>
      <c r="AG117" s="231">
        <f t="shared" ref="AG117:AG130" si="184">+J117</f>
        <v>300523.57334079256</v>
      </c>
      <c r="AH117" s="108"/>
      <c r="AI117" s="115">
        <f t="shared" ref="AI117:AI130" si="185">(VLOOKUP($AE117,func,AI$381))*$AG117</f>
        <v>0</v>
      </c>
      <c r="AJ117" s="230"/>
      <c r="AK117" s="115">
        <f t="shared" ref="AK117:AK130" si="186">(VLOOKUP($AE117,func,AK$381))*$AG117</f>
        <v>0</v>
      </c>
      <c r="AL117" s="230"/>
      <c r="AM117" s="115">
        <f t="shared" ref="AM117:AM130" si="187">(VLOOKUP($AE117,func,AM$381))*$AG117</f>
        <v>0</v>
      </c>
      <c r="AN117" s="230"/>
      <c r="AO117" s="115">
        <f t="shared" ref="AO117:AO130" si="188">(VLOOKUP($AE117,func,AO$381))*$AG117</f>
        <v>0</v>
      </c>
      <c r="AP117" s="230"/>
      <c r="AQ117" s="115">
        <f t="shared" ref="AQ117:AQ130" si="189">(VLOOKUP($AE117,func,AQ$381))*$AG117</f>
        <v>0</v>
      </c>
      <c r="AR117" s="230"/>
      <c r="AS117" s="115">
        <f t="shared" ref="AS117:AS130" si="190">(VLOOKUP($AE117,func,AS$381))*$AG117</f>
        <v>300523.57334079256</v>
      </c>
      <c r="AT117" s="230"/>
      <c r="AU117" s="115">
        <f t="shared" ref="AU117:AU130" si="191">(VLOOKUP($AE117,func,AU$381))*$AG117</f>
        <v>0</v>
      </c>
      <c r="AV117" s="230"/>
      <c r="AW117" s="115">
        <f t="shared" ref="AW117:AW130" si="192">(VLOOKUP($AE117,func,AW$381))*$AG117</f>
        <v>0</v>
      </c>
      <c r="AX117" s="230"/>
      <c r="AY117" s="115">
        <f t="shared" ref="AY117:AY130" si="193">(VLOOKUP($AE117,func,AY$381))*$AG117</f>
        <v>0</v>
      </c>
      <c r="BA117" s="99">
        <f t="shared" si="117"/>
        <v>0</v>
      </c>
      <c r="BB117" s="82"/>
      <c r="BC117" s="82"/>
      <c r="BD117" s="82"/>
    </row>
    <row r="118" spans="1:56" s="392" customFormat="1" x14ac:dyDescent="0.2">
      <c r="A118" s="177"/>
      <c r="B118" s="177"/>
      <c r="C118" s="116">
        <f>+Linkin!L167</f>
        <v>34286.040456056035</v>
      </c>
      <c r="D118" s="412">
        <v>636.70000000000005</v>
      </c>
      <c r="E118" s="116"/>
      <c r="F118" s="120" t="s">
        <v>650</v>
      </c>
      <c r="G118" s="180"/>
      <c r="H118" s="181">
        <v>13</v>
      </c>
      <c r="I118" s="120"/>
      <c r="J118" s="231">
        <f t="shared" ref="J118" si="194">+C118</f>
        <v>34286.040456056035</v>
      </c>
      <c r="K118" s="108"/>
      <c r="L118" s="115">
        <f t="shared" si="176"/>
        <v>30884.865242815278</v>
      </c>
      <c r="M118" s="230"/>
      <c r="N118" s="115">
        <f t="shared" si="177"/>
        <v>2417.1658521519503</v>
      </c>
      <c r="O118" s="230"/>
      <c r="P118" s="115">
        <f t="shared" si="178"/>
        <v>13.714416182422415</v>
      </c>
      <c r="Q118" s="230"/>
      <c r="R118" s="115">
        <f t="shared" si="179"/>
        <v>202.2876386907306</v>
      </c>
      <c r="S118" s="230"/>
      <c r="T118" s="115">
        <f t="shared" si="180"/>
        <v>6.8572080912112074</v>
      </c>
      <c r="U118" s="230"/>
      <c r="V118" s="115">
        <f t="shared" si="181"/>
        <v>750.86428598762711</v>
      </c>
      <c r="W118" s="230"/>
      <c r="X118" s="115">
        <f t="shared" si="182"/>
        <v>10.28581213681681</v>
      </c>
      <c r="Y118" s="116"/>
      <c r="Z118" s="116">
        <f t="shared" ref="Z118:Z129" si="195">SUM(L118:X118)-J118</f>
        <v>0</v>
      </c>
      <c r="AC118" s="120" t="s">
        <v>650</v>
      </c>
      <c r="AE118" s="154">
        <f t="shared" si="183"/>
        <v>13</v>
      </c>
      <c r="AG118" s="231">
        <f t="shared" si="184"/>
        <v>34286.040456056035</v>
      </c>
      <c r="AH118" s="108"/>
      <c r="AI118" s="115">
        <f t="shared" si="185"/>
        <v>0</v>
      </c>
      <c r="AJ118" s="230"/>
      <c r="AK118" s="115">
        <f t="shared" si="186"/>
        <v>0</v>
      </c>
      <c r="AL118" s="230"/>
      <c r="AM118" s="115">
        <f t="shared" si="187"/>
        <v>0</v>
      </c>
      <c r="AN118" s="230"/>
      <c r="AO118" s="115">
        <f t="shared" si="188"/>
        <v>0</v>
      </c>
      <c r="AP118" s="230"/>
      <c r="AQ118" s="115">
        <f t="shared" si="189"/>
        <v>0</v>
      </c>
      <c r="AR118" s="230"/>
      <c r="AS118" s="115">
        <f t="shared" si="190"/>
        <v>33524.890357931588</v>
      </c>
      <c r="AT118" s="230"/>
      <c r="AU118" s="115">
        <f t="shared" si="191"/>
        <v>0</v>
      </c>
      <c r="AV118" s="230"/>
      <c r="AW118" s="115">
        <f t="shared" si="192"/>
        <v>750.86428598762711</v>
      </c>
      <c r="AX118" s="230"/>
      <c r="AY118" s="115">
        <f t="shared" si="193"/>
        <v>10.28581213681681</v>
      </c>
      <c r="BA118" s="99">
        <f t="shared" si="117"/>
        <v>0</v>
      </c>
      <c r="BB118" s="82"/>
      <c r="BC118" s="82"/>
      <c r="BD118" s="82"/>
    </row>
    <row r="119" spans="1:56" x14ac:dyDescent="0.2">
      <c r="A119" s="177"/>
      <c r="B119" s="177"/>
      <c r="C119" s="116">
        <f>+Linkin!L70+Linkin!L73+Linkin!L92+Linkin!L94</f>
        <v>295424.45137875318</v>
      </c>
      <c r="D119" s="412">
        <v>601.70000000000005</v>
      </c>
      <c r="F119" s="120" t="s">
        <v>716</v>
      </c>
      <c r="G119" s="180"/>
      <c r="H119" s="181">
        <v>13</v>
      </c>
      <c r="I119" s="120"/>
      <c r="J119" s="231">
        <f t="shared" si="175"/>
        <v>295424.45137875318</v>
      </c>
      <c r="K119" s="108"/>
      <c r="L119" s="115">
        <f t="shared" si="176"/>
        <v>266118.34580198087</v>
      </c>
      <c r="M119" s="230"/>
      <c r="N119" s="115">
        <f t="shared" si="177"/>
        <v>20827.423822202098</v>
      </c>
      <c r="O119" s="230"/>
      <c r="P119" s="115">
        <f t="shared" si="178"/>
        <v>118.16978055150128</v>
      </c>
      <c r="Q119" s="230"/>
      <c r="R119" s="115">
        <f t="shared" si="179"/>
        <v>1743.0042631346437</v>
      </c>
      <c r="S119" s="230"/>
      <c r="T119" s="115">
        <f t="shared" si="180"/>
        <v>59.084890275750638</v>
      </c>
      <c r="U119" s="230"/>
      <c r="V119" s="115">
        <f t="shared" si="181"/>
        <v>6469.7954851946943</v>
      </c>
      <c r="W119" s="230"/>
      <c r="X119" s="115">
        <f t="shared" si="182"/>
        <v>88.627335413625943</v>
      </c>
      <c r="Y119" s="116"/>
      <c r="Z119" s="116">
        <f t="shared" si="195"/>
        <v>0</v>
      </c>
      <c r="AC119" s="120" t="s">
        <v>716</v>
      </c>
      <c r="AE119" s="154">
        <f t="shared" si="183"/>
        <v>13</v>
      </c>
      <c r="AG119" s="231">
        <f t="shared" si="184"/>
        <v>295424.45137875318</v>
      </c>
      <c r="AH119" s="108"/>
      <c r="AI119" s="115">
        <f t="shared" si="185"/>
        <v>0</v>
      </c>
      <c r="AJ119" s="230"/>
      <c r="AK119" s="115">
        <f t="shared" si="186"/>
        <v>0</v>
      </c>
      <c r="AL119" s="230"/>
      <c r="AM119" s="115">
        <f t="shared" si="187"/>
        <v>0</v>
      </c>
      <c r="AN119" s="230"/>
      <c r="AO119" s="115">
        <f t="shared" si="188"/>
        <v>0</v>
      </c>
      <c r="AP119" s="230"/>
      <c r="AQ119" s="115">
        <f t="shared" si="189"/>
        <v>0</v>
      </c>
      <c r="AR119" s="230"/>
      <c r="AS119" s="115">
        <f t="shared" si="190"/>
        <v>288866.02855814487</v>
      </c>
      <c r="AT119" s="230"/>
      <c r="AU119" s="115">
        <f t="shared" si="191"/>
        <v>0</v>
      </c>
      <c r="AV119" s="230"/>
      <c r="AW119" s="115">
        <f t="shared" si="192"/>
        <v>6469.7954851946943</v>
      </c>
      <c r="AX119" s="230"/>
      <c r="AY119" s="115">
        <f t="shared" si="193"/>
        <v>88.627335413625943</v>
      </c>
      <c r="BA119" s="99">
        <f t="shared" si="117"/>
        <v>0</v>
      </c>
      <c r="BB119" s="82"/>
      <c r="BC119" s="82"/>
      <c r="BD119" s="82"/>
    </row>
    <row r="120" spans="1:56" s="417" customFormat="1" x14ac:dyDescent="0.2">
      <c r="A120" s="84" t="s">
        <v>971</v>
      </c>
      <c r="B120" s="84"/>
      <c r="C120" s="116">
        <f>+Linkin!L331+Linkin!M331</f>
        <v>790359.8087853234</v>
      </c>
      <c r="D120" s="412">
        <v>670.7</v>
      </c>
      <c r="E120" s="116"/>
      <c r="F120" s="120" t="s">
        <v>595</v>
      </c>
      <c r="G120" s="61"/>
      <c r="H120" s="181">
        <v>20</v>
      </c>
      <c r="I120" s="120"/>
      <c r="J120" s="231">
        <f t="shared" si="175"/>
        <v>790359.8087853234</v>
      </c>
      <c r="K120" s="296"/>
      <c r="L120" s="179">
        <f t="shared" si="176"/>
        <v>710217.32417449157</v>
      </c>
      <c r="M120" s="116"/>
      <c r="N120" s="179">
        <f t="shared" si="177"/>
        <v>43944.005368463979</v>
      </c>
      <c r="O120" s="116"/>
      <c r="P120" s="179">
        <f t="shared" si="178"/>
        <v>7508.4181834605724</v>
      </c>
      <c r="Q120" s="116"/>
      <c r="R120" s="179">
        <f t="shared" si="179"/>
        <v>16597.555984491792</v>
      </c>
      <c r="S120" s="116"/>
      <c r="T120" s="179">
        <f t="shared" si="180"/>
        <v>0</v>
      </c>
      <c r="U120" s="116"/>
      <c r="V120" s="179">
        <f t="shared" si="181"/>
        <v>12092.505074415447</v>
      </c>
      <c r="W120" s="116"/>
      <c r="X120" s="179">
        <f t="shared" si="182"/>
        <v>0</v>
      </c>
      <c r="Y120" s="116"/>
      <c r="Z120" s="116">
        <f t="shared" si="195"/>
        <v>0</v>
      </c>
      <c r="AC120" s="120" t="s">
        <v>595</v>
      </c>
      <c r="AE120" s="154">
        <f t="shared" si="183"/>
        <v>20</v>
      </c>
      <c r="AG120" s="231">
        <f t="shared" si="184"/>
        <v>790359.8087853234</v>
      </c>
      <c r="AH120" s="296"/>
      <c r="AI120" s="179">
        <f t="shared" si="185"/>
        <v>0</v>
      </c>
      <c r="AJ120" s="116"/>
      <c r="AK120" s="179">
        <f t="shared" si="186"/>
        <v>0</v>
      </c>
      <c r="AL120" s="116"/>
      <c r="AM120" s="179">
        <f t="shared" si="187"/>
        <v>0</v>
      </c>
      <c r="AN120" s="116"/>
      <c r="AO120" s="179">
        <f t="shared" si="188"/>
        <v>0</v>
      </c>
      <c r="AP120" s="116"/>
      <c r="AQ120" s="179">
        <f t="shared" si="189"/>
        <v>0</v>
      </c>
      <c r="AR120" s="116"/>
      <c r="AS120" s="179">
        <f t="shared" si="190"/>
        <v>0</v>
      </c>
      <c r="AT120" s="116"/>
      <c r="AU120" s="179">
        <f t="shared" si="191"/>
        <v>790359.8087853234</v>
      </c>
      <c r="AV120" s="116"/>
      <c r="AW120" s="179">
        <f t="shared" si="192"/>
        <v>0</v>
      </c>
      <c r="AX120" s="116"/>
      <c r="AY120" s="179">
        <f t="shared" si="193"/>
        <v>0</v>
      </c>
      <c r="BA120" s="99">
        <f t="shared" si="117"/>
        <v>0</v>
      </c>
      <c r="BB120" s="82"/>
      <c r="BC120" s="82"/>
      <c r="BD120" s="82"/>
    </row>
    <row r="121" spans="1:56" s="392" customFormat="1" x14ac:dyDescent="0.2">
      <c r="A121" s="84" t="s">
        <v>970</v>
      </c>
      <c r="B121" s="737">
        <f>+Linkin!L331</f>
        <v>685226</v>
      </c>
      <c r="C121" s="116"/>
      <c r="D121" s="412">
        <v>650.70000000000005</v>
      </c>
      <c r="E121" s="116"/>
      <c r="F121" s="120" t="s">
        <v>662</v>
      </c>
      <c r="G121" s="180"/>
      <c r="H121" s="181">
        <v>14</v>
      </c>
      <c r="I121" s="120"/>
      <c r="J121" s="231">
        <f t="shared" si="175"/>
        <v>0</v>
      </c>
      <c r="K121" s="83"/>
      <c r="L121" s="115">
        <f t="shared" si="176"/>
        <v>0</v>
      </c>
      <c r="M121" s="230"/>
      <c r="N121" s="115">
        <f t="shared" si="177"/>
        <v>0</v>
      </c>
      <c r="O121" s="230"/>
      <c r="P121" s="115">
        <f t="shared" si="178"/>
        <v>0</v>
      </c>
      <c r="Q121" s="230"/>
      <c r="R121" s="115">
        <f t="shared" si="179"/>
        <v>0</v>
      </c>
      <c r="S121" s="230"/>
      <c r="T121" s="115">
        <f t="shared" si="180"/>
        <v>0</v>
      </c>
      <c r="U121" s="230"/>
      <c r="V121" s="115">
        <f t="shared" si="181"/>
        <v>0</v>
      </c>
      <c r="W121" s="230"/>
      <c r="X121" s="115">
        <f t="shared" si="182"/>
        <v>0</v>
      </c>
      <c r="Y121" s="116"/>
      <c r="Z121" s="116">
        <f t="shared" si="195"/>
        <v>0</v>
      </c>
      <c r="AC121" s="120" t="s">
        <v>662</v>
      </c>
      <c r="AE121" s="154">
        <f t="shared" si="183"/>
        <v>14</v>
      </c>
      <c r="AG121" s="231">
        <f t="shared" si="184"/>
        <v>0</v>
      </c>
      <c r="AH121" s="83"/>
      <c r="AI121" s="115">
        <f t="shared" si="185"/>
        <v>0</v>
      </c>
      <c r="AJ121" s="230"/>
      <c r="AK121" s="115">
        <f t="shared" si="186"/>
        <v>0</v>
      </c>
      <c r="AL121" s="230"/>
      <c r="AM121" s="115">
        <f t="shared" si="187"/>
        <v>0</v>
      </c>
      <c r="AN121" s="230"/>
      <c r="AO121" s="115">
        <f t="shared" si="188"/>
        <v>0</v>
      </c>
      <c r="AP121" s="230"/>
      <c r="AQ121" s="115">
        <f t="shared" si="189"/>
        <v>0</v>
      </c>
      <c r="AR121" s="230"/>
      <c r="AS121" s="115">
        <f t="shared" si="190"/>
        <v>0</v>
      </c>
      <c r="AT121" s="230"/>
      <c r="AU121" s="115">
        <f t="shared" si="191"/>
        <v>0</v>
      </c>
      <c r="AV121" s="230"/>
      <c r="AW121" s="115">
        <f t="shared" si="192"/>
        <v>0</v>
      </c>
      <c r="AX121" s="230"/>
      <c r="AY121" s="115">
        <f t="shared" si="193"/>
        <v>0</v>
      </c>
      <c r="BA121" s="99">
        <f t="shared" si="117"/>
        <v>0</v>
      </c>
      <c r="BB121" s="82"/>
      <c r="BC121" s="82"/>
      <c r="BD121" s="82"/>
    </row>
    <row r="122" spans="1:56" s="399" customFormat="1" x14ac:dyDescent="0.2">
      <c r="A122" s="177"/>
      <c r="B122" s="177"/>
      <c r="C122" s="116">
        <f>+Linkin!L214</f>
        <v>109545.98661640121</v>
      </c>
      <c r="D122" s="412">
        <v>675.7</v>
      </c>
      <c r="E122" s="116"/>
      <c r="F122" s="120" t="s">
        <v>698</v>
      </c>
      <c r="G122" s="180"/>
      <c r="H122" s="181">
        <v>13</v>
      </c>
      <c r="I122" s="120"/>
      <c r="J122" s="231">
        <f t="shared" ref="J122" si="196">+C122</f>
        <v>109545.98661640121</v>
      </c>
      <c r="K122" s="83"/>
      <c r="L122" s="115">
        <f t="shared" si="176"/>
        <v>98679.024744054215</v>
      </c>
      <c r="M122" s="230"/>
      <c r="N122" s="115">
        <f t="shared" si="177"/>
        <v>7722.9920564562844</v>
      </c>
      <c r="O122" s="230"/>
      <c r="P122" s="115">
        <f t="shared" si="178"/>
        <v>43.818394646560485</v>
      </c>
      <c r="Q122" s="230"/>
      <c r="R122" s="115">
        <f t="shared" si="179"/>
        <v>646.32132103676713</v>
      </c>
      <c r="S122" s="230"/>
      <c r="T122" s="115">
        <f t="shared" si="180"/>
        <v>21.909197323280242</v>
      </c>
      <c r="U122" s="230"/>
      <c r="V122" s="115">
        <f t="shared" si="181"/>
        <v>2399.0571068991862</v>
      </c>
      <c r="W122" s="230"/>
      <c r="X122" s="115">
        <f t="shared" si="182"/>
        <v>32.863795984920358</v>
      </c>
      <c r="Y122" s="116"/>
      <c r="Z122" s="116">
        <f t="shared" si="195"/>
        <v>0</v>
      </c>
      <c r="AC122" s="120" t="s">
        <v>698</v>
      </c>
      <c r="AE122" s="154">
        <f t="shared" si="183"/>
        <v>13</v>
      </c>
      <c r="AG122" s="231">
        <f t="shared" si="184"/>
        <v>109545.98661640121</v>
      </c>
      <c r="AH122" s="83"/>
      <c r="AI122" s="115">
        <f t="shared" si="185"/>
        <v>0</v>
      </c>
      <c r="AJ122" s="230"/>
      <c r="AK122" s="115">
        <f t="shared" si="186"/>
        <v>0</v>
      </c>
      <c r="AL122" s="230"/>
      <c r="AM122" s="115">
        <f t="shared" si="187"/>
        <v>0</v>
      </c>
      <c r="AN122" s="230"/>
      <c r="AO122" s="115">
        <f t="shared" si="188"/>
        <v>0</v>
      </c>
      <c r="AP122" s="230"/>
      <c r="AQ122" s="115">
        <f t="shared" si="189"/>
        <v>0</v>
      </c>
      <c r="AR122" s="230"/>
      <c r="AS122" s="115">
        <f t="shared" si="190"/>
        <v>107114.06571351711</v>
      </c>
      <c r="AT122" s="230"/>
      <c r="AU122" s="115">
        <f t="shared" si="191"/>
        <v>0</v>
      </c>
      <c r="AV122" s="230"/>
      <c r="AW122" s="115">
        <f t="shared" si="192"/>
        <v>2399.0571068991862</v>
      </c>
      <c r="AX122" s="230"/>
      <c r="AY122" s="115">
        <f t="shared" si="193"/>
        <v>32.863795984920358</v>
      </c>
      <c r="BA122" s="99">
        <f t="shared" si="117"/>
        <v>0</v>
      </c>
      <c r="BB122" s="82"/>
      <c r="BC122" s="82"/>
      <c r="BD122" s="82"/>
    </row>
    <row r="123" spans="1:56" s="392" customFormat="1" x14ac:dyDescent="0.2">
      <c r="A123" s="177"/>
      <c r="B123" s="177"/>
      <c r="C123" s="231">
        <f>+Linkin!L334</f>
        <v>154676.53280678962</v>
      </c>
      <c r="D123" s="412">
        <v>675.7</v>
      </c>
      <c r="E123" s="116"/>
      <c r="F123" s="120" t="s">
        <v>663</v>
      </c>
      <c r="G123" s="180"/>
      <c r="H123" s="181">
        <v>13</v>
      </c>
      <c r="I123" s="120"/>
      <c r="J123" s="231">
        <f t="shared" si="175"/>
        <v>154676.53280678962</v>
      </c>
      <c r="K123" s="108"/>
      <c r="L123" s="115">
        <f t="shared" si="176"/>
        <v>139332.6207523561</v>
      </c>
      <c r="M123" s="230"/>
      <c r="N123" s="115">
        <f t="shared" si="177"/>
        <v>10904.695562878667</v>
      </c>
      <c r="O123" s="230"/>
      <c r="P123" s="115">
        <f t="shared" si="178"/>
        <v>61.870613122715852</v>
      </c>
      <c r="Q123" s="230"/>
      <c r="R123" s="115">
        <f t="shared" si="179"/>
        <v>912.59154356005877</v>
      </c>
      <c r="S123" s="230"/>
      <c r="T123" s="115">
        <f t="shared" si="180"/>
        <v>30.935306561357926</v>
      </c>
      <c r="U123" s="230"/>
      <c r="V123" s="115">
        <f t="shared" si="181"/>
        <v>3387.4160684686926</v>
      </c>
      <c r="W123" s="230"/>
      <c r="X123" s="115">
        <f t="shared" si="182"/>
        <v>46.402959842036879</v>
      </c>
      <c r="Y123" s="116"/>
      <c r="Z123" s="116">
        <f t="shared" si="195"/>
        <v>0</v>
      </c>
      <c r="AC123" s="120" t="s">
        <v>663</v>
      </c>
      <c r="AE123" s="154">
        <f t="shared" si="183"/>
        <v>13</v>
      </c>
      <c r="AG123" s="231">
        <f t="shared" si="184"/>
        <v>154676.53280678962</v>
      </c>
      <c r="AH123" s="108"/>
      <c r="AI123" s="115">
        <f t="shared" si="185"/>
        <v>0</v>
      </c>
      <c r="AJ123" s="230"/>
      <c r="AK123" s="115">
        <f t="shared" si="186"/>
        <v>0</v>
      </c>
      <c r="AL123" s="230"/>
      <c r="AM123" s="115">
        <f t="shared" si="187"/>
        <v>0</v>
      </c>
      <c r="AN123" s="230"/>
      <c r="AO123" s="115">
        <f t="shared" si="188"/>
        <v>0</v>
      </c>
      <c r="AP123" s="230"/>
      <c r="AQ123" s="115">
        <f t="shared" si="189"/>
        <v>0</v>
      </c>
      <c r="AR123" s="230"/>
      <c r="AS123" s="115">
        <f t="shared" si="190"/>
        <v>151242.71377847888</v>
      </c>
      <c r="AT123" s="230"/>
      <c r="AU123" s="115">
        <f t="shared" si="191"/>
        <v>0</v>
      </c>
      <c r="AV123" s="230"/>
      <c r="AW123" s="115">
        <f t="shared" si="192"/>
        <v>3387.4160684686926</v>
      </c>
      <c r="AX123" s="230"/>
      <c r="AY123" s="115">
        <f t="shared" si="193"/>
        <v>46.402959842036879</v>
      </c>
      <c r="BA123" s="99">
        <f t="shared" si="117"/>
        <v>0</v>
      </c>
      <c r="BB123" s="82"/>
      <c r="BC123" s="82"/>
      <c r="BD123" s="82"/>
    </row>
    <row r="124" spans="1:56" s="392" customFormat="1" x14ac:dyDescent="0.2">
      <c r="A124" s="177"/>
      <c r="B124" s="177"/>
      <c r="C124" s="231">
        <f>+Linkin!L335+Linkin!L278+Linkin!L279+Linkin!L280+Linkin!L281+Linkin!L282+Linkin!L283</f>
        <v>154814.79641377376</v>
      </c>
      <c r="D124" s="412">
        <v>675.7</v>
      </c>
      <c r="E124" s="116"/>
      <c r="F124" s="120" t="s">
        <v>664</v>
      </c>
      <c r="G124" s="180"/>
      <c r="H124" s="181">
        <v>13</v>
      </c>
      <c r="I124" s="120"/>
      <c r="J124" s="231">
        <f t="shared" si="175"/>
        <v>154814.79641377376</v>
      </c>
      <c r="K124" s="108"/>
      <c r="L124" s="115">
        <f t="shared" si="176"/>
        <v>139457.16860952741</v>
      </c>
      <c r="M124" s="230"/>
      <c r="N124" s="115">
        <f t="shared" si="177"/>
        <v>10914.443147171049</v>
      </c>
      <c r="O124" s="230"/>
      <c r="P124" s="115">
        <f t="shared" si="178"/>
        <v>61.925918565509505</v>
      </c>
      <c r="Q124" s="230"/>
      <c r="R124" s="115">
        <f t="shared" si="179"/>
        <v>913.40729884126517</v>
      </c>
      <c r="S124" s="230"/>
      <c r="T124" s="115">
        <f t="shared" si="180"/>
        <v>30.962959282754753</v>
      </c>
      <c r="U124" s="230"/>
      <c r="V124" s="115">
        <f t="shared" si="181"/>
        <v>3390.4440414616452</v>
      </c>
      <c r="W124" s="230"/>
      <c r="X124" s="115">
        <f t="shared" si="182"/>
        <v>46.444438924132122</v>
      </c>
      <c r="Y124" s="116"/>
      <c r="Z124" s="116">
        <f t="shared" si="195"/>
        <v>0</v>
      </c>
      <c r="AC124" s="120" t="s">
        <v>664</v>
      </c>
      <c r="AE124" s="154">
        <f t="shared" si="183"/>
        <v>13</v>
      </c>
      <c r="AG124" s="231">
        <f t="shared" si="184"/>
        <v>154814.79641377376</v>
      </c>
      <c r="AH124" s="108"/>
      <c r="AI124" s="115">
        <f t="shared" si="185"/>
        <v>0</v>
      </c>
      <c r="AJ124" s="230"/>
      <c r="AK124" s="115">
        <f t="shared" si="186"/>
        <v>0</v>
      </c>
      <c r="AL124" s="230"/>
      <c r="AM124" s="115">
        <f t="shared" si="187"/>
        <v>0</v>
      </c>
      <c r="AN124" s="230"/>
      <c r="AO124" s="115">
        <f t="shared" si="188"/>
        <v>0</v>
      </c>
      <c r="AP124" s="230"/>
      <c r="AQ124" s="115">
        <f t="shared" si="189"/>
        <v>0</v>
      </c>
      <c r="AR124" s="230"/>
      <c r="AS124" s="115">
        <f t="shared" si="190"/>
        <v>151377.90793338799</v>
      </c>
      <c r="AT124" s="230"/>
      <c r="AU124" s="115">
        <f t="shared" si="191"/>
        <v>0</v>
      </c>
      <c r="AV124" s="230"/>
      <c r="AW124" s="115">
        <f t="shared" si="192"/>
        <v>3390.4440414616452</v>
      </c>
      <c r="AX124" s="230"/>
      <c r="AY124" s="115">
        <f t="shared" si="193"/>
        <v>46.444438924132122</v>
      </c>
      <c r="BA124" s="99">
        <f t="shared" si="117"/>
        <v>0</v>
      </c>
      <c r="BB124" s="82"/>
      <c r="BC124" s="82"/>
      <c r="BD124" s="82"/>
    </row>
    <row r="125" spans="1:56" s="392" customFormat="1" x14ac:dyDescent="0.2">
      <c r="A125" s="177"/>
      <c r="B125" s="177"/>
      <c r="C125" s="231">
        <f>+Linkin!L241</f>
        <v>0</v>
      </c>
      <c r="D125" s="412">
        <v>675.7</v>
      </c>
      <c r="E125" s="116"/>
      <c r="F125" s="120" t="s">
        <v>669</v>
      </c>
      <c r="G125" s="180"/>
      <c r="H125" s="181">
        <v>13</v>
      </c>
      <c r="I125" s="120"/>
      <c r="J125" s="231">
        <f t="shared" si="175"/>
        <v>0</v>
      </c>
      <c r="K125" s="108"/>
      <c r="L125" s="115">
        <f t="shared" si="176"/>
        <v>0</v>
      </c>
      <c r="M125" s="230"/>
      <c r="N125" s="115">
        <f t="shared" si="177"/>
        <v>0</v>
      </c>
      <c r="O125" s="230"/>
      <c r="P125" s="115">
        <f t="shared" si="178"/>
        <v>0</v>
      </c>
      <c r="Q125" s="230"/>
      <c r="R125" s="115">
        <f t="shared" si="179"/>
        <v>0</v>
      </c>
      <c r="S125" s="230"/>
      <c r="T125" s="115">
        <f t="shared" si="180"/>
        <v>0</v>
      </c>
      <c r="U125" s="230"/>
      <c r="V125" s="115">
        <f t="shared" si="181"/>
        <v>0</v>
      </c>
      <c r="W125" s="230"/>
      <c r="X125" s="115">
        <f t="shared" si="182"/>
        <v>0</v>
      </c>
      <c r="Y125" s="116"/>
      <c r="Z125" s="116">
        <f t="shared" si="195"/>
        <v>0</v>
      </c>
      <c r="AC125" s="120" t="s">
        <v>669</v>
      </c>
      <c r="AE125" s="154">
        <f t="shared" si="183"/>
        <v>13</v>
      </c>
      <c r="AG125" s="231">
        <f t="shared" si="184"/>
        <v>0</v>
      </c>
      <c r="AH125" s="108"/>
      <c r="AI125" s="115">
        <f t="shared" si="185"/>
        <v>0</v>
      </c>
      <c r="AJ125" s="230"/>
      <c r="AK125" s="115">
        <f t="shared" si="186"/>
        <v>0</v>
      </c>
      <c r="AL125" s="230"/>
      <c r="AM125" s="115">
        <f t="shared" si="187"/>
        <v>0</v>
      </c>
      <c r="AN125" s="230"/>
      <c r="AO125" s="115">
        <f t="shared" si="188"/>
        <v>0</v>
      </c>
      <c r="AP125" s="230"/>
      <c r="AQ125" s="115">
        <f t="shared" si="189"/>
        <v>0</v>
      </c>
      <c r="AR125" s="230"/>
      <c r="AS125" s="115">
        <f t="shared" si="190"/>
        <v>0</v>
      </c>
      <c r="AT125" s="230"/>
      <c r="AU125" s="115">
        <f t="shared" si="191"/>
        <v>0</v>
      </c>
      <c r="AV125" s="230"/>
      <c r="AW125" s="115">
        <f t="shared" si="192"/>
        <v>0</v>
      </c>
      <c r="AX125" s="230"/>
      <c r="AY125" s="115">
        <f t="shared" si="193"/>
        <v>0</v>
      </c>
      <c r="BA125" s="99">
        <f t="shared" si="117"/>
        <v>0</v>
      </c>
      <c r="BB125" s="82"/>
      <c r="BC125" s="82"/>
      <c r="BD125" s="82"/>
    </row>
    <row r="126" spans="1:56" s="392" customFormat="1" x14ac:dyDescent="0.2">
      <c r="A126" s="177"/>
      <c r="B126" s="177"/>
      <c r="C126" s="231">
        <f>+Linkin!L336</f>
        <v>475212.3743358553</v>
      </c>
      <c r="D126" s="412">
        <v>675.7</v>
      </c>
      <c r="E126" s="116"/>
      <c r="F126" s="120" t="s">
        <v>665</v>
      </c>
      <c r="G126" s="180"/>
      <c r="H126" s="181">
        <v>13</v>
      </c>
      <c r="I126" s="120"/>
      <c r="J126" s="231">
        <f t="shared" si="175"/>
        <v>475212.3743358553</v>
      </c>
      <c r="K126" s="108"/>
      <c r="L126" s="115">
        <f t="shared" si="176"/>
        <v>428071.30680173845</v>
      </c>
      <c r="M126" s="230"/>
      <c r="N126" s="115">
        <f t="shared" si="177"/>
        <v>33502.472390677794</v>
      </c>
      <c r="O126" s="230"/>
      <c r="P126" s="115">
        <f t="shared" si="178"/>
        <v>190.08494973434213</v>
      </c>
      <c r="Q126" s="230"/>
      <c r="R126" s="115">
        <f t="shared" si="179"/>
        <v>2803.7530085815461</v>
      </c>
      <c r="S126" s="230"/>
      <c r="T126" s="115">
        <f t="shared" si="180"/>
        <v>95.042474867171066</v>
      </c>
      <c r="U126" s="230"/>
      <c r="V126" s="115">
        <f t="shared" si="181"/>
        <v>10407.15099795523</v>
      </c>
      <c r="W126" s="230"/>
      <c r="X126" s="115">
        <f t="shared" si="182"/>
        <v>142.56371230075658</v>
      </c>
      <c r="Y126" s="116"/>
      <c r="Z126" s="116">
        <f t="shared" si="195"/>
        <v>0</v>
      </c>
      <c r="AC126" s="120" t="s">
        <v>665</v>
      </c>
      <c r="AE126" s="154">
        <f t="shared" si="183"/>
        <v>13</v>
      </c>
      <c r="AG126" s="231">
        <f t="shared" si="184"/>
        <v>475212.3743358553</v>
      </c>
      <c r="AH126" s="108"/>
      <c r="AI126" s="115">
        <f t="shared" si="185"/>
        <v>0</v>
      </c>
      <c r="AJ126" s="230"/>
      <c r="AK126" s="115">
        <f t="shared" si="186"/>
        <v>0</v>
      </c>
      <c r="AL126" s="230"/>
      <c r="AM126" s="115">
        <f t="shared" si="187"/>
        <v>0</v>
      </c>
      <c r="AN126" s="230"/>
      <c r="AO126" s="115">
        <f t="shared" si="188"/>
        <v>0</v>
      </c>
      <c r="AP126" s="230"/>
      <c r="AQ126" s="115">
        <f t="shared" si="189"/>
        <v>0</v>
      </c>
      <c r="AR126" s="230"/>
      <c r="AS126" s="115">
        <f t="shared" si="190"/>
        <v>464662.65962559934</v>
      </c>
      <c r="AT126" s="230"/>
      <c r="AU126" s="115">
        <f t="shared" si="191"/>
        <v>0</v>
      </c>
      <c r="AV126" s="230"/>
      <c r="AW126" s="115">
        <f t="shared" si="192"/>
        <v>10407.15099795523</v>
      </c>
      <c r="AX126" s="230"/>
      <c r="AY126" s="115">
        <f t="shared" si="193"/>
        <v>142.56371230075658</v>
      </c>
      <c r="BA126" s="99">
        <f t="shared" si="117"/>
        <v>0</v>
      </c>
      <c r="BB126" s="82"/>
      <c r="BC126" s="82"/>
      <c r="BD126" s="82"/>
    </row>
    <row r="127" spans="1:56" s="392" customFormat="1" x14ac:dyDescent="0.2">
      <c r="A127" s="177"/>
      <c r="B127" s="177"/>
      <c r="C127" s="231">
        <f>+Linkin!L337</f>
        <v>146621.81373065416</v>
      </c>
      <c r="D127" s="412">
        <v>675.7</v>
      </c>
      <c r="E127" s="116"/>
      <c r="F127" s="120" t="s">
        <v>666</v>
      </c>
      <c r="G127" s="180"/>
      <c r="H127" s="181">
        <v>13</v>
      </c>
      <c r="I127" s="120"/>
      <c r="J127" s="231">
        <f t="shared" si="175"/>
        <v>146621.81373065416</v>
      </c>
      <c r="K127" s="108"/>
      <c r="L127" s="115">
        <f t="shared" si="176"/>
        <v>132076.92980857327</v>
      </c>
      <c r="M127" s="230"/>
      <c r="N127" s="115">
        <f t="shared" si="177"/>
        <v>10336.837868011118</v>
      </c>
      <c r="O127" s="230"/>
      <c r="P127" s="115">
        <f t="shared" si="178"/>
        <v>58.648725492261669</v>
      </c>
      <c r="Q127" s="230"/>
      <c r="R127" s="115">
        <f t="shared" si="179"/>
        <v>865.06870101085951</v>
      </c>
      <c r="S127" s="230"/>
      <c r="T127" s="115">
        <f t="shared" si="180"/>
        <v>29.324362746130834</v>
      </c>
      <c r="U127" s="230"/>
      <c r="V127" s="115">
        <f t="shared" si="181"/>
        <v>3211.0177207013262</v>
      </c>
      <c r="W127" s="230"/>
      <c r="X127" s="115">
        <f t="shared" si="182"/>
        <v>43.986544119196246</v>
      </c>
      <c r="Y127" s="116"/>
      <c r="Z127" s="116">
        <f t="shared" si="195"/>
        <v>0</v>
      </c>
      <c r="AC127" s="120" t="s">
        <v>666</v>
      </c>
      <c r="AE127" s="154">
        <f t="shared" si="183"/>
        <v>13</v>
      </c>
      <c r="AG127" s="231">
        <f t="shared" si="184"/>
        <v>146621.81373065416</v>
      </c>
      <c r="AH127" s="108"/>
      <c r="AI127" s="115">
        <f t="shared" si="185"/>
        <v>0</v>
      </c>
      <c r="AJ127" s="230"/>
      <c r="AK127" s="115">
        <f t="shared" si="186"/>
        <v>0</v>
      </c>
      <c r="AL127" s="230"/>
      <c r="AM127" s="115">
        <f t="shared" si="187"/>
        <v>0</v>
      </c>
      <c r="AN127" s="230"/>
      <c r="AO127" s="115">
        <f t="shared" si="188"/>
        <v>0</v>
      </c>
      <c r="AP127" s="230"/>
      <c r="AQ127" s="115">
        <f t="shared" si="189"/>
        <v>0</v>
      </c>
      <c r="AR127" s="230"/>
      <c r="AS127" s="115">
        <f t="shared" si="190"/>
        <v>143366.80946583365</v>
      </c>
      <c r="AT127" s="230"/>
      <c r="AU127" s="115">
        <f t="shared" si="191"/>
        <v>0</v>
      </c>
      <c r="AV127" s="230"/>
      <c r="AW127" s="115">
        <f t="shared" si="192"/>
        <v>3211.0177207013262</v>
      </c>
      <c r="AX127" s="230"/>
      <c r="AY127" s="115">
        <f t="shared" si="193"/>
        <v>43.986544119196246</v>
      </c>
      <c r="BA127" s="99">
        <f t="shared" si="117"/>
        <v>0</v>
      </c>
      <c r="BB127" s="82"/>
      <c r="BC127" s="82"/>
      <c r="BD127" s="82"/>
    </row>
    <row r="128" spans="1:56" s="392" customFormat="1" x14ac:dyDescent="0.2">
      <c r="A128" s="177"/>
      <c r="B128" s="177"/>
      <c r="C128" s="116">
        <f>+Linkin!L338</f>
        <v>650200.7104018497</v>
      </c>
      <c r="D128" s="412">
        <v>675.7</v>
      </c>
      <c r="E128" s="116"/>
      <c r="F128" s="120" t="s">
        <v>667</v>
      </c>
      <c r="G128" s="180"/>
      <c r="H128" s="181">
        <v>13</v>
      </c>
      <c r="I128" s="120"/>
      <c r="J128" s="231">
        <f t="shared" si="175"/>
        <v>650200.7104018497</v>
      </c>
      <c r="K128" s="108"/>
      <c r="L128" s="115">
        <f t="shared" si="176"/>
        <v>585700.79992998624</v>
      </c>
      <c r="M128" s="230"/>
      <c r="N128" s="115">
        <f t="shared" si="177"/>
        <v>45839.150083330402</v>
      </c>
      <c r="O128" s="230"/>
      <c r="P128" s="115">
        <f t="shared" si="178"/>
        <v>260.08028416073989</v>
      </c>
      <c r="Q128" s="230"/>
      <c r="R128" s="115">
        <f t="shared" si="179"/>
        <v>3836.1841913709131</v>
      </c>
      <c r="S128" s="230"/>
      <c r="T128" s="115">
        <f t="shared" si="180"/>
        <v>130.04014208036995</v>
      </c>
      <c r="U128" s="230"/>
      <c r="V128" s="115">
        <f t="shared" si="181"/>
        <v>14239.395557800508</v>
      </c>
      <c r="W128" s="230"/>
      <c r="X128" s="115">
        <f t="shared" si="182"/>
        <v>195.06021312055489</v>
      </c>
      <c r="Y128" s="116"/>
      <c r="Z128" s="116">
        <f t="shared" si="195"/>
        <v>0</v>
      </c>
      <c r="AC128" s="120" t="s">
        <v>667</v>
      </c>
      <c r="AE128" s="154">
        <f t="shared" si="183"/>
        <v>13</v>
      </c>
      <c r="AG128" s="231">
        <f t="shared" si="184"/>
        <v>650200.7104018497</v>
      </c>
      <c r="AH128" s="108"/>
      <c r="AI128" s="115">
        <f t="shared" si="185"/>
        <v>0</v>
      </c>
      <c r="AJ128" s="230"/>
      <c r="AK128" s="115">
        <f t="shared" si="186"/>
        <v>0</v>
      </c>
      <c r="AL128" s="230"/>
      <c r="AM128" s="115">
        <f t="shared" si="187"/>
        <v>0</v>
      </c>
      <c r="AN128" s="230"/>
      <c r="AO128" s="115">
        <f t="shared" si="188"/>
        <v>0</v>
      </c>
      <c r="AP128" s="230"/>
      <c r="AQ128" s="115">
        <f t="shared" si="189"/>
        <v>0</v>
      </c>
      <c r="AR128" s="230"/>
      <c r="AS128" s="115">
        <f t="shared" si="190"/>
        <v>635766.25463092863</v>
      </c>
      <c r="AT128" s="230"/>
      <c r="AU128" s="115">
        <f t="shared" si="191"/>
        <v>0</v>
      </c>
      <c r="AV128" s="230"/>
      <c r="AW128" s="115">
        <f t="shared" si="192"/>
        <v>14239.395557800508</v>
      </c>
      <c r="AX128" s="230"/>
      <c r="AY128" s="115">
        <f t="shared" si="193"/>
        <v>195.06021312055489</v>
      </c>
      <c r="BA128" s="99">
        <f t="shared" si="117"/>
        <v>0</v>
      </c>
      <c r="BB128" s="82"/>
      <c r="BC128" s="82"/>
      <c r="BD128" s="82"/>
    </row>
    <row r="129" spans="1:56" s="399" customFormat="1" x14ac:dyDescent="0.2">
      <c r="A129" s="177"/>
      <c r="B129" s="177"/>
      <c r="C129" s="116">
        <f>+Linkin!L220</f>
        <v>8818.5423799968103</v>
      </c>
      <c r="D129" s="412">
        <v>675.7</v>
      </c>
      <c r="E129" s="116"/>
      <c r="F129" s="120" t="s">
        <v>702</v>
      </c>
      <c r="G129" s="180"/>
      <c r="H129" s="181">
        <v>13</v>
      </c>
      <c r="I129" s="120"/>
      <c r="J129" s="231">
        <f t="shared" si="175"/>
        <v>8818.5423799968103</v>
      </c>
      <c r="K129" s="108"/>
      <c r="L129" s="115">
        <f t="shared" si="176"/>
        <v>7943.7429759011275</v>
      </c>
      <c r="M129" s="230"/>
      <c r="N129" s="115">
        <f t="shared" si="177"/>
        <v>621.70723778977504</v>
      </c>
      <c r="O129" s="230"/>
      <c r="P129" s="115">
        <f t="shared" si="178"/>
        <v>3.5274169519987244</v>
      </c>
      <c r="Q129" s="230"/>
      <c r="R129" s="115">
        <f t="shared" si="179"/>
        <v>52.029400041981177</v>
      </c>
      <c r="S129" s="230"/>
      <c r="T129" s="115">
        <f t="shared" si="180"/>
        <v>1.7637084759993622</v>
      </c>
      <c r="U129" s="230"/>
      <c r="V129" s="115">
        <f t="shared" si="181"/>
        <v>193.12607812193014</v>
      </c>
      <c r="W129" s="230"/>
      <c r="X129" s="115">
        <f t="shared" si="182"/>
        <v>2.645562713999043</v>
      </c>
      <c r="Y129" s="116"/>
      <c r="Z129" s="116">
        <f t="shared" si="195"/>
        <v>0</v>
      </c>
      <c r="AC129" s="120" t="s">
        <v>702</v>
      </c>
      <c r="AE129" s="154">
        <f t="shared" si="183"/>
        <v>13</v>
      </c>
      <c r="AG129" s="231">
        <f t="shared" si="184"/>
        <v>8818.5423799968103</v>
      </c>
      <c r="AH129" s="108"/>
      <c r="AI129" s="115">
        <f t="shared" si="185"/>
        <v>0</v>
      </c>
      <c r="AJ129" s="230"/>
      <c r="AK129" s="115">
        <f t="shared" si="186"/>
        <v>0</v>
      </c>
      <c r="AL129" s="230"/>
      <c r="AM129" s="115">
        <f t="shared" si="187"/>
        <v>0</v>
      </c>
      <c r="AN129" s="230"/>
      <c r="AO129" s="115">
        <f t="shared" si="188"/>
        <v>0</v>
      </c>
      <c r="AP129" s="230"/>
      <c r="AQ129" s="115">
        <f t="shared" si="189"/>
        <v>0</v>
      </c>
      <c r="AR129" s="230"/>
      <c r="AS129" s="115">
        <f t="shared" si="190"/>
        <v>8622.7707391608819</v>
      </c>
      <c r="AT129" s="230"/>
      <c r="AU129" s="115">
        <f t="shared" si="191"/>
        <v>0</v>
      </c>
      <c r="AV129" s="230"/>
      <c r="AW129" s="115">
        <f t="shared" si="192"/>
        <v>193.12607812193014</v>
      </c>
      <c r="AX129" s="230"/>
      <c r="AY129" s="115">
        <f t="shared" si="193"/>
        <v>2.645562713999043</v>
      </c>
      <c r="BA129" s="99">
        <f t="shared" si="117"/>
        <v>0</v>
      </c>
      <c r="BB129" s="82"/>
      <c r="BC129" s="82"/>
      <c r="BD129" s="82"/>
    </row>
    <row r="130" spans="1:56" x14ac:dyDescent="0.2">
      <c r="A130" s="177"/>
      <c r="B130" s="177"/>
      <c r="C130" s="116">
        <f>+Linkin!L333+Linkin!L132</f>
        <v>1305.1990516316494</v>
      </c>
      <c r="D130" s="412">
        <v>675.7</v>
      </c>
      <c r="F130" s="120" t="s">
        <v>718</v>
      </c>
      <c r="G130" s="180"/>
      <c r="H130" s="181">
        <v>13</v>
      </c>
      <c r="I130" s="120"/>
      <c r="J130" s="305">
        <f>+C130</f>
        <v>1305.1990516316494</v>
      </c>
      <c r="K130" s="108"/>
      <c r="L130" s="304">
        <f t="shared" si="176"/>
        <v>1175.7233057097899</v>
      </c>
      <c r="M130" s="108"/>
      <c r="N130" s="304">
        <f t="shared" si="177"/>
        <v>92.016533140031271</v>
      </c>
      <c r="O130" s="108"/>
      <c r="P130" s="304">
        <f t="shared" si="178"/>
        <v>0.52207962065265978</v>
      </c>
      <c r="Q130" s="108"/>
      <c r="R130" s="304">
        <f t="shared" si="179"/>
        <v>7.7006744046267306</v>
      </c>
      <c r="S130" s="108"/>
      <c r="T130" s="304">
        <f t="shared" si="180"/>
        <v>0.26103981032632989</v>
      </c>
      <c r="U130" s="108"/>
      <c r="V130" s="304">
        <f t="shared" si="181"/>
        <v>28.583859230733118</v>
      </c>
      <c r="W130" s="108"/>
      <c r="X130" s="304">
        <f t="shared" si="182"/>
        <v>0.39155971548949475</v>
      </c>
      <c r="Y130" s="116"/>
      <c r="Z130" s="116">
        <f t="shared" si="174"/>
        <v>0</v>
      </c>
      <c r="AC130" s="120" t="s">
        <v>718</v>
      </c>
      <c r="AE130" s="154">
        <f t="shared" si="183"/>
        <v>13</v>
      </c>
      <c r="AG130" s="305">
        <f t="shared" si="184"/>
        <v>1305.1990516316494</v>
      </c>
      <c r="AH130" s="108"/>
      <c r="AI130" s="304">
        <f t="shared" si="185"/>
        <v>0</v>
      </c>
      <c r="AJ130" s="108"/>
      <c r="AK130" s="304">
        <f t="shared" si="186"/>
        <v>0</v>
      </c>
      <c r="AL130" s="108"/>
      <c r="AM130" s="304">
        <f t="shared" si="187"/>
        <v>0</v>
      </c>
      <c r="AN130" s="108"/>
      <c r="AO130" s="304">
        <f t="shared" si="188"/>
        <v>0</v>
      </c>
      <c r="AP130" s="108"/>
      <c r="AQ130" s="304">
        <f t="shared" si="189"/>
        <v>0</v>
      </c>
      <c r="AR130" s="108"/>
      <c r="AS130" s="304">
        <f t="shared" si="190"/>
        <v>1276.2236326854268</v>
      </c>
      <c r="AT130" s="108"/>
      <c r="AU130" s="304">
        <f t="shared" si="191"/>
        <v>0</v>
      </c>
      <c r="AV130" s="108"/>
      <c r="AW130" s="304">
        <f t="shared" si="192"/>
        <v>28.583859230733118</v>
      </c>
      <c r="AX130" s="108"/>
      <c r="AY130" s="304">
        <f t="shared" si="193"/>
        <v>0.39155971548949475</v>
      </c>
      <c r="BA130" s="99">
        <f t="shared" si="117"/>
        <v>0</v>
      </c>
      <c r="BB130" s="82"/>
      <c r="BC130" s="82"/>
      <c r="BD130" s="82"/>
    </row>
    <row r="131" spans="1:56" x14ac:dyDescent="0.2">
      <c r="A131" s="177"/>
      <c r="B131" s="177"/>
      <c r="F131" s="120"/>
      <c r="G131" s="180"/>
      <c r="H131" s="181"/>
      <c r="I131" s="120"/>
      <c r="J131" s="231"/>
      <c r="K131" s="120"/>
      <c r="L131" s="231"/>
      <c r="M131" s="120"/>
      <c r="N131" s="231"/>
      <c r="O131" s="120"/>
      <c r="P131" s="231"/>
      <c r="Q131" s="120"/>
      <c r="R131" s="231"/>
      <c r="S131" s="120"/>
      <c r="T131" s="231"/>
      <c r="U131" s="120"/>
      <c r="V131" s="231"/>
      <c r="W131" s="120"/>
      <c r="X131" s="231"/>
      <c r="Z131" s="99">
        <f>SUM(L131:X131)-J131</f>
        <v>0</v>
      </c>
      <c r="AC131" s="120"/>
      <c r="AG131" s="231"/>
      <c r="AH131" s="120"/>
      <c r="AI131" s="231"/>
      <c r="AJ131" s="120"/>
      <c r="AK131" s="231"/>
      <c r="AL131" s="120"/>
      <c r="AM131" s="231"/>
      <c r="AN131" s="120"/>
      <c r="AO131" s="231"/>
      <c r="AP131" s="120"/>
      <c r="AQ131" s="231"/>
      <c r="AR131" s="120"/>
      <c r="AS131" s="231"/>
      <c r="AT131" s="120"/>
      <c r="AU131" s="231"/>
      <c r="AV131" s="120"/>
      <c r="AW131" s="231"/>
      <c r="AX131" s="120"/>
      <c r="AY131" s="231"/>
      <c r="BA131" s="99">
        <f t="shared" si="117"/>
        <v>0</v>
      </c>
      <c r="BB131" s="82"/>
      <c r="BC131" s="82"/>
      <c r="BD131" s="82"/>
    </row>
    <row r="132" spans="1:56" x14ac:dyDescent="0.2">
      <c r="A132" s="177"/>
      <c r="B132" s="177"/>
      <c r="F132" s="120" t="s">
        <v>105</v>
      </c>
      <c r="G132" s="180"/>
      <c r="H132" s="181"/>
      <c r="I132" s="120"/>
      <c r="J132" s="231">
        <f>SUM(J117:J131)</f>
        <v>3121789.8296978776</v>
      </c>
      <c r="K132" s="120"/>
      <c r="L132" s="231">
        <f>SUM(L117:L131)</f>
        <v>2812833.7803139146</v>
      </c>
      <c r="M132" s="120"/>
      <c r="N132" s="231">
        <f>SUM(N117:N131)</f>
        <v>208520.18834413757</v>
      </c>
      <c r="O132" s="120"/>
      <c r="P132" s="231">
        <f>SUM(P117:P131)</f>
        <v>8440.9901918255928</v>
      </c>
      <c r="Q132" s="120"/>
      <c r="R132" s="231">
        <f>SUM(R117:R131)</f>
        <v>30383.045465209943</v>
      </c>
      <c r="S132" s="120"/>
      <c r="T132" s="231">
        <f>SUM(T117:T131)</f>
        <v>466.28600418251079</v>
      </c>
      <c r="U132" s="120"/>
      <c r="V132" s="231">
        <f>SUM(V117:V131)</f>
        <v>60536.267444335484</v>
      </c>
      <c r="W132" s="120"/>
      <c r="X132" s="231">
        <f>SUM(X117:X131)</f>
        <v>609.27193427152838</v>
      </c>
      <c r="Z132" s="99"/>
      <c r="AC132" s="120" t="s">
        <v>105</v>
      </c>
      <c r="AD132" s="180"/>
      <c r="AE132" s="181"/>
      <c r="AF132" s="120"/>
      <c r="AG132" s="231">
        <f>SUM(AG117:AG131)</f>
        <v>3121789.8296978776</v>
      </c>
      <c r="AH132" s="120"/>
      <c r="AI132" s="231">
        <f>SUM(AI117:AI131)</f>
        <v>0</v>
      </c>
      <c r="AJ132" s="120"/>
      <c r="AK132" s="231">
        <f>SUM(AK117:AK131)</f>
        <v>0</v>
      </c>
      <c r="AL132" s="120"/>
      <c r="AM132" s="231">
        <f>SUM(AM117:AM131)</f>
        <v>0</v>
      </c>
      <c r="AN132" s="120"/>
      <c r="AO132" s="231">
        <f>SUM(AO117:AO131)</f>
        <v>0</v>
      </c>
      <c r="AP132" s="120"/>
      <c r="AQ132" s="231">
        <f>SUM(AQ117:AQ131)</f>
        <v>0</v>
      </c>
      <c r="AR132" s="120"/>
      <c r="AS132" s="231">
        <f>SUM(AS117:AS131)</f>
        <v>2286343.8977764612</v>
      </c>
      <c r="AT132" s="120"/>
      <c r="AU132" s="231">
        <f>SUM(AU117:AU131)</f>
        <v>790359.8087853234</v>
      </c>
      <c r="AV132" s="120"/>
      <c r="AW132" s="231">
        <f t="shared" ref="AW132" si="197">SUM(AW117:AW131)</f>
        <v>44476.851201821577</v>
      </c>
      <c r="AX132" s="120"/>
      <c r="AY132" s="231">
        <f t="shared" ref="AY132" si="198">SUM(AY117:AY131)</f>
        <v>609.27193427152838</v>
      </c>
      <c r="BA132" s="99">
        <f t="shared" si="117"/>
        <v>0</v>
      </c>
      <c r="BB132" s="82"/>
      <c r="BC132" s="82"/>
      <c r="BD132" s="82"/>
    </row>
    <row r="133" spans="1:56" x14ac:dyDescent="0.2">
      <c r="A133" s="177"/>
      <c r="B133" s="177"/>
      <c r="F133" s="120" t="s">
        <v>106</v>
      </c>
      <c r="G133" s="180"/>
      <c r="H133" s="181"/>
      <c r="I133" s="120"/>
      <c r="J133" s="231"/>
      <c r="K133" s="83"/>
      <c r="L133" s="83"/>
      <c r="M133" s="109"/>
      <c r="N133" s="83"/>
      <c r="O133" s="109"/>
      <c r="P133" s="83"/>
      <c r="Q133" s="109"/>
      <c r="R133" s="83"/>
      <c r="S133" s="109"/>
      <c r="T133" s="83"/>
      <c r="U133" s="109"/>
      <c r="V133" s="83"/>
      <c r="W133" s="109"/>
      <c r="X133" s="83"/>
      <c r="Z133" s="99">
        <f>SUM(L133:X133)-J133</f>
        <v>0</v>
      </c>
      <c r="AC133" s="120" t="s">
        <v>106</v>
      </c>
      <c r="AD133" s="180"/>
      <c r="AE133" s="181"/>
      <c r="AF133" s="120"/>
      <c r="AG133" s="231"/>
      <c r="AH133" s="83"/>
      <c r="AI133" s="83"/>
      <c r="AJ133" s="109"/>
      <c r="AK133" s="83"/>
      <c r="AL133" s="109"/>
      <c r="AM133" s="83"/>
      <c r="AN133" s="109"/>
      <c r="AO133" s="83"/>
      <c r="AP133" s="109"/>
      <c r="AQ133" s="83"/>
      <c r="AR133" s="109"/>
      <c r="AS133" s="83"/>
      <c r="AT133" s="109"/>
      <c r="AU133" s="83"/>
      <c r="AV133" s="109"/>
      <c r="AW133" s="83"/>
      <c r="AX133" s="109"/>
      <c r="AY133" s="83"/>
      <c r="BA133" s="99">
        <f t="shared" si="117"/>
        <v>0</v>
      </c>
      <c r="BB133" s="82"/>
      <c r="BC133" s="82"/>
      <c r="BD133" s="82"/>
    </row>
    <row r="134" spans="1:56" x14ac:dyDescent="0.2">
      <c r="A134" s="177"/>
      <c r="B134" s="177"/>
      <c r="F134" s="120"/>
      <c r="G134" s="180"/>
      <c r="H134" s="181"/>
      <c r="I134" s="120"/>
      <c r="J134" s="231"/>
      <c r="K134" s="83"/>
      <c r="L134" s="83"/>
      <c r="M134" s="109"/>
      <c r="N134" s="83"/>
      <c r="O134" s="109"/>
      <c r="P134" s="83"/>
      <c r="Q134" s="109"/>
      <c r="R134" s="83"/>
      <c r="S134" s="109"/>
      <c r="T134" s="83"/>
      <c r="U134" s="109"/>
      <c r="V134" s="83"/>
      <c r="W134" s="109"/>
      <c r="X134" s="83"/>
      <c r="Z134" s="99">
        <f>SUM(L134:X134)-J134</f>
        <v>0</v>
      </c>
      <c r="AC134" s="120"/>
      <c r="AE134" s="154"/>
      <c r="AG134" s="231"/>
      <c r="AH134" s="83"/>
      <c r="AI134" s="83"/>
      <c r="AJ134" s="109"/>
      <c r="AK134" s="83"/>
      <c r="AL134" s="109"/>
      <c r="AM134" s="83"/>
      <c r="AN134" s="109"/>
      <c r="AO134" s="83"/>
      <c r="AP134" s="109"/>
      <c r="AQ134" s="83"/>
      <c r="AR134" s="109"/>
      <c r="AS134" s="83"/>
      <c r="AT134" s="109"/>
      <c r="AU134" s="83"/>
      <c r="AV134" s="83"/>
      <c r="AW134" s="83"/>
      <c r="AX134" s="83"/>
      <c r="AY134" s="83"/>
      <c r="BA134" s="99">
        <f t="shared" si="117"/>
        <v>0</v>
      </c>
      <c r="BB134" s="82"/>
      <c r="BC134" s="82"/>
      <c r="BD134" s="82"/>
    </row>
    <row r="135" spans="1:56" x14ac:dyDescent="0.2">
      <c r="A135" s="177"/>
      <c r="B135" s="177"/>
      <c r="F135" s="307" t="s">
        <v>422</v>
      </c>
      <c r="G135" s="180"/>
      <c r="H135" s="181"/>
      <c r="I135" s="120"/>
      <c r="J135" s="231"/>
      <c r="K135" s="108"/>
      <c r="L135" s="83"/>
      <c r="M135" s="109"/>
      <c r="N135" s="83"/>
      <c r="O135" s="109"/>
      <c r="P135" s="83"/>
      <c r="Q135" s="109"/>
      <c r="R135" s="83"/>
      <c r="S135" s="109"/>
      <c r="T135" s="83"/>
      <c r="U135" s="109"/>
      <c r="V135" s="83"/>
      <c r="W135" s="109"/>
      <c r="X135" s="83"/>
      <c r="Z135" s="99">
        <f>SUM(L135:X135)-J135</f>
        <v>0</v>
      </c>
      <c r="AC135" s="120" t="s">
        <v>422</v>
      </c>
      <c r="AE135" s="154"/>
      <c r="AG135" s="231"/>
      <c r="AH135" s="108"/>
      <c r="AI135" s="83"/>
      <c r="AJ135" s="109"/>
      <c r="AK135" s="83"/>
      <c r="AL135" s="109"/>
      <c r="AM135" s="83"/>
      <c r="AN135" s="109"/>
      <c r="AO135" s="83"/>
      <c r="AP135" s="109"/>
      <c r="AQ135" s="83"/>
      <c r="AR135" s="109"/>
      <c r="AS135" s="83"/>
      <c r="AT135" s="109"/>
      <c r="AU135" s="83"/>
      <c r="AV135" s="83"/>
      <c r="AW135" s="83"/>
      <c r="AX135" s="83"/>
      <c r="AY135" s="83"/>
      <c r="BA135" s="99">
        <f t="shared" si="117"/>
        <v>0</v>
      </c>
      <c r="BB135" s="82"/>
      <c r="BC135" s="82"/>
      <c r="BD135" s="82"/>
    </row>
    <row r="136" spans="1:56" x14ac:dyDescent="0.2">
      <c r="A136" s="177"/>
      <c r="B136" s="177"/>
      <c r="F136" s="120" t="s">
        <v>97</v>
      </c>
      <c r="G136" s="180"/>
      <c r="H136" s="181"/>
      <c r="I136" s="120"/>
      <c r="J136" s="231"/>
      <c r="K136" s="108"/>
      <c r="L136" s="83"/>
      <c r="M136" s="109"/>
      <c r="N136" s="83"/>
      <c r="O136" s="109"/>
      <c r="P136" s="83"/>
      <c r="Q136" s="109"/>
      <c r="R136" s="83"/>
      <c r="S136" s="109"/>
      <c r="T136" s="83"/>
      <c r="U136" s="109"/>
      <c r="V136" s="83"/>
      <c r="W136" s="109"/>
      <c r="X136" s="83"/>
      <c r="Z136" s="99">
        <f>SUM(L136:X136)-J136</f>
        <v>0</v>
      </c>
      <c r="AC136" s="120" t="s">
        <v>97</v>
      </c>
      <c r="AG136" s="231"/>
      <c r="AH136" s="108"/>
      <c r="AI136" s="83"/>
      <c r="AJ136" s="109"/>
      <c r="AK136" s="83"/>
      <c r="AL136" s="109"/>
      <c r="AM136" s="83"/>
      <c r="AN136" s="109"/>
      <c r="AO136" s="83"/>
      <c r="AP136" s="109"/>
      <c r="AQ136" s="83"/>
      <c r="AR136" s="109"/>
      <c r="AS136" s="83"/>
      <c r="AT136" s="109"/>
      <c r="AU136" s="83"/>
      <c r="AV136" s="109"/>
      <c r="AW136" s="83"/>
      <c r="AX136" s="109"/>
      <c r="AY136" s="83"/>
      <c r="BA136" s="99">
        <f t="shared" si="117"/>
        <v>0</v>
      </c>
      <c r="BB136" s="82"/>
      <c r="BC136" s="82"/>
      <c r="BD136" s="82"/>
    </row>
    <row r="137" spans="1:56" x14ac:dyDescent="0.2">
      <c r="A137" s="177"/>
      <c r="B137" s="177"/>
      <c r="C137" s="116">
        <f>+Linkin!L74+Linkin!L95+Linkin!L84+Linkin!L103+Linkin!L106+Linkin!L107+Linkin!L108+Linkin!L109</f>
        <v>1241012.0517706096</v>
      </c>
      <c r="D137" s="412">
        <v>601.79999999999995</v>
      </c>
      <c r="F137" s="315" t="s">
        <v>955</v>
      </c>
      <c r="G137" s="316"/>
      <c r="H137" s="317">
        <v>15</v>
      </c>
      <c r="I137" s="315"/>
      <c r="J137" s="231">
        <f t="shared" ref="J137:J138" si="199">+C137</f>
        <v>1241012.0517706096</v>
      </c>
      <c r="K137" s="108"/>
      <c r="L137" s="115">
        <f>(VLOOKUP($H137,Factors,L$381))*$J137</f>
        <v>849224.54702662816</v>
      </c>
      <c r="M137" s="230"/>
      <c r="N137" s="115">
        <f>(VLOOKUP($H137,Factors,N$381))*$J137</f>
        <v>229463.12837238572</v>
      </c>
      <c r="O137" s="230"/>
      <c r="P137" s="115">
        <f>(VLOOKUP($H137,Factors,P$381))*$J137</f>
        <v>28667.37839590108</v>
      </c>
      <c r="Q137" s="230"/>
      <c r="R137" s="115">
        <f>(VLOOKUP($H137,Factors,R$381))*$J137</f>
        <v>62298.804998884603</v>
      </c>
      <c r="S137" s="230"/>
      <c r="T137" s="115">
        <f>(VLOOKUP($H137,Factors,T$381))*$J137</f>
        <v>16133.156673017924</v>
      </c>
      <c r="U137" s="230"/>
      <c r="V137" s="115">
        <f>(VLOOKUP($H137,Factors,V$381))*$J137</f>
        <v>19980.294033506812</v>
      </c>
      <c r="W137" s="230"/>
      <c r="X137" s="115">
        <f>(VLOOKUP($H137,Factors,X$381))*$J137</f>
        <v>35244.742270285315</v>
      </c>
      <c r="Y137" s="116"/>
      <c r="Z137" s="99">
        <f t="shared" ref="Z137:Z142" si="200">SUM(L137:X137)-J137</f>
        <v>0</v>
      </c>
      <c r="AC137" s="120" t="s">
        <v>596</v>
      </c>
      <c r="AE137" s="154">
        <f t="shared" ref="AE137:AE167" si="201">+H137</f>
        <v>15</v>
      </c>
      <c r="AG137" s="231">
        <f t="shared" ref="AG137:AG167" si="202">+J137</f>
        <v>1241012.0517706096</v>
      </c>
      <c r="AH137" s="108"/>
      <c r="AI137" s="115">
        <f>(VLOOKUP($AE137,func,AI$381))*$AG137</f>
        <v>317450.88284292194</v>
      </c>
      <c r="AJ137" s="230"/>
      <c r="AK137" s="115">
        <f>(VLOOKUP($AE137,func,AK$381))*$AG137</f>
        <v>187144.6174070079</v>
      </c>
      <c r="AL137" s="230"/>
      <c r="AM137" s="115">
        <f>(VLOOKUP($AE137,func,AM$381))*$AG137</f>
        <v>39960.588067013625</v>
      </c>
      <c r="AN137" s="230"/>
      <c r="AO137" s="115">
        <f>(VLOOKUP($AE137,func,AO$381))*$AG137</f>
        <v>204766.98854215059</v>
      </c>
      <c r="AP137" s="230"/>
      <c r="AQ137" s="115">
        <f>(VLOOKUP($AE137,func,AQ$381))*$AG137</f>
        <v>84388.819520401463</v>
      </c>
      <c r="AR137" s="230"/>
      <c r="AS137" s="115">
        <f>(VLOOKUP($AE137,func,AS$381))*$AG137</f>
        <v>262970.45377019217</v>
      </c>
      <c r="AT137" s="230"/>
      <c r="AU137" s="115">
        <f>(VLOOKUP($AE137,func,AU$381))*$AG137</f>
        <v>90966.183394785679</v>
      </c>
      <c r="AV137" s="69"/>
      <c r="AW137" s="69">
        <f>(VLOOKUP($AE137,func,AW$381))*$AG137</f>
        <v>18118.775955850899</v>
      </c>
      <c r="AX137" s="69"/>
      <c r="AY137" s="69">
        <f>(VLOOKUP($AE137,func,AY$381))*$AG137</f>
        <v>35244.742270285315</v>
      </c>
      <c r="BA137" s="99">
        <f t="shared" si="117"/>
        <v>0</v>
      </c>
      <c r="BB137" s="82"/>
      <c r="BC137" s="82"/>
      <c r="BD137" s="82"/>
    </row>
    <row r="138" spans="1:56" ht="12.75" customHeight="1" x14ac:dyDescent="0.2">
      <c r="A138" s="177"/>
      <c r="B138" s="177"/>
      <c r="C138" s="116">
        <f>+Linkin!L268+Linkin!L273+Linkin!L277</f>
        <v>120210.35318087714</v>
      </c>
      <c r="D138" s="412">
        <v>620.79999999999995</v>
      </c>
      <c r="F138" s="315" t="s">
        <v>653</v>
      </c>
      <c r="G138" s="316"/>
      <c r="H138" s="317">
        <v>15</v>
      </c>
      <c r="I138" s="315"/>
      <c r="J138" s="231">
        <f t="shared" si="199"/>
        <v>120210.35318087714</v>
      </c>
      <c r="K138" s="108"/>
      <c r="L138" s="115">
        <f>(VLOOKUP($H138,Factors,L$381))*$J138</f>
        <v>82259.944681674227</v>
      </c>
      <c r="M138" s="230"/>
      <c r="N138" s="115">
        <f>(VLOOKUP($H138,Factors,N$381))*$J138</f>
        <v>22226.894303144185</v>
      </c>
      <c r="O138" s="230"/>
      <c r="P138" s="115">
        <f>(VLOOKUP($H138,Factors,P$381))*$J138</f>
        <v>2776.8591584782616</v>
      </c>
      <c r="Q138" s="230"/>
      <c r="R138" s="115">
        <f>(VLOOKUP($H138,Factors,R$381))*$J138</f>
        <v>6034.5597296800324</v>
      </c>
      <c r="S138" s="230"/>
      <c r="T138" s="115">
        <f>(VLOOKUP($H138,Factors,T$381))*$J138</f>
        <v>1562.7345913514027</v>
      </c>
      <c r="U138" s="230"/>
      <c r="V138" s="115">
        <f>(VLOOKUP($H138,Factors,V$381))*$J138</f>
        <v>1935.386686212122</v>
      </c>
      <c r="W138" s="230"/>
      <c r="X138" s="115">
        <f>(VLOOKUP($H138,Factors,X$381))*$J138</f>
        <v>3413.9740303369108</v>
      </c>
      <c r="Y138" s="116"/>
      <c r="Z138" s="99">
        <f t="shared" si="200"/>
        <v>0</v>
      </c>
      <c r="AC138" s="120" t="s">
        <v>653</v>
      </c>
      <c r="AE138" s="154">
        <f t="shared" si="201"/>
        <v>15</v>
      </c>
      <c r="AG138" s="231">
        <f t="shared" si="202"/>
        <v>120210.35318087714</v>
      </c>
      <c r="AH138" s="108"/>
      <c r="AI138" s="115">
        <f>(VLOOKUP($AE138,func,AI$381))*$AG138</f>
        <v>30749.808343668374</v>
      </c>
      <c r="AJ138" s="230"/>
      <c r="AK138" s="115">
        <f>(VLOOKUP($AE138,func,AK$381))*$AG138</f>
        <v>18127.721259676269</v>
      </c>
      <c r="AL138" s="230"/>
      <c r="AM138" s="115">
        <f>(VLOOKUP($AE138,func,AM$381))*$AG138</f>
        <v>3870.7733724242439</v>
      </c>
      <c r="AN138" s="230"/>
      <c r="AO138" s="115">
        <f>(VLOOKUP($AE138,func,AO$381))*$AG138</f>
        <v>19834.708274844728</v>
      </c>
      <c r="AP138" s="230"/>
      <c r="AQ138" s="115">
        <f>(VLOOKUP($AE138,func,AQ$381))*$AG138</f>
        <v>8174.3040162996458</v>
      </c>
      <c r="AR138" s="230"/>
      <c r="AS138" s="115">
        <f>(VLOOKUP($AE138,func,AS$381))*$AG138</f>
        <v>25472.573839027868</v>
      </c>
      <c r="AT138" s="230"/>
      <c r="AU138" s="115">
        <f>(VLOOKUP($AE138,func,AU$381))*$AG138</f>
        <v>8811.4188881582941</v>
      </c>
      <c r="AV138" s="69"/>
      <c r="AW138" s="69">
        <f>(VLOOKUP($AE138,func,AW$381))*$AG138</f>
        <v>1755.0711564408061</v>
      </c>
      <c r="AX138" s="69"/>
      <c r="AY138" s="69">
        <f>(VLOOKUP($AE138,func,AY$381))*$AG138</f>
        <v>3413.9740303369108</v>
      </c>
      <c r="BA138" s="99">
        <f t="shared" ref="BA138:BA199" si="203">SUM(AI138:AY138)-AG138</f>
        <v>0</v>
      </c>
      <c r="BB138" s="82"/>
      <c r="BC138" s="82"/>
      <c r="BD138" s="82"/>
    </row>
    <row r="139" spans="1:56" x14ac:dyDescent="0.2">
      <c r="A139" s="177"/>
      <c r="B139" s="109">
        <f>SUM(J140:J143)-C139</f>
        <v>0</v>
      </c>
      <c r="C139" s="116">
        <f>+Linkin!L158</f>
        <v>8603681.3500592448</v>
      </c>
      <c r="F139" s="315" t="s">
        <v>897</v>
      </c>
      <c r="G139" s="316"/>
      <c r="H139" s="317"/>
      <c r="I139" s="315"/>
      <c r="J139" s="373"/>
      <c r="K139" s="108"/>
      <c r="L139" s="115"/>
      <c r="M139" s="230"/>
      <c r="N139" s="115"/>
      <c r="O139" s="230"/>
      <c r="P139" s="115"/>
      <c r="Q139" s="230"/>
      <c r="R139" s="115"/>
      <c r="S139" s="230"/>
      <c r="T139" s="115"/>
      <c r="U139" s="230"/>
      <c r="V139" s="115"/>
      <c r="W139" s="230"/>
      <c r="X139" s="115"/>
      <c r="Y139" s="116"/>
      <c r="Z139" s="99">
        <f t="shared" si="200"/>
        <v>0</v>
      </c>
      <c r="AC139" s="120" t="s">
        <v>597</v>
      </c>
      <c r="AG139" s="373"/>
      <c r="AH139" s="108"/>
      <c r="AI139" s="115"/>
      <c r="AJ139" s="230"/>
      <c r="AK139" s="115"/>
      <c r="AL139" s="230"/>
      <c r="AM139" s="115"/>
      <c r="AN139" s="230"/>
      <c r="AO139" s="115"/>
      <c r="AP139" s="230"/>
      <c r="AQ139" s="115"/>
      <c r="AR139" s="230"/>
      <c r="AS139" s="115"/>
      <c r="AT139" s="230"/>
      <c r="AU139" s="115"/>
      <c r="AV139" s="109"/>
      <c r="AW139" s="83"/>
      <c r="AX139" s="109"/>
      <c r="AY139" s="83"/>
      <c r="BA139" s="99">
        <f t="shared" si="203"/>
        <v>0</v>
      </c>
      <c r="BB139" s="82"/>
      <c r="BC139" s="82"/>
      <c r="BD139" s="82"/>
    </row>
    <row r="140" spans="1:56" s="496" customFormat="1" x14ac:dyDescent="0.2">
      <c r="A140" s="84"/>
      <c r="B140" s="505">
        <f>+Linkin!I533</f>
        <v>8038616</v>
      </c>
      <c r="C140" s="116"/>
      <c r="D140" s="412"/>
      <c r="E140" s="116"/>
      <c r="F140" s="315" t="s">
        <v>107</v>
      </c>
      <c r="G140" s="794"/>
      <c r="H140" s="317">
        <v>13</v>
      </c>
      <c r="I140" s="315"/>
      <c r="J140" s="231">
        <f>+Linkin!J529</f>
        <v>1845459.5400808302</v>
      </c>
      <c r="K140" s="295"/>
      <c r="L140" s="179">
        <f t="shared" ref="L140:L158" si="204">(VLOOKUP($H140,Factors,L$381))*$J140</f>
        <v>1662389.9537048119</v>
      </c>
      <c r="M140" s="116"/>
      <c r="N140" s="179">
        <f t="shared" ref="N140:N158" si="205">(VLOOKUP($H140,Factors,N$381))*$J140</f>
        <v>130104.89757569852</v>
      </c>
      <c r="O140" s="116"/>
      <c r="P140" s="179">
        <f t="shared" ref="P140:P158" si="206">(VLOOKUP($H140,Factors,P$381))*$J140</f>
        <v>738.18381603233217</v>
      </c>
      <c r="Q140" s="116"/>
      <c r="R140" s="179">
        <f t="shared" ref="R140:R158" si="207">(VLOOKUP($H140,Factors,R$381))*$J140</f>
        <v>10888.211286476899</v>
      </c>
      <c r="S140" s="116"/>
      <c r="T140" s="179">
        <f t="shared" ref="T140:T158" si="208">(VLOOKUP($H140,Factors,T$381))*$J140</f>
        <v>369.09190801616609</v>
      </c>
      <c r="U140" s="116"/>
      <c r="V140" s="179">
        <f t="shared" ref="V140:V158" si="209">(VLOOKUP($H140,Factors,V$381))*$J140</f>
        <v>40415.563927770178</v>
      </c>
      <c r="W140" s="116"/>
      <c r="X140" s="179">
        <f t="shared" ref="X140:X158" si="210">(VLOOKUP($H140,Factors,X$381))*$J140</f>
        <v>553.63786202424899</v>
      </c>
      <c r="Y140" s="116"/>
      <c r="Z140" s="99">
        <f t="shared" si="200"/>
        <v>0</v>
      </c>
      <c r="AC140" s="120" t="s">
        <v>107</v>
      </c>
      <c r="AE140" s="154">
        <f t="shared" si="201"/>
        <v>13</v>
      </c>
      <c r="AG140" s="231">
        <f t="shared" si="202"/>
        <v>1845459.5400808302</v>
      </c>
      <c r="AH140" s="295"/>
      <c r="AI140" s="179">
        <f t="shared" ref="AI140:AI158" si="211">(VLOOKUP($AE140,func,AI$381))*$AG140</f>
        <v>0</v>
      </c>
      <c r="AJ140" s="116"/>
      <c r="AK140" s="179">
        <f t="shared" ref="AK140:AK158" si="212">(VLOOKUP($AE140,func,AK$381))*$AG140</f>
        <v>0</v>
      </c>
      <c r="AL140" s="116"/>
      <c r="AM140" s="179">
        <f t="shared" ref="AM140:AM158" si="213">(VLOOKUP($AE140,func,AM$381))*$AG140</f>
        <v>0</v>
      </c>
      <c r="AN140" s="116"/>
      <c r="AO140" s="179">
        <f t="shared" ref="AO140:AO158" si="214">(VLOOKUP($AE140,func,AO$381))*$AG140</f>
        <v>0</v>
      </c>
      <c r="AP140" s="116"/>
      <c r="AQ140" s="179">
        <f t="shared" ref="AQ140:AQ158" si="215">(VLOOKUP($AE140,func,AQ$381))*$AG140</f>
        <v>0</v>
      </c>
      <c r="AR140" s="116"/>
      <c r="AS140" s="179">
        <f t="shared" ref="AS140:AS158" si="216">(VLOOKUP($AE140,func,AS$381))*$AG140</f>
        <v>1804490.3382910357</v>
      </c>
      <c r="AT140" s="116"/>
      <c r="AU140" s="179">
        <f t="shared" ref="AU140:AU158" si="217">(VLOOKUP($AE140,func,AU$381))*$AG140</f>
        <v>0</v>
      </c>
      <c r="AV140" s="182"/>
      <c r="AW140" s="182">
        <f t="shared" ref="AW140:AW158" si="218">(VLOOKUP($AE140,func,AW$381))*$AG140</f>
        <v>40415.563927770178</v>
      </c>
      <c r="AX140" s="182"/>
      <c r="AY140" s="182">
        <f t="shared" ref="AY140:AY158" si="219">(VLOOKUP($AE140,func,AY$381))*$AG140</f>
        <v>553.63786202424899</v>
      </c>
      <c r="BA140" s="99">
        <f t="shared" si="203"/>
        <v>0</v>
      </c>
      <c r="BB140" s="82"/>
      <c r="BC140" s="82"/>
      <c r="BD140" s="82"/>
    </row>
    <row r="141" spans="1:56" s="496" customFormat="1" x14ac:dyDescent="0.2">
      <c r="A141" s="84"/>
      <c r="B141" s="506"/>
      <c r="C141" s="116"/>
      <c r="D141" s="412"/>
      <c r="E141" s="116"/>
      <c r="F141" s="315" t="s">
        <v>461</v>
      </c>
      <c r="G141" s="794"/>
      <c r="H141" s="317">
        <v>16</v>
      </c>
      <c r="I141" s="315"/>
      <c r="J141" s="231">
        <f>+Linkin!J530</f>
        <v>763419.20467033854</v>
      </c>
      <c r="K141" s="295"/>
      <c r="L141" s="179">
        <f t="shared" si="204"/>
        <v>496222.48303572007</v>
      </c>
      <c r="M141" s="116"/>
      <c r="N141" s="179">
        <f t="shared" si="205"/>
        <v>157493.38192349084</v>
      </c>
      <c r="O141" s="116"/>
      <c r="P141" s="179">
        <f t="shared" si="206"/>
        <v>19848.899321428802</v>
      </c>
      <c r="Q141" s="116"/>
      <c r="R141" s="179">
        <f t="shared" si="207"/>
        <v>43209.526984341159</v>
      </c>
      <c r="S141" s="116"/>
      <c r="T141" s="179">
        <f t="shared" si="208"/>
        <v>11680.313831456178</v>
      </c>
      <c r="U141" s="116"/>
      <c r="V141" s="179">
        <f t="shared" si="209"/>
        <v>10840.552706318807</v>
      </c>
      <c r="W141" s="116"/>
      <c r="X141" s="179">
        <f t="shared" si="210"/>
        <v>24124.0468675827</v>
      </c>
      <c r="Y141" s="116"/>
      <c r="Z141" s="99">
        <f t="shared" si="200"/>
        <v>0</v>
      </c>
      <c r="AC141" s="120" t="s">
        <v>461</v>
      </c>
      <c r="AE141" s="154">
        <f t="shared" si="201"/>
        <v>16</v>
      </c>
      <c r="AG141" s="231">
        <f t="shared" si="202"/>
        <v>763419.20467033854</v>
      </c>
      <c r="AH141" s="295"/>
      <c r="AI141" s="179">
        <f t="shared" si="211"/>
        <v>215284.21571703546</v>
      </c>
      <c r="AJ141" s="116"/>
      <c r="AK141" s="179">
        <f t="shared" si="212"/>
        <v>147339.90650137534</v>
      </c>
      <c r="AL141" s="116"/>
      <c r="AM141" s="179">
        <f t="shared" si="213"/>
        <v>23513.311503846428</v>
      </c>
      <c r="AN141" s="116"/>
      <c r="AO141" s="179">
        <f t="shared" si="214"/>
        <v>185129.1571325571</v>
      </c>
      <c r="AP141" s="116"/>
      <c r="AQ141" s="179">
        <f t="shared" si="215"/>
        <v>59852.065646154537</v>
      </c>
      <c r="AR141" s="116"/>
      <c r="AS141" s="179">
        <f t="shared" si="216"/>
        <v>88480.285821292244</v>
      </c>
      <c r="AT141" s="116"/>
      <c r="AU141" s="179">
        <f t="shared" si="217"/>
        <v>9466.3981379121979</v>
      </c>
      <c r="AV141" s="182"/>
      <c r="AW141" s="182">
        <f t="shared" si="218"/>
        <v>10229.817342582537</v>
      </c>
      <c r="AX141" s="182"/>
      <c r="AY141" s="182">
        <f t="shared" si="219"/>
        <v>24124.0468675827</v>
      </c>
      <c r="BA141" s="99">
        <f t="shared" si="203"/>
        <v>0</v>
      </c>
      <c r="BB141" s="82"/>
      <c r="BC141" s="82"/>
      <c r="BD141" s="82"/>
    </row>
    <row r="142" spans="1:56" s="496" customFormat="1" x14ac:dyDescent="0.2">
      <c r="A142" s="84"/>
      <c r="B142" s="84"/>
      <c r="C142" s="116"/>
      <c r="D142" s="412"/>
      <c r="E142" s="116"/>
      <c r="F142" s="315" t="s">
        <v>108</v>
      </c>
      <c r="G142" s="794"/>
      <c r="H142" s="317">
        <v>1</v>
      </c>
      <c r="I142" s="315"/>
      <c r="J142" s="231">
        <f>+Linkin!J531</f>
        <v>65004.297604941974</v>
      </c>
      <c r="K142" s="295"/>
      <c r="L142" s="179">
        <f t="shared" si="204"/>
        <v>31923.610553787003</v>
      </c>
      <c r="M142" s="116"/>
      <c r="N142" s="179">
        <f t="shared" si="205"/>
        <v>19988.821513519655</v>
      </c>
      <c r="O142" s="116"/>
      <c r="P142" s="179">
        <f t="shared" si="206"/>
        <v>3542.7342194693374</v>
      </c>
      <c r="Q142" s="116"/>
      <c r="R142" s="179">
        <f t="shared" si="207"/>
        <v>6844.95253780039</v>
      </c>
      <c r="S142" s="116"/>
      <c r="T142" s="179">
        <f t="shared" si="208"/>
        <v>2307.6525649754399</v>
      </c>
      <c r="U142" s="116"/>
      <c r="V142" s="179">
        <f t="shared" si="209"/>
        <v>182.01203329383753</v>
      </c>
      <c r="W142" s="116"/>
      <c r="X142" s="179">
        <f t="shared" si="210"/>
        <v>214.5141820963085</v>
      </c>
      <c r="Y142" s="116"/>
      <c r="Z142" s="99">
        <f t="shared" si="200"/>
        <v>0</v>
      </c>
      <c r="AC142" s="120" t="s">
        <v>108</v>
      </c>
      <c r="AE142" s="154">
        <f t="shared" si="201"/>
        <v>1</v>
      </c>
      <c r="AG142" s="231">
        <f t="shared" si="202"/>
        <v>65004.297604941974</v>
      </c>
      <c r="AH142" s="295"/>
      <c r="AI142" s="179">
        <f t="shared" si="211"/>
        <v>64607.771389551832</v>
      </c>
      <c r="AJ142" s="116"/>
      <c r="AK142" s="179">
        <f t="shared" si="212"/>
        <v>0</v>
      </c>
      <c r="AL142" s="116"/>
      <c r="AM142" s="179">
        <f t="shared" si="213"/>
        <v>0</v>
      </c>
      <c r="AN142" s="116"/>
      <c r="AO142" s="179">
        <f t="shared" si="214"/>
        <v>0</v>
      </c>
      <c r="AP142" s="116"/>
      <c r="AQ142" s="179">
        <f t="shared" si="215"/>
        <v>0</v>
      </c>
      <c r="AR142" s="116"/>
      <c r="AS142" s="179">
        <f t="shared" si="216"/>
        <v>0</v>
      </c>
      <c r="AT142" s="116"/>
      <c r="AU142" s="179">
        <f t="shared" si="217"/>
        <v>0</v>
      </c>
      <c r="AV142" s="182"/>
      <c r="AW142" s="182">
        <f t="shared" si="218"/>
        <v>182.01203329383753</v>
      </c>
      <c r="AX142" s="182"/>
      <c r="AY142" s="182">
        <f t="shared" si="219"/>
        <v>214.5141820963085</v>
      </c>
      <c r="BA142" s="99">
        <f t="shared" si="203"/>
        <v>0</v>
      </c>
      <c r="BB142" s="82"/>
      <c r="BC142" s="82"/>
      <c r="BD142" s="82"/>
    </row>
    <row r="143" spans="1:56" s="496" customFormat="1" x14ac:dyDescent="0.2">
      <c r="A143" s="507"/>
      <c r="B143" s="507"/>
      <c r="C143" s="116"/>
      <c r="D143" s="412"/>
      <c r="E143" s="116"/>
      <c r="F143" s="315" t="s">
        <v>109</v>
      </c>
      <c r="G143" s="794"/>
      <c r="H143" s="317">
        <v>15</v>
      </c>
      <c r="I143" s="315"/>
      <c r="J143" s="231">
        <f>+Linkin!J528</f>
        <v>5929798.3077031337</v>
      </c>
      <c r="K143" s="295"/>
      <c r="L143" s="179">
        <f t="shared" si="204"/>
        <v>4057760.9819612545</v>
      </c>
      <c r="M143" s="116"/>
      <c r="N143" s="179">
        <f t="shared" si="205"/>
        <v>1096419.7070943094</v>
      </c>
      <c r="O143" s="116"/>
      <c r="P143" s="179">
        <f t="shared" si="206"/>
        <v>136978.34090794239</v>
      </c>
      <c r="Q143" s="116"/>
      <c r="R143" s="179">
        <f t="shared" si="207"/>
        <v>297675.87504669733</v>
      </c>
      <c r="S143" s="116"/>
      <c r="T143" s="179">
        <f t="shared" si="208"/>
        <v>77087.378000140729</v>
      </c>
      <c r="U143" s="116"/>
      <c r="V143" s="179">
        <f t="shared" si="209"/>
        <v>95469.752754020446</v>
      </c>
      <c r="W143" s="116"/>
      <c r="X143" s="179">
        <f t="shared" si="210"/>
        <v>168406.271938769</v>
      </c>
      <c r="Y143" s="116"/>
      <c r="Z143" s="99">
        <f t="shared" ref="Z143:Z177" si="220">SUM(L143:X143)-J143</f>
        <v>0</v>
      </c>
      <c r="AC143" s="120" t="s">
        <v>109</v>
      </c>
      <c r="AE143" s="154">
        <f t="shared" si="201"/>
        <v>15</v>
      </c>
      <c r="AG143" s="231">
        <f t="shared" si="202"/>
        <v>5929798.3077031337</v>
      </c>
      <c r="AH143" s="295"/>
      <c r="AI143" s="179">
        <f t="shared" si="211"/>
        <v>1516842.4071104617</v>
      </c>
      <c r="AJ143" s="116"/>
      <c r="AK143" s="179">
        <f t="shared" si="212"/>
        <v>894213.58480163245</v>
      </c>
      <c r="AL143" s="116"/>
      <c r="AM143" s="179">
        <f t="shared" si="213"/>
        <v>190939.50550804089</v>
      </c>
      <c r="AN143" s="116"/>
      <c r="AO143" s="179">
        <f t="shared" si="214"/>
        <v>978416.72077101714</v>
      </c>
      <c r="AP143" s="116"/>
      <c r="AQ143" s="179">
        <f t="shared" si="215"/>
        <v>403226.28492381313</v>
      </c>
      <c r="AR143" s="116"/>
      <c r="AS143" s="179">
        <f t="shared" si="216"/>
        <v>1256524.261402294</v>
      </c>
      <c r="AT143" s="116"/>
      <c r="AU143" s="179">
        <f t="shared" si="217"/>
        <v>434654.21595463972</v>
      </c>
      <c r="AV143" s="182"/>
      <c r="AW143" s="182">
        <f t="shared" si="218"/>
        <v>86575.055292465753</v>
      </c>
      <c r="AX143" s="182"/>
      <c r="AY143" s="182">
        <f t="shared" si="219"/>
        <v>168406.271938769</v>
      </c>
      <c r="BA143" s="99">
        <f t="shared" si="203"/>
        <v>0</v>
      </c>
      <c r="BB143" s="82"/>
      <c r="BC143" s="82"/>
      <c r="BD143" s="82"/>
    </row>
    <row r="144" spans="1:56" s="496" customFormat="1" x14ac:dyDescent="0.2">
      <c r="A144" s="507"/>
      <c r="B144" s="507"/>
      <c r="C144" s="116">
        <f>+Linkin!L162+Linkin!L168+Linkin!L169+Linkin!L170+SUM(Linkin!L172:L175)</f>
        <v>544634.39935029298</v>
      </c>
      <c r="D144" s="412">
        <v>632.79999999999995</v>
      </c>
      <c r="E144" s="116"/>
      <c r="F144" s="315" t="s">
        <v>650</v>
      </c>
      <c r="G144" s="794"/>
      <c r="H144" s="317">
        <v>15</v>
      </c>
      <c r="I144" s="315"/>
      <c r="J144" s="231">
        <f>+C144</f>
        <v>544634.39935029298</v>
      </c>
      <c r="K144" s="295"/>
      <c r="L144" s="179">
        <f t="shared" si="204"/>
        <v>372693.3194754055</v>
      </c>
      <c r="M144" s="116"/>
      <c r="N144" s="179">
        <f t="shared" si="205"/>
        <v>100702.90043986918</v>
      </c>
      <c r="O144" s="116"/>
      <c r="P144" s="179">
        <f t="shared" si="206"/>
        <v>12581.054624991768</v>
      </c>
      <c r="Q144" s="116"/>
      <c r="R144" s="179">
        <f t="shared" si="207"/>
        <v>27340.646847384709</v>
      </c>
      <c r="S144" s="116"/>
      <c r="T144" s="179">
        <f t="shared" si="208"/>
        <v>7080.2471915538081</v>
      </c>
      <c r="U144" s="116"/>
      <c r="V144" s="179">
        <f t="shared" si="209"/>
        <v>8768.6138295397177</v>
      </c>
      <c r="W144" s="116"/>
      <c r="X144" s="179">
        <f t="shared" si="210"/>
        <v>15467.616941548322</v>
      </c>
      <c r="Y144" s="116"/>
      <c r="Z144" s="99">
        <f t="shared" si="220"/>
        <v>0</v>
      </c>
      <c r="AC144" s="120" t="s">
        <v>650</v>
      </c>
      <c r="AE144" s="154">
        <f t="shared" si="201"/>
        <v>15</v>
      </c>
      <c r="AG144" s="231">
        <f t="shared" si="202"/>
        <v>544634.39935029298</v>
      </c>
      <c r="AH144" s="295"/>
      <c r="AI144" s="179">
        <f t="shared" si="211"/>
        <v>139317.47935380496</v>
      </c>
      <c r="AJ144" s="116"/>
      <c r="AK144" s="179">
        <f t="shared" si="212"/>
        <v>82130.867422024181</v>
      </c>
      <c r="AL144" s="116"/>
      <c r="AM144" s="179">
        <f t="shared" si="213"/>
        <v>17537.227659079435</v>
      </c>
      <c r="AN144" s="116"/>
      <c r="AO144" s="179">
        <f t="shared" si="214"/>
        <v>89864.675892798346</v>
      </c>
      <c r="AP144" s="116"/>
      <c r="AQ144" s="179">
        <f t="shared" si="215"/>
        <v>37035.139155819925</v>
      </c>
      <c r="AR144" s="116"/>
      <c r="AS144" s="179">
        <f t="shared" si="216"/>
        <v>115408.02922232708</v>
      </c>
      <c r="AT144" s="116"/>
      <c r="AU144" s="179">
        <f t="shared" si="217"/>
        <v>39921.701472376481</v>
      </c>
      <c r="AV144" s="182"/>
      <c r="AW144" s="182">
        <f t="shared" si="218"/>
        <v>7951.6622305142773</v>
      </c>
      <c r="AX144" s="182"/>
      <c r="AY144" s="182">
        <f t="shared" si="219"/>
        <v>15467.616941548322</v>
      </c>
      <c r="BA144" s="99">
        <f t="shared" si="203"/>
        <v>0</v>
      </c>
      <c r="BB144" s="82"/>
      <c r="BC144" s="82"/>
      <c r="BD144" s="82"/>
    </row>
    <row r="145" spans="1:56" s="392" customFormat="1" x14ac:dyDescent="0.2">
      <c r="A145" s="299"/>
      <c r="B145" s="299"/>
      <c r="C145" s="116">
        <f>+Linkin!L308</f>
        <v>3543.0513018819283</v>
      </c>
      <c r="D145" s="412">
        <v>642.79999999999995</v>
      </c>
      <c r="E145" s="116"/>
      <c r="F145" s="315" t="s">
        <v>592</v>
      </c>
      <c r="G145" s="316"/>
      <c r="H145" s="317">
        <v>15</v>
      </c>
      <c r="I145" s="315"/>
      <c r="J145" s="231">
        <f>+C145</f>
        <v>3543.0513018819283</v>
      </c>
      <c r="K145" s="108"/>
      <c r="L145" s="115">
        <f t="shared" si="204"/>
        <v>2424.5100058778035</v>
      </c>
      <c r="M145" s="230"/>
      <c r="N145" s="115">
        <f t="shared" si="205"/>
        <v>655.11018571796853</v>
      </c>
      <c r="O145" s="230"/>
      <c r="P145" s="115">
        <f t="shared" si="206"/>
        <v>81.844485073472541</v>
      </c>
      <c r="Q145" s="230"/>
      <c r="R145" s="115">
        <f t="shared" si="207"/>
        <v>177.86117535447281</v>
      </c>
      <c r="S145" s="230"/>
      <c r="T145" s="115">
        <f t="shared" si="208"/>
        <v>46.05966692446507</v>
      </c>
      <c r="U145" s="230"/>
      <c r="V145" s="115">
        <f t="shared" si="209"/>
        <v>57.043125960299044</v>
      </c>
      <c r="W145" s="230"/>
      <c r="X145" s="115">
        <f t="shared" si="210"/>
        <v>100.62265697344677</v>
      </c>
      <c r="Y145" s="116"/>
      <c r="Z145" s="99">
        <f t="shared" si="220"/>
        <v>0</v>
      </c>
      <c r="AC145" s="120" t="s">
        <v>592</v>
      </c>
      <c r="AE145" s="154">
        <f t="shared" si="201"/>
        <v>15</v>
      </c>
      <c r="AG145" s="231">
        <f t="shared" si="202"/>
        <v>3543.0513018819283</v>
      </c>
      <c r="AH145" s="108"/>
      <c r="AI145" s="115">
        <f t="shared" si="211"/>
        <v>906.3125230213974</v>
      </c>
      <c r="AJ145" s="230"/>
      <c r="AK145" s="115">
        <f t="shared" si="212"/>
        <v>534.29213632379481</v>
      </c>
      <c r="AL145" s="230"/>
      <c r="AM145" s="115">
        <f t="shared" si="213"/>
        <v>114.08625192059809</v>
      </c>
      <c r="AN145" s="230"/>
      <c r="AO145" s="115">
        <f t="shared" si="214"/>
        <v>584.60346481051818</v>
      </c>
      <c r="AP145" s="230"/>
      <c r="AQ145" s="115">
        <f t="shared" si="215"/>
        <v>240.92748852797115</v>
      </c>
      <c r="AR145" s="230"/>
      <c r="AS145" s="115">
        <f t="shared" si="216"/>
        <v>750.77257086878058</v>
      </c>
      <c r="AT145" s="230"/>
      <c r="AU145" s="115">
        <f t="shared" si="217"/>
        <v>259.70566042794536</v>
      </c>
      <c r="AV145" s="69"/>
      <c r="AW145" s="69">
        <f t="shared" si="218"/>
        <v>51.728549007476154</v>
      </c>
      <c r="AX145" s="69"/>
      <c r="AY145" s="69">
        <f t="shared" si="219"/>
        <v>100.62265697344677</v>
      </c>
      <c r="BA145" s="99">
        <f t="shared" si="203"/>
        <v>0</v>
      </c>
      <c r="BB145" s="82"/>
      <c r="BC145" s="82"/>
      <c r="BD145" s="82"/>
    </row>
    <row r="146" spans="1:56" s="392" customFormat="1" x14ac:dyDescent="0.2">
      <c r="A146" s="299"/>
      <c r="B146" s="299"/>
      <c r="C146" s="116">
        <f>+Linkin!L317+Linkin!L320+Linkin!L321+Linkin!L322+Linkin!L323+Linkin!L324+Linkin!L325</f>
        <v>428558.21349777165</v>
      </c>
      <c r="D146" s="412">
        <v>650.79999999999995</v>
      </c>
      <c r="E146" s="116"/>
      <c r="F146" s="315" t="s">
        <v>662</v>
      </c>
      <c r="G146" s="316"/>
      <c r="H146" s="317">
        <v>15</v>
      </c>
      <c r="I146" s="315"/>
      <c r="J146" s="231">
        <f>+C146</f>
        <v>428558.21349777165</v>
      </c>
      <c r="K146" s="108"/>
      <c r="L146" s="115">
        <f t="shared" si="204"/>
        <v>293262.38549652515</v>
      </c>
      <c r="M146" s="230"/>
      <c r="N146" s="115">
        <f t="shared" si="205"/>
        <v>79240.413675737975</v>
      </c>
      <c r="O146" s="230"/>
      <c r="P146" s="115">
        <f t="shared" si="206"/>
        <v>9899.694731798525</v>
      </c>
      <c r="Q146" s="230"/>
      <c r="R146" s="115">
        <f t="shared" si="207"/>
        <v>21513.622317588139</v>
      </c>
      <c r="S146" s="230"/>
      <c r="T146" s="115">
        <f t="shared" si="208"/>
        <v>5571.2567754710308</v>
      </c>
      <c r="U146" s="230"/>
      <c r="V146" s="115">
        <f t="shared" si="209"/>
        <v>6899.7872373141236</v>
      </c>
      <c r="W146" s="230"/>
      <c r="X146" s="115">
        <f t="shared" si="210"/>
        <v>12171.053263336715</v>
      </c>
      <c r="Y146" s="116"/>
      <c r="Z146" s="99">
        <f t="shared" si="220"/>
        <v>0</v>
      </c>
      <c r="AC146" s="120" t="s">
        <v>662</v>
      </c>
      <c r="AE146" s="154">
        <f t="shared" si="201"/>
        <v>15</v>
      </c>
      <c r="AG146" s="231">
        <f t="shared" si="202"/>
        <v>428558.21349777165</v>
      </c>
      <c r="AH146" s="108"/>
      <c r="AI146" s="115">
        <f t="shared" si="211"/>
        <v>109625.19101272999</v>
      </c>
      <c r="AJ146" s="230"/>
      <c r="AK146" s="115">
        <f t="shared" si="212"/>
        <v>64626.578595463958</v>
      </c>
      <c r="AL146" s="230"/>
      <c r="AM146" s="115">
        <f t="shared" si="213"/>
        <v>13799.574474628247</v>
      </c>
      <c r="AN146" s="230"/>
      <c r="AO146" s="115">
        <f t="shared" si="214"/>
        <v>70712.105227132328</v>
      </c>
      <c r="AP146" s="230"/>
      <c r="AQ146" s="115">
        <f t="shared" si="215"/>
        <v>29141.958517848474</v>
      </c>
      <c r="AR146" s="230"/>
      <c r="AS146" s="115">
        <f t="shared" si="216"/>
        <v>90811.485440177814</v>
      </c>
      <c r="AT146" s="230"/>
      <c r="AU146" s="115">
        <f t="shared" si="217"/>
        <v>31413.317049386664</v>
      </c>
      <c r="AV146" s="69"/>
      <c r="AW146" s="69">
        <f t="shared" si="218"/>
        <v>6256.9499170674662</v>
      </c>
      <c r="AX146" s="69"/>
      <c r="AY146" s="69">
        <f t="shared" si="219"/>
        <v>12171.053263336715</v>
      </c>
      <c r="BA146" s="99">
        <f t="shared" si="203"/>
        <v>0</v>
      </c>
      <c r="BB146" s="82"/>
      <c r="BC146" s="82"/>
      <c r="BD146" s="82"/>
    </row>
    <row r="147" spans="1:56" x14ac:dyDescent="0.2">
      <c r="A147" s="299"/>
      <c r="B147" s="299"/>
      <c r="C147" s="524">
        <f>+Linkin!L354-C148</f>
        <v>692996.07152587187</v>
      </c>
      <c r="D147" s="412">
        <v>656.8</v>
      </c>
      <c r="F147" s="315" t="s">
        <v>651</v>
      </c>
      <c r="G147" s="316"/>
      <c r="H147" s="317">
        <v>15</v>
      </c>
      <c r="I147" s="315"/>
      <c r="J147" s="231">
        <f t="shared" ref="J147:J166" si="221">+C147</f>
        <v>692996.07152587187</v>
      </c>
      <c r="K147" s="108"/>
      <c r="L147" s="115">
        <f t="shared" si="204"/>
        <v>474217.21174515411</v>
      </c>
      <c r="M147" s="230"/>
      <c r="N147" s="115">
        <f t="shared" si="205"/>
        <v>128134.97362513372</v>
      </c>
      <c r="O147" s="230"/>
      <c r="P147" s="115">
        <f t="shared" si="206"/>
        <v>16008.20925224764</v>
      </c>
      <c r="Q147" s="230"/>
      <c r="R147" s="115">
        <f t="shared" si="207"/>
        <v>34788.402790598768</v>
      </c>
      <c r="S147" s="230"/>
      <c r="T147" s="115">
        <f t="shared" si="208"/>
        <v>9008.9489298363333</v>
      </c>
      <c r="U147" s="230"/>
      <c r="V147" s="115">
        <f t="shared" si="209"/>
        <v>11157.236751566537</v>
      </c>
      <c r="W147" s="230"/>
      <c r="X147" s="115">
        <f t="shared" si="210"/>
        <v>19681.088431334763</v>
      </c>
      <c r="Y147" s="116"/>
      <c r="Z147" s="99">
        <f t="shared" si="220"/>
        <v>0</v>
      </c>
      <c r="AC147" s="120" t="s">
        <v>651</v>
      </c>
      <c r="AE147" s="154">
        <f t="shared" si="201"/>
        <v>15</v>
      </c>
      <c r="AG147" s="231">
        <f t="shared" si="202"/>
        <v>692996.07152587187</v>
      </c>
      <c r="AH147" s="108"/>
      <c r="AI147" s="115">
        <f t="shared" si="211"/>
        <v>177268.39509631804</v>
      </c>
      <c r="AJ147" s="230"/>
      <c r="AK147" s="115">
        <f t="shared" si="212"/>
        <v>104503.80758610147</v>
      </c>
      <c r="AL147" s="230"/>
      <c r="AM147" s="115">
        <f t="shared" si="213"/>
        <v>22314.473503133075</v>
      </c>
      <c r="AN147" s="230"/>
      <c r="AO147" s="115">
        <f t="shared" si="214"/>
        <v>114344.35180176886</v>
      </c>
      <c r="AP147" s="230"/>
      <c r="AQ147" s="115">
        <f t="shared" si="215"/>
        <v>47123.732863759287</v>
      </c>
      <c r="AR147" s="230"/>
      <c r="AS147" s="115">
        <f t="shared" si="216"/>
        <v>146845.86755633226</v>
      </c>
      <c r="AT147" s="230"/>
      <c r="AU147" s="115">
        <f t="shared" si="217"/>
        <v>50796.612042846413</v>
      </c>
      <c r="AV147" s="69"/>
      <c r="AW147" s="69">
        <f t="shared" si="218"/>
        <v>10117.742644277729</v>
      </c>
      <c r="AX147" s="69"/>
      <c r="AY147" s="69">
        <f t="shared" si="219"/>
        <v>19681.088431334763</v>
      </c>
      <c r="BA147" s="99">
        <f t="shared" si="203"/>
        <v>0</v>
      </c>
      <c r="BB147" s="82"/>
      <c r="BC147" s="82"/>
      <c r="BD147" s="82"/>
    </row>
    <row r="148" spans="1:56" x14ac:dyDescent="0.2">
      <c r="A148" s="300"/>
      <c r="B148" s="300"/>
      <c r="C148" s="116">
        <f>+Linkin!L349+Linkin!L350+Linkin!L351</f>
        <v>112582.9284741281</v>
      </c>
      <c r="D148" s="412">
        <v>658.8</v>
      </c>
      <c r="F148" s="315" t="s">
        <v>598</v>
      </c>
      <c r="G148" s="316"/>
      <c r="H148" s="317">
        <v>16</v>
      </c>
      <c r="I148" s="315"/>
      <c r="J148" s="231">
        <f t="shared" si="221"/>
        <v>112582.9284741281</v>
      </c>
      <c r="K148" s="108"/>
      <c r="L148" s="115">
        <f t="shared" si="204"/>
        <v>73178.90350818327</v>
      </c>
      <c r="M148" s="230"/>
      <c r="N148" s="115">
        <f t="shared" si="205"/>
        <v>23225.858144212627</v>
      </c>
      <c r="O148" s="230"/>
      <c r="P148" s="115">
        <f t="shared" si="206"/>
        <v>2927.1561403273304</v>
      </c>
      <c r="Q148" s="230"/>
      <c r="R148" s="115">
        <f t="shared" si="207"/>
        <v>6372.1937516356502</v>
      </c>
      <c r="S148" s="230"/>
      <c r="T148" s="115">
        <f t="shared" si="208"/>
        <v>1722.5188056541599</v>
      </c>
      <c r="U148" s="230"/>
      <c r="V148" s="115">
        <f t="shared" si="209"/>
        <v>1598.6775843326191</v>
      </c>
      <c r="W148" s="230"/>
      <c r="X148" s="115">
        <f t="shared" si="210"/>
        <v>3557.6205397824483</v>
      </c>
      <c r="Y148" s="116"/>
      <c r="Z148" s="99">
        <f t="shared" si="220"/>
        <v>0</v>
      </c>
      <c r="AC148" s="120" t="s">
        <v>598</v>
      </c>
      <c r="AE148" s="154">
        <f t="shared" si="201"/>
        <v>16</v>
      </c>
      <c r="AG148" s="231">
        <f t="shared" si="202"/>
        <v>112582.9284741281</v>
      </c>
      <c r="AH148" s="108"/>
      <c r="AI148" s="115">
        <f t="shared" si="211"/>
        <v>31748.385829704122</v>
      </c>
      <c r="AJ148" s="230"/>
      <c r="AK148" s="115">
        <f t="shared" si="212"/>
        <v>21728.505195506725</v>
      </c>
      <c r="AL148" s="230"/>
      <c r="AM148" s="115">
        <f t="shared" si="213"/>
        <v>3467.5541970031454</v>
      </c>
      <c r="AN148" s="230"/>
      <c r="AO148" s="115">
        <f t="shared" si="214"/>
        <v>27301.360154976064</v>
      </c>
      <c r="AP148" s="230"/>
      <c r="AQ148" s="115">
        <f t="shared" si="215"/>
        <v>8826.5015923716437</v>
      </c>
      <c r="AR148" s="230"/>
      <c r="AS148" s="115">
        <f t="shared" si="216"/>
        <v>13048.361410151447</v>
      </c>
      <c r="AT148" s="230"/>
      <c r="AU148" s="115">
        <f t="shared" si="217"/>
        <v>1396.0283130791884</v>
      </c>
      <c r="AV148" s="69"/>
      <c r="AW148" s="69">
        <f t="shared" si="218"/>
        <v>1508.6112415533166</v>
      </c>
      <c r="AX148" s="69"/>
      <c r="AY148" s="69">
        <f t="shared" si="219"/>
        <v>3557.6205397824483</v>
      </c>
      <c r="BA148" s="99">
        <f t="shared" si="203"/>
        <v>0</v>
      </c>
      <c r="BB148" s="82"/>
      <c r="BC148" s="82"/>
      <c r="BD148" s="82"/>
    </row>
    <row r="149" spans="1:56" x14ac:dyDescent="0.2">
      <c r="A149" s="222"/>
      <c r="B149" s="223"/>
      <c r="C149" s="116">
        <f>+Linkin!L114+Linkin!L120+SUM(Linkin!L122:L129)+Linkin!L133+Linkin!L134+Linkin!L135+Linkin!L136+Linkin!L137+Linkin!L138+Linkin!L139</f>
        <v>3016848.8480201527</v>
      </c>
      <c r="D149" s="412">
        <v>604.79999999999995</v>
      </c>
      <c r="F149" s="315" t="s">
        <v>599</v>
      </c>
      <c r="G149" s="316"/>
      <c r="H149" s="317">
        <v>16</v>
      </c>
      <c r="I149" s="315"/>
      <c r="J149" s="231">
        <f t="shared" si="221"/>
        <v>3016848.8480201527</v>
      </c>
      <c r="K149" s="108"/>
      <c r="L149" s="115">
        <f t="shared" si="204"/>
        <v>1960951.7512130993</v>
      </c>
      <c r="M149" s="230"/>
      <c r="N149" s="115">
        <f t="shared" si="205"/>
        <v>622375.91734655749</v>
      </c>
      <c r="O149" s="230"/>
      <c r="P149" s="115">
        <f t="shared" si="206"/>
        <v>78438.070048523965</v>
      </c>
      <c r="Q149" s="230"/>
      <c r="R149" s="115">
        <f t="shared" si="207"/>
        <v>170753.64479794062</v>
      </c>
      <c r="S149" s="230"/>
      <c r="T149" s="115">
        <f t="shared" si="208"/>
        <v>46157.787374708336</v>
      </c>
      <c r="U149" s="230"/>
      <c r="V149" s="115">
        <f t="shared" si="209"/>
        <v>42839.253641886171</v>
      </c>
      <c r="W149" s="230"/>
      <c r="X149" s="115">
        <f t="shared" si="210"/>
        <v>95332.423597436835</v>
      </c>
      <c r="Y149" s="116"/>
      <c r="Z149" s="99">
        <f t="shared" si="220"/>
        <v>0</v>
      </c>
      <c r="AC149" s="120" t="s">
        <v>599</v>
      </c>
      <c r="AE149" s="154">
        <f t="shared" si="201"/>
        <v>16</v>
      </c>
      <c r="AG149" s="231">
        <f t="shared" si="202"/>
        <v>3016848.8480201527</v>
      </c>
      <c r="AH149" s="108"/>
      <c r="AI149" s="115">
        <f t="shared" si="211"/>
        <v>850751.37514168292</v>
      </c>
      <c r="AJ149" s="230"/>
      <c r="AK149" s="115">
        <f t="shared" si="212"/>
        <v>582251.82766788953</v>
      </c>
      <c r="AL149" s="230"/>
      <c r="AM149" s="115">
        <f t="shared" si="213"/>
        <v>92918.944519020704</v>
      </c>
      <c r="AN149" s="230"/>
      <c r="AO149" s="115">
        <f t="shared" si="214"/>
        <v>731585.84564488695</v>
      </c>
      <c r="AP149" s="230"/>
      <c r="AQ149" s="115">
        <f t="shared" si="215"/>
        <v>236520.94968477997</v>
      </c>
      <c r="AR149" s="230"/>
      <c r="AS149" s="115">
        <f t="shared" si="216"/>
        <v>349652.78148553573</v>
      </c>
      <c r="AT149" s="230"/>
      <c r="AU149" s="115">
        <f t="shared" si="217"/>
        <v>37408.925715449892</v>
      </c>
      <c r="AV149" s="69"/>
      <c r="AW149" s="69">
        <f t="shared" si="218"/>
        <v>40425.774563470048</v>
      </c>
      <c r="AX149" s="69"/>
      <c r="AY149" s="69">
        <f t="shared" si="219"/>
        <v>95332.423597436835</v>
      </c>
      <c r="BA149" s="99">
        <f t="shared" si="203"/>
        <v>0</v>
      </c>
      <c r="BB149" s="82"/>
      <c r="BC149" s="82"/>
      <c r="BD149" s="82"/>
    </row>
    <row r="150" spans="1:56" x14ac:dyDescent="0.2">
      <c r="A150" s="300"/>
      <c r="B150" s="300"/>
      <c r="C150" s="116">
        <f>+Linkin!L343</f>
        <v>290523.33333333331</v>
      </c>
      <c r="D150" s="412">
        <v>666.8</v>
      </c>
      <c r="F150" s="315" t="s">
        <v>600</v>
      </c>
      <c r="G150" s="316"/>
      <c r="H150" s="317">
        <v>19</v>
      </c>
      <c r="I150" s="315"/>
      <c r="J150" s="231">
        <f t="shared" si="221"/>
        <v>290523.33333333331</v>
      </c>
      <c r="K150" s="108"/>
      <c r="L150" s="115">
        <f t="shared" ca="1" si="204"/>
        <v>165569.24766666663</v>
      </c>
      <c r="M150" s="230"/>
      <c r="N150" s="115">
        <f t="shared" ca="1" si="205"/>
        <v>68824.977666666658</v>
      </c>
      <c r="O150" s="230"/>
      <c r="P150" s="115">
        <f t="shared" ca="1" si="206"/>
        <v>9906.8456666666661</v>
      </c>
      <c r="Q150" s="230"/>
      <c r="R150" s="115">
        <f t="shared" ca="1" si="207"/>
        <v>20133.267</v>
      </c>
      <c r="S150" s="230"/>
      <c r="T150" s="115">
        <f t="shared" ca="1" si="208"/>
        <v>5461.8386666666665</v>
      </c>
      <c r="U150" s="230"/>
      <c r="V150" s="115">
        <f t="shared" ca="1" si="209"/>
        <v>7117.8216666666667</v>
      </c>
      <c r="W150" s="230"/>
      <c r="X150" s="115">
        <f t="shared" ca="1" si="210"/>
        <v>13509.334999999999</v>
      </c>
      <c r="Y150" s="116"/>
      <c r="Z150" s="99">
        <f t="shared" ref="Z150" ca="1" si="222">SUM(L150:X150)-J150</f>
        <v>0</v>
      </c>
      <c r="AC150" s="120" t="s">
        <v>600</v>
      </c>
      <c r="AE150" s="154">
        <f t="shared" si="201"/>
        <v>19</v>
      </c>
      <c r="AG150" s="231">
        <f t="shared" si="202"/>
        <v>290523.33333333331</v>
      </c>
      <c r="AH150" s="108"/>
      <c r="AI150" s="115">
        <f t="shared" ca="1" si="211"/>
        <v>115483.02499999999</v>
      </c>
      <c r="AJ150" s="230"/>
      <c r="AK150" s="115">
        <f t="shared" ca="1" si="212"/>
        <v>59295.812333333328</v>
      </c>
      <c r="AL150" s="230"/>
      <c r="AM150" s="115">
        <f t="shared" ca="1" si="213"/>
        <v>23009.448</v>
      </c>
      <c r="AN150" s="230"/>
      <c r="AO150" s="115">
        <f t="shared" ca="1" si="214"/>
        <v>28122.658666666663</v>
      </c>
      <c r="AP150" s="230"/>
      <c r="AQ150" s="115">
        <f t="shared" ca="1" si="215"/>
        <v>12753.974333333334</v>
      </c>
      <c r="AR150" s="230"/>
      <c r="AS150" s="115">
        <f t="shared" ca="1" si="216"/>
        <v>25275.529999999995</v>
      </c>
      <c r="AT150" s="230"/>
      <c r="AU150" s="115">
        <f t="shared" ca="1" si="217"/>
        <v>6246.2516666666661</v>
      </c>
      <c r="AV150" s="69"/>
      <c r="AW150" s="69">
        <f t="shared" ca="1" si="218"/>
        <v>6914.4553333333333</v>
      </c>
      <c r="AX150" s="69"/>
      <c r="AY150" s="69">
        <f t="shared" ca="1" si="219"/>
        <v>13422.177999999998</v>
      </c>
      <c r="BA150" s="99">
        <f t="shared" ca="1" si="203"/>
        <v>0</v>
      </c>
      <c r="BB150" s="82"/>
      <c r="BC150" s="82"/>
      <c r="BD150" s="82"/>
    </row>
    <row r="151" spans="1:56" s="399" customFormat="1" x14ac:dyDescent="0.2">
      <c r="A151" s="300"/>
      <c r="B151" s="300"/>
      <c r="C151" s="116">
        <f>+Linkin!L182</f>
        <v>85081.420326266962</v>
      </c>
      <c r="D151" s="412">
        <v>675.8</v>
      </c>
      <c r="E151" s="116"/>
      <c r="F151" s="120" t="s">
        <v>683</v>
      </c>
      <c r="G151" s="180"/>
      <c r="H151" s="181">
        <v>15</v>
      </c>
      <c r="I151" s="120"/>
      <c r="J151" s="231">
        <f t="shared" si="221"/>
        <v>85081.420326266962</v>
      </c>
      <c r="K151" s="108"/>
      <c r="L151" s="115">
        <f t="shared" si="204"/>
        <v>58221.215929264486</v>
      </c>
      <c r="M151" s="230"/>
      <c r="N151" s="115">
        <f t="shared" si="205"/>
        <v>15731.554618326762</v>
      </c>
      <c r="O151" s="230"/>
      <c r="P151" s="115">
        <f t="shared" si="206"/>
        <v>1965.3808095367667</v>
      </c>
      <c r="Q151" s="230"/>
      <c r="R151" s="115">
        <f t="shared" si="207"/>
        <v>4271.0873003786019</v>
      </c>
      <c r="S151" s="230"/>
      <c r="T151" s="115">
        <f t="shared" si="208"/>
        <v>1106.0584642414703</v>
      </c>
      <c r="U151" s="230"/>
      <c r="V151" s="115">
        <f t="shared" si="209"/>
        <v>1369.8108672528981</v>
      </c>
      <c r="W151" s="230"/>
      <c r="X151" s="115">
        <f t="shared" si="210"/>
        <v>2416.312337265982</v>
      </c>
      <c r="Y151" s="116"/>
      <c r="Z151" s="99">
        <f t="shared" si="220"/>
        <v>0</v>
      </c>
      <c r="AC151" s="120" t="s">
        <v>683</v>
      </c>
      <c r="AE151" s="154">
        <f t="shared" si="201"/>
        <v>15</v>
      </c>
      <c r="AG151" s="231">
        <f t="shared" si="202"/>
        <v>85081.420326266962</v>
      </c>
      <c r="AH151" s="108"/>
      <c r="AI151" s="115">
        <f t="shared" si="211"/>
        <v>21763.827319459091</v>
      </c>
      <c r="AJ151" s="230"/>
      <c r="AK151" s="115">
        <f t="shared" si="212"/>
        <v>12830.278185201058</v>
      </c>
      <c r="AL151" s="230"/>
      <c r="AM151" s="115">
        <f t="shared" si="213"/>
        <v>2739.6217345057962</v>
      </c>
      <c r="AN151" s="230"/>
      <c r="AO151" s="115">
        <f t="shared" si="214"/>
        <v>14038.434353834049</v>
      </c>
      <c r="AP151" s="230"/>
      <c r="AQ151" s="115">
        <f t="shared" si="215"/>
        <v>5785.5365821861542</v>
      </c>
      <c r="AR151" s="230"/>
      <c r="AS151" s="115">
        <f t="shared" si="216"/>
        <v>18028.75296713597</v>
      </c>
      <c r="AT151" s="230"/>
      <c r="AU151" s="115">
        <f t="shared" si="217"/>
        <v>6236.4681099153686</v>
      </c>
      <c r="AV151" s="69"/>
      <c r="AW151" s="69">
        <f t="shared" si="218"/>
        <v>1242.1887367634977</v>
      </c>
      <c r="AX151" s="69"/>
      <c r="AY151" s="69">
        <f t="shared" si="219"/>
        <v>2416.312337265982</v>
      </c>
      <c r="BA151" s="99">
        <f t="shared" si="203"/>
        <v>0</v>
      </c>
      <c r="BB151" s="82"/>
      <c r="BC151" s="82"/>
      <c r="BD151" s="82"/>
    </row>
    <row r="152" spans="1:56" s="399" customFormat="1" x14ac:dyDescent="0.2">
      <c r="A152" s="300"/>
      <c r="B152" s="300"/>
      <c r="C152" s="116">
        <f>+Linkin!L191</f>
        <v>-1219.5918489765579</v>
      </c>
      <c r="D152" s="412">
        <v>675.8</v>
      </c>
      <c r="E152" s="116"/>
      <c r="F152" s="120" t="s">
        <v>685</v>
      </c>
      <c r="G152" s="180"/>
      <c r="H152" s="181">
        <v>15</v>
      </c>
      <c r="I152" s="120"/>
      <c r="J152" s="231">
        <f t="shared" si="221"/>
        <v>-1219.5918489765579</v>
      </c>
      <c r="K152" s="108"/>
      <c r="L152" s="115">
        <f t="shared" si="204"/>
        <v>-834.56670225465859</v>
      </c>
      <c r="M152" s="230"/>
      <c r="N152" s="115">
        <f t="shared" si="205"/>
        <v>-225.50253287576558</v>
      </c>
      <c r="O152" s="230"/>
      <c r="P152" s="115">
        <f t="shared" si="206"/>
        <v>-28.172571711358486</v>
      </c>
      <c r="Q152" s="230"/>
      <c r="R152" s="115">
        <f t="shared" si="207"/>
        <v>-61.223510818623211</v>
      </c>
      <c r="S152" s="230"/>
      <c r="T152" s="115">
        <f t="shared" si="208"/>
        <v>-15.854694036695252</v>
      </c>
      <c r="U152" s="230"/>
      <c r="V152" s="115">
        <f t="shared" si="209"/>
        <v>-19.635428768522583</v>
      </c>
      <c r="W152" s="230"/>
      <c r="X152" s="115">
        <f t="shared" si="210"/>
        <v>-34.636408510934245</v>
      </c>
      <c r="Y152" s="116"/>
      <c r="Z152" s="99">
        <f t="shared" si="220"/>
        <v>0</v>
      </c>
      <c r="AC152" s="120" t="s">
        <v>685</v>
      </c>
      <c r="AE152" s="154">
        <f t="shared" si="201"/>
        <v>15</v>
      </c>
      <c r="AG152" s="231">
        <f t="shared" si="202"/>
        <v>-1219.5918489765579</v>
      </c>
      <c r="AH152" s="108"/>
      <c r="AI152" s="115">
        <f t="shared" si="211"/>
        <v>-311.97159496820353</v>
      </c>
      <c r="AJ152" s="230"/>
      <c r="AK152" s="115">
        <f t="shared" si="212"/>
        <v>-183.91445082566491</v>
      </c>
      <c r="AL152" s="230"/>
      <c r="AM152" s="115">
        <f t="shared" si="213"/>
        <v>-39.270857537045167</v>
      </c>
      <c r="AN152" s="230"/>
      <c r="AO152" s="115">
        <f t="shared" si="214"/>
        <v>-201.23265508113207</v>
      </c>
      <c r="AP152" s="230"/>
      <c r="AQ152" s="115">
        <f t="shared" si="215"/>
        <v>-82.932245730405938</v>
      </c>
      <c r="AR152" s="230"/>
      <c r="AS152" s="115">
        <f t="shared" si="216"/>
        <v>-258.43151279813264</v>
      </c>
      <c r="AT152" s="230"/>
      <c r="AU152" s="115">
        <f t="shared" si="217"/>
        <v>-89.396082529981697</v>
      </c>
      <c r="AV152" s="69"/>
      <c r="AW152" s="69">
        <f t="shared" si="218"/>
        <v>-17.806040995057746</v>
      </c>
      <c r="AX152" s="69"/>
      <c r="AY152" s="69">
        <f t="shared" si="219"/>
        <v>-34.636408510934245</v>
      </c>
      <c r="BA152" s="99">
        <f t="shared" si="203"/>
        <v>0</v>
      </c>
      <c r="BB152" s="82"/>
      <c r="BC152" s="82"/>
      <c r="BD152" s="82"/>
    </row>
    <row r="153" spans="1:56" s="399" customFormat="1" x14ac:dyDescent="0.2">
      <c r="A153" s="300"/>
      <c r="B153" s="300"/>
      <c r="C153" s="116">
        <f>+Linkin!L195</f>
        <v>43529.848350626155</v>
      </c>
      <c r="D153" s="412">
        <v>675.8</v>
      </c>
      <c r="E153" s="116"/>
      <c r="F153" s="120" t="s">
        <v>688</v>
      </c>
      <c r="G153" s="180"/>
      <c r="H153" s="181">
        <v>15</v>
      </c>
      <c r="I153" s="120"/>
      <c r="J153" s="231">
        <f t="shared" si="221"/>
        <v>43529.848350626155</v>
      </c>
      <c r="K153" s="108"/>
      <c r="L153" s="115">
        <f t="shared" si="204"/>
        <v>29787.475226333478</v>
      </c>
      <c r="M153" s="230"/>
      <c r="N153" s="115">
        <f t="shared" si="205"/>
        <v>8048.6689600307764</v>
      </c>
      <c r="O153" s="230"/>
      <c r="P153" s="115">
        <f t="shared" si="206"/>
        <v>1005.5394968994641</v>
      </c>
      <c r="Q153" s="230"/>
      <c r="R153" s="115">
        <f t="shared" si="207"/>
        <v>2185.198387201433</v>
      </c>
      <c r="S153" s="230"/>
      <c r="T153" s="115">
        <f t="shared" si="208"/>
        <v>565.88802855814004</v>
      </c>
      <c r="U153" s="230"/>
      <c r="V153" s="115">
        <f t="shared" si="209"/>
        <v>700.83055844508112</v>
      </c>
      <c r="W153" s="230"/>
      <c r="X153" s="115">
        <f t="shared" si="210"/>
        <v>1236.2476931577828</v>
      </c>
      <c r="Y153" s="116"/>
      <c r="Z153" s="99">
        <f t="shared" si="220"/>
        <v>0</v>
      </c>
      <c r="AC153" s="120" t="s">
        <v>688</v>
      </c>
      <c r="AE153" s="154">
        <f t="shared" si="201"/>
        <v>15</v>
      </c>
      <c r="AG153" s="231">
        <f t="shared" si="202"/>
        <v>43529.848350626155</v>
      </c>
      <c r="AH153" s="108"/>
      <c r="AI153" s="115">
        <f t="shared" si="211"/>
        <v>11134.935208090172</v>
      </c>
      <c r="AJ153" s="230"/>
      <c r="AK153" s="115">
        <f t="shared" si="212"/>
        <v>6564.3011312744238</v>
      </c>
      <c r="AL153" s="230"/>
      <c r="AM153" s="115">
        <f t="shared" si="213"/>
        <v>1401.6611168901622</v>
      </c>
      <c r="AN153" s="230"/>
      <c r="AO153" s="115">
        <f t="shared" si="214"/>
        <v>7182.4249778533158</v>
      </c>
      <c r="AP153" s="230"/>
      <c r="AQ153" s="115">
        <f t="shared" si="215"/>
        <v>2960.0296878425788</v>
      </c>
      <c r="AR153" s="230"/>
      <c r="AS153" s="115">
        <f t="shared" si="216"/>
        <v>9223.9748654976829</v>
      </c>
      <c r="AT153" s="230"/>
      <c r="AU153" s="115">
        <f t="shared" si="217"/>
        <v>3190.7378841008972</v>
      </c>
      <c r="AV153" s="69"/>
      <c r="AW153" s="69">
        <f t="shared" si="218"/>
        <v>635.53578591914186</v>
      </c>
      <c r="AX153" s="69"/>
      <c r="AY153" s="69">
        <f t="shared" si="219"/>
        <v>1236.2476931577828</v>
      </c>
      <c r="BA153" s="99">
        <f t="shared" si="203"/>
        <v>0</v>
      </c>
      <c r="BB153" s="82"/>
      <c r="BC153" s="82"/>
      <c r="BD153" s="82"/>
    </row>
    <row r="154" spans="1:56" s="399" customFormat="1" x14ac:dyDescent="0.2">
      <c r="A154" s="300"/>
      <c r="B154" s="300"/>
      <c r="C154" s="116">
        <f>+Linkin!L199+Linkin!L200</f>
        <v>45184.453852740844</v>
      </c>
      <c r="D154" s="412">
        <v>675.8</v>
      </c>
      <c r="E154" s="116"/>
      <c r="F154" s="120" t="s">
        <v>689</v>
      </c>
      <c r="G154" s="180"/>
      <c r="H154" s="181">
        <v>15</v>
      </c>
      <c r="I154" s="120"/>
      <c r="J154" s="231">
        <f t="shared" si="221"/>
        <v>45184.453852740844</v>
      </c>
      <c r="K154" s="108"/>
      <c r="L154" s="115">
        <f t="shared" si="204"/>
        <v>30919.721771430559</v>
      </c>
      <c r="M154" s="230"/>
      <c r="N154" s="115">
        <f t="shared" si="205"/>
        <v>8354.6055173717832</v>
      </c>
      <c r="O154" s="230"/>
      <c r="P154" s="115">
        <f t="shared" si="206"/>
        <v>1043.7608839983134</v>
      </c>
      <c r="Q154" s="230"/>
      <c r="R154" s="115">
        <f t="shared" si="207"/>
        <v>2268.2595834075905</v>
      </c>
      <c r="S154" s="230"/>
      <c r="T154" s="115">
        <f t="shared" si="208"/>
        <v>587.39790008563091</v>
      </c>
      <c r="U154" s="230"/>
      <c r="V154" s="115">
        <f t="shared" si="209"/>
        <v>727.46970702912756</v>
      </c>
      <c r="W154" s="230"/>
      <c r="X154" s="115">
        <f t="shared" si="210"/>
        <v>1283.2384894178401</v>
      </c>
      <c r="Y154" s="116"/>
      <c r="Z154" s="99">
        <f t="shared" si="220"/>
        <v>0</v>
      </c>
      <c r="AC154" s="120" t="s">
        <v>689</v>
      </c>
      <c r="AE154" s="154">
        <f t="shared" si="201"/>
        <v>15</v>
      </c>
      <c r="AG154" s="231">
        <f t="shared" si="202"/>
        <v>45184.453852740844</v>
      </c>
      <c r="AH154" s="108"/>
      <c r="AI154" s="115">
        <f t="shared" si="211"/>
        <v>11558.183295531109</v>
      </c>
      <c r="AJ154" s="230"/>
      <c r="AK154" s="115">
        <f t="shared" si="212"/>
        <v>6813.815640993319</v>
      </c>
      <c r="AL154" s="230"/>
      <c r="AM154" s="115">
        <f t="shared" si="213"/>
        <v>1454.9394140582551</v>
      </c>
      <c r="AN154" s="230"/>
      <c r="AO154" s="115">
        <f t="shared" si="214"/>
        <v>7455.4348857022396</v>
      </c>
      <c r="AP154" s="230"/>
      <c r="AQ154" s="115">
        <f t="shared" si="215"/>
        <v>3072.5428619863778</v>
      </c>
      <c r="AR154" s="230"/>
      <c r="AS154" s="115">
        <f t="shared" si="216"/>
        <v>9574.5857713957848</v>
      </c>
      <c r="AT154" s="230"/>
      <c r="AU154" s="115">
        <f t="shared" si="217"/>
        <v>3312.0204674059041</v>
      </c>
      <c r="AV154" s="69"/>
      <c r="AW154" s="69">
        <f t="shared" si="218"/>
        <v>659.69302625001637</v>
      </c>
      <c r="AX154" s="69"/>
      <c r="AY154" s="69">
        <f t="shared" si="219"/>
        <v>1283.2384894178401</v>
      </c>
      <c r="BA154" s="99">
        <f t="shared" si="203"/>
        <v>0</v>
      </c>
      <c r="BB154" s="82"/>
      <c r="BC154" s="82"/>
      <c r="BD154" s="82"/>
    </row>
    <row r="155" spans="1:56" s="399" customFormat="1" x14ac:dyDescent="0.2">
      <c r="A155" s="300"/>
      <c r="B155" s="300"/>
      <c r="C155" s="116">
        <f>+Linkin!L208</f>
        <v>32809.869041150676</v>
      </c>
      <c r="D155" s="412">
        <v>675.8</v>
      </c>
      <c r="E155" s="116"/>
      <c r="F155" s="120" t="s">
        <v>696</v>
      </c>
      <c r="G155" s="180"/>
      <c r="H155" s="181">
        <v>15</v>
      </c>
      <c r="I155" s="120"/>
      <c r="J155" s="231">
        <f t="shared" si="221"/>
        <v>32809.869041150676</v>
      </c>
      <c r="K155" s="108"/>
      <c r="L155" s="115">
        <f t="shared" si="204"/>
        <v>22451.793384859408</v>
      </c>
      <c r="M155" s="230"/>
      <c r="N155" s="115">
        <f t="shared" si="205"/>
        <v>6066.5447857087602</v>
      </c>
      <c r="O155" s="230"/>
      <c r="P155" s="115">
        <f t="shared" si="206"/>
        <v>757.90797485058056</v>
      </c>
      <c r="Q155" s="230"/>
      <c r="R155" s="115">
        <f t="shared" si="207"/>
        <v>1647.0554258657639</v>
      </c>
      <c r="S155" s="230"/>
      <c r="T155" s="115">
        <f t="shared" si="208"/>
        <v>426.52829753495877</v>
      </c>
      <c r="U155" s="230"/>
      <c r="V155" s="115">
        <f t="shared" si="209"/>
        <v>528.23889156252585</v>
      </c>
      <c r="W155" s="230"/>
      <c r="X155" s="115">
        <f t="shared" si="210"/>
        <v>931.80028076867927</v>
      </c>
      <c r="Y155" s="116"/>
      <c r="Z155" s="99">
        <f t="shared" si="220"/>
        <v>0</v>
      </c>
      <c r="AC155" s="120" t="s">
        <v>696</v>
      </c>
      <c r="AE155" s="154">
        <f t="shared" si="201"/>
        <v>15</v>
      </c>
      <c r="AG155" s="231">
        <f t="shared" si="202"/>
        <v>32809.869041150676</v>
      </c>
      <c r="AH155" s="108"/>
      <c r="AI155" s="115">
        <f t="shared" si="211"/>
        <v>8392.7645007263436</v>
      </c>
      <c r="AJ155" s="230"/>
      <c r="AK155" s="115">
        <f t="shared" si="212"/>
        <v>4947.7282514055214</v>
      </c>
      <c r="AL155" s="230"/>
      <c r="AM155" s="115">
        <f t="shared" si="213"/>
        <v>1056.4777831250517</v>
      </c>
      <c r="AN155" s="230"/>
      <c r="AO155" s="115">
        <f t="shared" si="214"/>
        <v>5413.6283917898618</v>
      </c>
      <c r="AP155" s="230"/>
      <c r="AQ155" s="115">
        <f t="shared" si="215"/>
        <v>2231.0710947982461</v>
      </c>
      <c r="AR155" s="230"/>
      <c r="AS155" s="115">
        <f t="shared" si="216"/>
        <v>6952.4112498198283</v>
      </c>
      <c r="AT155" s="230"/>
      <c r="AU155" s="115">
        <f t="shared" si="217"/>
        <v>2404.9634007163445</v>
      </c>
      <c r="AV155" s="69"/>
      <c r="AW155" s="69">
        <f t="shared" si="218"/>
        <v>479.02408800079985</v>
      </c>
      <c r="AX155" s="69"/>
      <c r="AY155" s="69">
        <f t="shared" si="219"/>
        <v>931.80028076867927</v>
      </c>
      <c r="BA155" s="99">
        <f t="shared" si="203"/>
        <v>0</v>
      </c>
      <c r="BB155" s="82"/>
      <c r="BC155" s="82"/>
      <c r="BD155" s="82"/>
    </row>
    <row r="156" spans="1:56" s="399" customFormat="1" x14ac:dyDescent="0.2">
      <c r="A156" s="300"/>
      <c r="B156" s="300"/>
      <c r="C156" s="116">
        <f>+Linkin!L215</f>
        <v>24412.973358745938</v>
      </c>
      <c r="D156" s="412">
        <v>675.8</v>
      </c>
      <c r="E156" s="116"/>
      <c r="F156" s="120" t="s">
        <v>699</v>
      </c>
      <c r="G156" s="180"/>
      <c r="H156" s="181">
        <v>15</v>
      </c>
      <c r="I156" s="120"/>
      <c r="J156" s="231">
        <f t="shared" si="221"/>
        <v>24412.973358745938</v>
      </c>
      <c r="K156" s="108"/>
      <c r="L156" s="115">
        <f t="shared" si="204"/>
        <v>16705.797669389845</v>
      </c>
      <c r="M156" s="230"/>
      <c r="N156" s="115">
        <f t="shared" si="205"/>
        <v>4513.958774032124</v>
      </c>
      <c r="O156" s="230"/>
      <c r="P156" s="115">
        <f t="shared" si="206"/>
        <v>563.93968458703114</v>
      </c>
      <c r="Q156" s="230"/>
      <c r="R156" s="115">
        <f t="shared" si="207"/>
        <v>1225.5312626090461</v>
      </c>
      <c r="S156" s="230"/>
      <c r="T156" s="115">
        <f t="shared" si="208"/>
        <v>317.36865366369716</v>
      </c>
      <c r="U156" s="230"/>
      <c r="V156" s="115">
        <f t="shared" si="209"/>
        <v>393.04887107580959</v>
      </c>
      <c r="W156" s="230"/>
      <c r="X156" s="115">
        <f t="shared" si="210"/>
        <v>693.3284433883847</v>
      </c>
      <c r="Y156" s="116"/>
      <c r="Z156" s="99">
        <f t="shared" si="220"/>
        <v>0</v>
      </c>
      <c r="AC156" s="120" t="s">
        <v>699</v>
      </c>
      <c r="AE156" s="154">
        <f t="shared" si="201"/>
        <v>15</v>
      </c>
      <c r="AG156" s="231">
        <f t="shared" si="202"/>
        <v>24412.973358745938</v>
      </c>
      <c r="AH156" s="108"/>
      <c r="AI156" s="115">
        <f t="shared" si="211"/>
        <v>6244.8385851672119</v>
      </c>
      <c r="AJ156" s="230"/>
      <c r="AK156" s="115">
        <f t="shared" si="212"/>
        <v>3681.4763824988872</v>
      </c>
      <c r="AL156" s="230"/>
      <c r="AM156" s="115">
        <f t="shared" si="213"/>
        <v>786.09774215161917</v>
      </c>
      <c r="AN156" s="230"/>
      <c r="AO156" s="115">
        <f t="shared" si="214"/>
        <v>4028.14060419308</v>
      </c>
      <c r="AP156" s="230"/>
      <c r="AQ156" s="115">
        <f t="shared" si="215"/>
        <v>1660.082188394724</v>
      </c>
      <c r="AR156" s="230"/>
      <c r="AS156" s="115">
        <f t="shared" si="216"/>
        <v>5173.1090547182639</v>
      </c>
      <c r="AT156" s="230"/>
      <c r="AU156" s="115">
        <f t="shared" si="217"/>
        <v>1789.4709471960773</v>
      </c>
      <c r="AV156" s="69"/>
      <c r="AW156" s="69">
        <f t="shared" si="218"/>
        <v>356.42941103769067</v>
      </c>
      <c r="AX156" s="69"/>
      <c r="AY156" s="69">
        <f t="shared" si="219"/>
        <v>693.3284433883847</v>
      </c>
      <c r="BA156" s="99">
        <f t="shared" si="203"/>
        <v>0</v>
      </c>
      <c r="BB156" s="82"/>
      <c r="BC156" s="82"/>
      <c r="BD156" s="82"/>
    </row>
    <row r="157" spans="1:56" s="399" customFormat="1" x14ac:dyDescent="0.2">
      <c r="A157" s="300"/>
      <c r="B157" s="300"/>
      <c r="C157" s="116">
        <f>+Linkin!L221+Linkin!L222</f>
        <v>78611.667509088918</v>
      </c>
      <c r="D157" s="412">
        <v>675.8</v>
      </c>
      <c r="E157" s="116"/>
      <c r="F157" s="120" t="s">
        <v>703</v>
      </c>
      <c r="G157" s="180"/>
      <c r="H157" s="181">
        <v>15</v>
      </c>
      <c r="I157" s="120"/>
      <c r="J157" s="231">
        <f t="shared" ref="J157:J158" si="223">+C157</f>
        <v>78611.667509088918</v>
      </c>
      <c r="K157" s="108"/>
      <c r="L157" s="115">
        <f t="shared" si="204"/>
        <v>53793.96407646955</v>
      </c>
      <c r="M157" s="230"/>
      <c r="N157" s="115">
        <f t="shared" si="205"/>
        <v>14535.297322430542</v>
      </c>
      <c r="O157" s="230"/>
      <c r="P157" s="115">
        <f t="shared" si="206"/>
        <v>1815.929519459954</v>
      </c>
      <c r="Q157" s="230"/>
      <c r="R157" s="115">
        <f t="shared" si="207"/>
        <v>3946.305708956264</v>
      </c>
      <c r="S157" s="230"/>
      <c r="T157" s="115">
        <f t="shared" si="208"/>
        <v>1021.9516776181559</v>
      </c>
      <c r="U157" s="230"/>
      <c r="V157" s="115">
        <f t="shared" si="209"/>
        <v>1265.6478468963317</v>
      </c>
      <c r="W157" s="230"/>
      <c r="X157" s="115">
        <f t="shared" si="210"/>
        <v>2232.5713572581253</v>
      </c>
      <c r="Y157" s="116"/>
      <c r="Z157" s="99">
        <f t="shared" si="220"/>
        <v>0</v>
      </c>
      <c r="AC157" s="120" t="s">
        <v>703</v>
      </c>
      <c r="AE157" s="154">
        <f t="shared" si="201"/>
        <v>15</v>
      </c>
      <c r="AG157" s="231">
        <f t="shared" si="202"/>
        <v>78611.667509088918</v>
      </c>
      <c r="AH157" s="108"/>
      <c r="AI157" s="115">
        <f t="shared" si="211"/>
        <v>20108.864548824946</v>
      </c>
      <c r="AJ157" s="230"/>
      <c r="AK157" s="115">
        <f t="shared" si="212"/>
        <v>11854.639460370609</v>
      </c>
      <c r="AL157" s="230"/>
      <c r="AM157" s="115">
        <f t="shared" si="213"/>
        <v>2531.2956937926633</v>
      </c>
      <c r="AN157" s="230"/>
      <c r="AO157" s="115">
        <f t="shared" si="214"/>
        <v>12970.925138999672</v>
      </c>
      <c r="AP157" s="230"/>
      <c r="AQ157" s="115">
        <f t="shared" si="215"/>
        <v>5345.5933906180471</v>
      </c>
      <c r="AR157" s="230"/>
      <c r="AS157" s="115">
        <f t="shared" si="216"/>
        <v>16657.812345175942</v>
      </c>
      <c r="AT157" s="230"/>
      <c r="AU157" s="115">
        <f t="shared" si="217"/>
        <v>5762.235228416218</v>
      </c>
      <c r="AV157" s="69"/>
      <c r="AW157" s="69">
        <f t="shared" si="218"/>
        <v>1147.7303456326981</v>
      </c>
      <c r="AX157" s="69"/>
      <c r="AY157" s="69">
        <f t="shared" si="219"/>
        <v>2232.5713572581253</v>
      </c>
      <c r="BA157" s="99">
        <f t="shared" si="203"/>
        <v>0</v>
      </c>
      <c r="BB157" s="82"/>
      <c r="BC157" s="82"/>
      <c r="BD157" s="82"/>
    </row>
    <row r="158" spans="1:56" s="481" customFormat="1" x14ac:dyDescent="0.2">
      <c r="A158" s="300"/>
      <c r="B158" s="300"/>
      <c r="C158" s="116">
        <f>+Linkin!L229+Linkin!L231+Linkin!L232+Linkin!L234</f>
        <v>12434.690892953997</v>
      </c>
      <c r="D158" s="412">
        <v>675.8</v>
      </c>
      <c r="E158" s="116"/>
      <c r="F158" s="120" t="s">
        <v>958</v>
      </c>
      <c r="G158" s="180"/>
      <c r="H158" s="181">
        <v>15</v>
      </c>
      <c r="I158" s="120"/>
      <c r="J158" s="231">
        <f t="shared" si="223"/>
        <v>12434.690892953997</v>
      </c>
      <c r="K158" s="108"/>
      <c r="L158" s="115">
        <f t="shared" si="204"/>
        <v>8509.0589780484206</v>
      </c>
      <c r="M158" s="230"/>
      <c r="N158" s="115">
        <f t="shared" si="205"/>
        <v>2299.1743461071942</v>
      </c>
      <c r="O158" s="230"/>
      <c r="P158" s="115">
        <f t="shared" si="206"/>
        <v>287.24135962723733</v>
      </c>
      <c r="Q158" s="230"/>
      <c r="R158" s="115">
        <f t="shared" si="207"/>
        <v>624.22148282629064</v>
      </c>
      <c r="S158" s="230"/>
      <c r="T158" s="115">
        <f t="shared" si="208"/>
        <v>161.65098160840196</v>
      </c>
      <c r="U158" s="230"/>
      <c r="V158" s="115">
        <f t="shared" si="209"/>
        <v>200.19852337655934</v>
      </c>
      <c r="W158" s="230"/>
      <c r="X158" s="115">
        <f t="shared" si="210"/>
        <v>353.14522135989353</v>
      </c>
      <c r="Y158" s="116"/>
      <c r="Z158" s="99">
        <f t="shared" ref="Z158" si="224">SUM(L158:X158)-J158</f>
        <v>0</v>
      </c>
      <c r="AC158" s="120" t="s">
        <v>929</v>
      </c>
      <c r="AE158" s="154">
        <f t="shared" si="201"/>
        <v>15</v>
      </c>
      <c r="AG158" s="231">
        <f t="shared" ref="AG158" si="225">+J158</f>
        <v>12434.690892953997</v>
      </c>
      <c r="AH158" s="108"/>
      <c r="AI158" s="115">
        <f t="shared" si="211"/>
        <v>3180.7939304176325</v>
      </c>
      <c r="AJ158" s="230"/>
      <c r="AK158" s="115">
        <f t="shared" si="212"/>
        <v>1875.1513866574626</v>
      </c>
      <c r="AL158" s="230"/>
      <c r="AM158" s="115">
        <f t="shared" si="213"/>
        <v>400.39704675311867</v>
      </c>
      <c r="AN158" s="230"/>
      <c r="AO158" s="115">
        <f t="shared" si="214"/>
        <v>2051.7239973374094</v>
      </c>
      <c r="AP158" s="230"/>
      <c r="AQ158" s="115">
        <f t="shared" si="215"/>
        <v>845.55898072087189</v>
      </c>
      <c r="AR158" s="230"/>
      <c r="AS158" s="115">
        <f t="shared" si="216"/>
        <v>2634.9110002169518</v>
      </c>
      <c r="AT158" s="230"/>
      <c r="AU158" s="115">
        <f t="shared" si="217"/>
        <v>911.46284245352797</v>
      </c>
      <c r="AV158" s="69"/>
      <c r="AW158" s="69">
        <f t="shared" si="218"/>
        <v>181.54648703712834</v>
      </c>
      <c r="AX158" s="69"/>
      <c r="AY158" s="69">
        <f t="shared" si="219"/>
        <v>353.14522135989353</v>
      </c>
      <c r="BA158" s="99">
        <f t="shared" ref="BA158" si="226">SUM(AI158:AY158)-AG158</f>
        <v>0</v>
      </c>
      <c r="BB158" s="82"/>
      <c r="BC158" s="82"/>
      <c r="BD158" s="82"/>
    </row>
    <row r="159" spans="1:56" s="459" customFormat="1" x14ac:dyDescent="0.2">
      <c r="A159" s="464"/>
      <c r="B159" s="464"/>
      <c r="C159" s="116">
        <f>+Linkin!L295</f>
        <v>48443.918104137585</v>
      </c>
      <c r="D159" s="412">
        <v>675.8</v>
      </c>
      <c r="E159" s="116"/>
      <c r="F159" s="120" t="s">
        <v>660</v>
      </c>
      <c r="G159" s="61"/>
      <c r="H159" s="181" t="s">
        <v>719</v>
      </c>
      <c r="I159" s="120"/>
      <c r="J159" s="231">
        <f t="shared" si="221"/>
        <v>48443.918104137585</v>
      </c>
      <c r="K159" s="295"/>
      <c r="L159" s="179">
        <f>+J159</f>
        <v>48443.918104137585</v>
      </c>
      <c r="M159" s="116"/>
      <c r="N159" s="179">
        <v>0</v>
      </c>
      <c r="O159" s="116"/>
      <c r="P159" s="179">
        <v>0</v>
      </c>
      <c r="Q159" s="116"/>
      <c r="R159" s="179">
        <v>0</v>
      </c>
      <c r="S159" s="116"/>
      <c r="T159" s="179">
        <v>0</v>
      </c>
      <c r="U159" s="116"/>
      <c r="V159" s="179">
        <v>0</v>
      </c>
      <c r="W159" s="116"/>
      <c r="X159" s="179">
        <v>0</v>
      </c>
      <c r="Y159" s="116"/>
      <c r="Z159" s="99">
        <f t="shared" si="220"/>
        <v>0</v>
      </c>
      <c r="AC159" s="120" t="s">
        <v>660</v>
      </c>
      <c r="AE159" s="465" t="str">
        <f t="shared" si="201"/>
        <v>DA</v>
      </c>
      <c r="AG159" s="231">
        <f t="shared" si="202"/>
        <v>48443.918104137585</v>
      </c>
      <c r="AH159" s="295"/>
      <c r="AI159" s="179">
        <v>0</v>
      </c>
      <c r="AJ159" s="116"/>
      <c r="AK159" s="179">
        <v>0</v>
      </c>
      <c r="AL159" s="116"/>
      <c r="AM159" s="179">
        <v>0</v>
      </c>
      <c r="AN159" s="116"/>
      <c r="AO159" s="179">
        <v>0</v>
      </c>
      <c r="AP159" s="116"/>
      <c r="AQ159" s="179">
        <v>0</v>
      </c>
      <c r="AR159" s="116"/>
      <c r="AS159" s="179">
        <f>+AG159</f>
        <v>48443.918104137585</v>
      </c>
      <c r="AT159" s="116"/>
      <c r="AU159" s="179">
        <v>0</v>
      </c>
      <c r="AV159" s="182"/>
      <c r="AW159" s="182">
        <v>0</v>
      </c>
      <c r="AX159" s="182"/>
      <c r="AY159" s="182">
        <v>0</v>
      </c>
      <c r="BA159" s="99">
        <f t="shared" si="203"/>
        <v>0</v>
      </c>
      <c r="BB159" s="82"/>
      <c r="BC159" s="82"/>
      <c r="BD159" s="82"/>
    </row>
    <row r="160" spans="1:56" x14ac:dyDescent="0.2">
      <c r="A160" s="300"/>
      <c r="B160" s="300"/>
      <c r="C160" s="116">
        <f>+Linkin!L187+Linkin!L290+Linkin!L293+Linkin!L296+Linkin!L297+Linkin!L298+Linkin!L299+Linkin!L300+Linkin!L235</f>
        <v>528704.28176256595</v>
      </c>
      <c r="D160" s="412">
        <v>675.8</v>
      </c>
      <c r="F160" s="120" t="s">
        <v>601</v>
      </c>
      <c r="G160" s="180"/>
      <c r="H160" s="181">
        <v>15</v>
      </c>
      <c r="I160" s="120"/>
      <c r="J160" s="231">
        <f t="shared" si="221"/>
        <v>528704.28176256595</v>
      </c>
      <c r="K160" s="295"/>
      <c r="L160" s="115">
        <f t="shared" ref="L160:L167" si="227">(VLOOKUP($H160,Factors,L$381))*$J160</f>
        <v>361792.34001012391</v>
      </c>
      <c r="M160" s="230"/>
      <c r="N160" s="115">
        <f t="shared" ref="N160:N167" si="228">(VLOOKUP($H160,Factors,N$381))*$J160</f>
        <v>97757.421697898448</v>
      </c>
      <c r="O160" s="230"/>
      <c r="P160" s="115">
        <f t="shared" ref="P160:P167" si="229">(VLOOKUP($H160,Factors,P$381))*$J160</f>
        <v>12213.068908715273</v>
      </c>
      <c r="Q160" s="230"/>
      <c r="R160" s="115">
        <f t="shared" ref="R160:R167" si="230">(VLOOKUP($H160,Factors,R$381))*$J160</f>
        <v>26540.954944480811</v>
      </c>
      <c r="S160" s="230"/>
      <c r="T160" s="115">
        <f t="shared" ref="T160:T167" si="231">(VLOOKUP($H160,Factors,T$381))*$J160</f>
        <v>6873.1556629133574</v>
      </c>
      <c r="U160" s="230"/>
      <c r="V160" s="115">
        <f t="shared" ref="V160:V167" si="232">(VLOOKUP($H160,Factors,V$381))*$J160</f>
        <v>8512.1389363773123</v>
      </c>
      <c r="W160" s="230"/>
      <c r="X160" s="115">
        <f t="shared" ref="X160:X167" si="233">(VLOOKUP($H160,Factors,X$381))*$J160</f>
        <v>15015.201602056874</v>
      </c>
      <c r="Y160" s="116"/>
      <c r="Z160" s="99">
        <f t="shared" si="220"/>
        <v>0</v>
      </c>
      <c r="AC160" s="120" t="s">
        <v>601</v>
      </c>
      <c r="AE160" s="154">
        <f t="shared" si="201"/>
        <v>15</v>
      </c>
      <c r="AG160" s="231">
        <f t="shared" si="202"/>
        <v>528704.28176256595</v>
      </c>
      <c r="AH160" s="295"/>
      <c r="AI160" s="115">
        <f t="shared" ref="AI160:AI167" si="234">(VLOOKUP($AE160,func,AI$381))*$AG160</f>
        <v>135242.5552748644</v>
      </c>
      <c r="AJ160" s="230"/>
      <c r="AK160" s="115">
        <f t="shared" ref="AK160:AK167" si="235">(VLOOKUP($AE160,func,AK$381))*$AG160</f>
        <v>79728.605689794946</v>
      </c>
      <c r="AL160" s="230"/>
      <c r="AM160" s="115">
        <f t="shared" ref="AM160:AM167" si="236">(VLOOKUP($AE160,func,AM$381))*$AG160</f>
        <v>17024.277872754625</v>
      </c>
      <c r="AN160" s="230"/>
      <c r="AO160" s="115">
        <f t="shared" ref="AO160:AO167" si="237">(VLOOKUP($AE160,func,AO$381))*$AG160</f>
        <v>87236.206490823388</v>
      </c>
      <c r="AP160" s="230"/>
      <c r="AQ160" s="115">
        <f t="shared" ref="AQ160:AQ167" si="238">(VLOOKUP($AE160,func,AQ$381))*$AG160</f>
        <v>35951.891159854487</v>
      </c>
      <c r="AR160" s="230"/>
      <c r="AS160" s="115">
        <f t="shared" ref="AS160:AS167" si="239">(VLOOKUP($AE160,func,AS$381))*$AG160</f>
        <v>112032.43730548772</v>
      </c>
      <c r="AT160" s="230"/>
      <c r="AU160" s="115">
        <f t="shared" ref="AU160:AU167" si="240">(VLOOKUP($AE160,func,AU$381))*$AG160</f>
        <v>38754.023853196086</v>
      </c>
      <c r="AV160" s="69"/>
      <c r="AW160" s="69">
        <f t="shared" ref="AW160:AW167" si="241">(VLOOKUP($AE160,func,AW$381))*$AG160</f>
        <v>7719.0825137334632</v>
      </c>
      <c r="AX160" s="69"/>
      <c r="AY160" s="69">
        <f t="shared" ref="AY160:AY167" si="242">(VLOOKUP($AE160,func,AY$381))*$AG160</f>
        <v>15015.201602056874</v>
      </c>
      <c r="BA160" s="99">
        <f t="shared" si="203"/>
        <v>0</v>
      </c>
      <c r="BB160" s="82"/>
      <c r="BC160" s="82"/>
      <c r="BD160" s="82"/>
    </row>
    <row r="161" spans="1:56" s="599" customFormat="1" x14ac:dyDescent="0.2">
      <c r="A161" s="300"/>
      <c r="B161" s="300"/>
      <c r="C161" s="116">
        <f>+Linkin!L284+Linkin!L285+Linkin!L286+Linkin!L274+Linkin!L275+Linkin!L276</f>
        <v>124512.98050715961</v>
      </c>
      <c r="D161" s="412">
        <v>675.8</v>
      </c>
      <c r="E161" s="116"/>
      <c r="F161" s="120" t="s">
        <v>960</v>
      </c>
      <c r="G161" s="180"/>
      <c r="H161" s="181">
        <v>16</v>
      </c>
      <c r="I161" s="120"/>
      <c r="J161" s="231">
        <f t="shared" ref="J161" si="243">+C161</f>
        <v>124512.98050715961</v>
      </c>
      <c r="K161" s="295"/>
      <c r="L161" s="115">
        <f t="shared" si="227"/>
        <v>80933.437329653752</v>
      </c>
      <c r="M161" s="230"/>
      <c r="N161" s="115">
        <f t="shared" si="228"/>
        <v>25687.027878627028</v>
      </c>
      <c r="O161" s="230"/>
      <c r="P161" s="115">
        <f t="shared" si="229"/>
        <v>3237.3374931861495</v>
      </c>
      <c r="Q161" s="230"/>
      <c r="R161" s="115">
        <f t="shared" si="230"/>
        <v>7047.4346967052334</v>
      </c>
      <c r="S161" s="230"/>
      <c r="T161" s="115">
        <f t="shared" si="231"/>
        <v>1905.048601759542</v>
      </c>
      <c r="U161" s="230"/>
      <c r="V161" s="115">
        <f t="shared" si="232"/>
        <v>1768.0843232016664</v>
      </c>
      <c r="W161" s="230"/>
      <c r="X161" s="115">
        <f t="shared" si="233"/>
        <v>3934.610184026244</v>
      </c>
      <c r="Y161" s="116"/>
      <c r="Z161" s="99">
        <f t="shared" ref="Z161" si="244">SUM(L161:X161)-J161</f>
        <v>0</v>
      </c>
      <c r="AC161" s="120" t="s">
        <v>960</v>
      </c>
      <c r="AE161" s="154">
        <f t="shared" ref="AE161" si="245">+H161</f>
        <v>16</v>
      </c>
      <c r="AG161" s="231">
        <f t="shared" ref="AG161" si="246">+J161</f>
        <v>124512.98050715961</v>
      </c>
      <c r="AH161" s="295"/>
      <c r="AI161" s="115">
        <f t="shared" si="234"/>
        <v>35112.660503019004</v>
      </c>
      <c r="AJ161" s="230"/>
      <c r="AK161" s="115">
        <f t="shared" si="235"/>
        <v>24031.005237881804</v>
      </c>
      <c r="AL161" s="230"/>
      <c r="AM161" s="115">
        <f t="shared" si="236"/>
        <v>3834.9997996205161</v>
      </c>
      <c r="AN161" s="230"/>
      <c r="AO161" s="115">
        <f t="shared" si="237"/>
        <v>30194.397772986202</v>
      </c>
      <c r="AP161" s="230"/>
      <c r="AQ161" s="115">
        <f t="shared" si="238"/>
        <v>9761.8176717613132</v>
      </c>
      <c r="AR161" s="230"/>
      <c r="AS161" s="115">
        <f t="shared" si="239"/>
        <v>14431.054440779799</v>
      </c>
      <c r="AT161" s="230"/>
      <c r="AU161" s="115">
        <f t="shared" si="240"/>
        <v>1543.960958288779</v>
      </c>
      <c r="AV161" s="69"/>
      <c r="AW161" s="69">
        <f t="shared" si="241"/>
        <v>1668.4739387959387</v>
      </c>
      <c r="AX161" s="69"/>
      <c r="AY161" s="69">
        <f t="shared" si="242"/>
        <v>3934.610184026244</v>
      </c>
      <c r="BA161" s="99">
        <f t="shared" ref="BA161" si="247">SUM(AI161:AY161)-AG161</f>
        <v>0</v>
      </c>
      <c r="BB161" s="82"/>
      <c r="BC161" s="82"/>
      <c r="BD161" s="82"/>
    </row>
    <row r="162" spans="1:56" s="392" customFormat="1" x14ac:dyDescent="0.2">
      <c r="A162" s="300"/>
      <c r="B162" s="300"/>
      <c r="C162" s="116">
        <f>+Linkin!L292</f>
        <v>188.9312806061366</v>
      </c>
      <c r="D162" s="412">
        <v>675.8</v>
      </c>
      <c r="E162" s="116"/>
      <c r="F162" s="120" t="s">
        <v>659</v>
      </c>
      <c r="G162" s="180"/>
      <c r="H162" s="181">
        <v>16</v>
      </c>
      <c r="I162" s="120"/>
      <c r="J162" s="231">
        <f t="shared" si="221"/>
        <v>188.9312806061366</v>
      </c>
      <c r="K162" s="295"/>
      <c r="L162" s="115">
        <f t="shared" si="227"/>
        <v>122.80533239398879</v>
      </c>
      <c r="M162" s="230"/>
      <c r="N162" s="115">
        <f t="shared" si="228"/>
        <v>38.976523189045984</v>
      </c>
      <c r="O162" s="230"/>
      <c r="P162" s="115">
        <f t="shared" si="229"/>
        <v>4.9122132957595515</v>
      </c>
      <c r="Q162" s="230"/>
      <c r="R162" s="115">
        <f t="shared" si="230"/>
        <v>10.693510482307332</v>
      </c>
      <c r="S162" s="230"/>
      <c r="T162" s="115">
        <f t="shared" si="231"/>
        <v>2.8906485932738897</v>
      </c>
      <c r="U162" s="230"/>
      <c r="V162" s="115">
        <f t="shared" si="232"/>
        <v>2.6828241846071399</v>
      </c>
      <c r="W162" s="230"/>
      <c r="X162" s="115">
        <f t="shared" si="233"/>
        <v>5.970228467153917</v>
      </c>
      <c r="Y162" s="116"/>
      <c r="Z162" s="99">
        <f t="shared" si="220"/>
        <v>0</v>
      </c>
      <c r="AC162" s="120" t="s">
        <v>659</v>
      </c>
      <c r="AE162" s="154">
        <f t="shared" si="201"/>
        <v>16</v>
      </c>
      <c r="AG162" s="231">
        <f t="shared" si="202"/>
        <v>188.9312806061366</v>
      </c>
      <c r="AH162" s="295"/>
      <c r="AI162" s="115">
        <f t="shared" si="234"/>
        <v>53.278621130930517</v>
      </c>
      <c r="AJ162" s="230"/>
      <c r="AK162" s="115">
        <f t="shared" si="235"/>
        <v>36.463737156984365</v>
      </c>
      <c r="AL162" s="230"/>
      <c r="AM162" s="115">
        <f t="shared" si="236"/>
        <v>5.8190834426690072</v>
      </c>
      <c r="AN162" s="230"/>
      <c r="AO162" s="115">
        <f t="shared" si="237"/>
        <v>45.815835546988126</v>
      </c>
      <c r="AP162" s="230"/>
      <c r="AQ162" s="115">
        <f t="shared" si="238"/>
        <v>14.812212399521108</v>
      </c>
      <c r="AR162" s="230"/>
      <c r="AS162" s="115">
        <f t="shared" si="239"/>
        <v>21.897135422251232</v>
      </c>
      <c r="AT162" s="230"/>
      <c r="AU162" s="115">
        <f t="shared" si="240"/>
        <v>2.3427478795160939</v>
      </c>
      <c r="AV162" s="69"/>
      <c r="AW162" s="69">
        <f t="shared" si="241"/>
        <v>2.5316791601222306</v>
      </c>
      <c r="AX162" s="69"/>
      <c r="AY162" s="69">
        <f t="shared" si="242"/>
        <v>5.970228467153917</v>
      </c>
      <c r="BA162" s="99">
        <f t="shared" si="203"/>
        <v>0</v>
      </c>
      <c r="BB162" s="82"/>
      <c r="BC162" s="82"/>
      <c r="BD162" s="82"/>
    </row>
    <row r="163" spans="1:56" s="392" customFormat="1" x14ac:dyDescent="0.2">
      <c r="A163" s="300"/>
      <c r="B163" s="300"/>
      <c r="C163" s="116">
        <f>+Linkin!L260+Linkin!L287+Linkin!L288+Linkin!L289+Linkin!L291</f>
        <v>271172.65367489745</v>
      </c>
      <c r="D163" s="412">
        <v>675.8</v>
      </c>
      <c r="E163" s="116"/>
      <c r="F163" s="120" t="s">
        <v>668</v>
      </c>
      <c r="G163" s="180"/>
      <c r="H163" s="181">
        <v>16</v>
      </c>
      <c r="I163" s="120"/>
      <c r="J163" s="231">
        <f t="shared" si="221"/>
        <v>271172.65367489745</v>
      </c>
      <c r="K163" s="295"/>
      <c r="L163" s="115">
        <f t="shared" si="227"/>
        <v>176262.22488868335</v>
      </c>
      <c r="M163" s="230"/>
      <c r="N163" s="115">
        <f t="shared" si="228"/>
        <v>55942.918453131344</v>
      </c>
      <c r="O163" s="230"/>
      <c r="P163" s="115">
        <f t="shared" si="229"/>
        <v>7050.4889955473336</v>
      </c>
      <c r="Q163" s="230"/>
      <c r="R163" s="115">
        <f t="shared" si="230"/>
        <v>15348.372197999195</v>
      </c>
      <c r="S163" s="230"/>
      <c r="T163" s="115">
        <f t="shared" si="231"/>
        <v>4148.9416012259308</v>
      </c>
      <c r="U163" s="230"/>
      <c r="V163" s="115">
        <f t="shared" si="232"/>
        <v>3850.6516821835439</v>
      </c>
      <c r="W163" s="230"/>
      <c r="X163" s="115">
        <f t="shared" si="233"/>
        <v>8569.0558561267608</v>
      </c>
      <c r="Y163" s="116"/>
      <c r="Z163" s="99">
        <f t="shared" si="220"/>
        <v>0</v>
      </c>
      <c r="AC163" s="120" t="s">
        <v>668</v>
      </c>
      <c r="AE163" s="154">
        <f t="shared" si="201"/>
        <v>16</v>
      </c>
      <c r="AG163" s="231">
        <f t="shared" si="202"/>
        <v>271172.65367489745</v>
      </c>
      <c r="AH163" s="295"/>
      <c r="AI163" s="115">
        <f t="shared" si="234"/>
        <v>76470.688336321065</v>
      </c>
      <c r="AJ163" s="230"/>
      <c r="AK163" s="115">
        <f t="shared" si="235"/>
        <v>52336.322159255207</v>
      </c>
      <c r="AL163" s="230"/>
      <c r="AM163" s="115">
        <f t="shared" si="236"/>
        <v>8352.1177331868421</v>
      </c>
      <c r="AN163" s="230"/>
      <c r="AO163" s="115">
        <f t="shared" si="237"/>
        <v>65759.368516162634</v>
      </c>
      <c r="AP163" s="230"/>
      <c r="AQ163" s="115">
        <f t="shared" si="238"/>
        <v>21259.936048111958</v>
      </c>
      <c r="AR163" s="230"/>
      <c r="AS163" s="115">
        <f t="shared" si="239"/>
        <v>31428.910560920616</v>
      </c>
      <c r="AT163" s="230"/>
      <c r="AU163" s="115">
        <f t="shared" si="240"/>
        <v>3362.5409055687282</v>
      </c>
      <c r="AV163" s="69"/>
      <c r="AW163" s="69">
        <f t="shared" si="241"/>
        <v>3633.7135592436257</v>
      </c>
      <c r="AX163" s="69"/>
      <c r="AY163" s="69">
        <f t="shared" si="242"/>
        <v>8569.0558561267608</v>
      </c>
      <c r="BA163" s="99">
        <f t="shared" si="203"/>
        <v>0</v>
      </c>
      <c r="BB163" s="82"/>
      <c r="BC163" s="82"/>
      <c r="BD163" s="82"/>
    </row>
    <row r="164" spans="1:56" s="392" customFormat="1" x14ac:dyDescent="0.2">
      <c r="A164" s="300"/>
      <c r="B164" s="300"/>
      <c r="C164" s="116">
        <f>+Linkin!L243</f>
        <v>84245.591416895841</v>
      </c>
      <c r="D164" s="412">
        <v>675.8</v>
      </c>
      <c r="E164" s="116"/>
      <c r="F164" s="120" t="s">
        <v>670</v>
      </c>
      <c r="G164" s="180"/>
      <c r="H164" s="181">
        <v>15</v>
      </c>
      <c r="I164" s="120"/>
      <c r="J164" s="231">
        <f t="shared" si="221"/>
        <v>84245.591416895841</v>
      </c>
      <c r="K164" s="295"/>
      <c r="L164" s="115">
        <f t="shared" si="227"/>
        <v>57649.258206581828</v>
      </c>
      <c r="M164" s="230"/>
      <c r="N164" s="115">
        <f t="shared" si="228"/>
        <v>15577.009852984042</v>
      </c>
      <c r="O164" s="230"/>
      <c r="P164" s="115">
        <f t="shared" si="229"/>
        <v>1946.0731617302938</v>
      </c>
      <c r="Q164" s="230"/>
      <c r="R164" s="115">
        <f t="shared" si="230"/>
        <v>4229.1286891281716</v>
      </c>
      <c r="S164" s="230"/>
      <c r="T164" s="115">
        <f t="shared" si="231"/>
        <v>1095.1926884196459</v>
      </c>
      <c r="U164" s="230"/>
      <c r="V164" s="115">
        <f t="shared" si="232"/>
        <v>1356.3540218120231</v>
      </c>
      <c r="W164" s="230"/>
      <c r="X164" s="115">
        <f t="shared" si="233"/>
        <v>2392.5747962398418</v>
      </c>
      <c r="Y164" s="116"/>
      <c r="Z164" s="99">
        <f t="shared" si="220"/>
        <v>0</v>
      </c>
      <c r="AC164" s="120" t="s">
        <v>670</v>
      </c>
      <c r="AE164" s="154">
        <f t="shared" si="201"/>
        <v>15</v>
      </c>
      <c r="AG164" s="231">
        <f t="shared" si="202"/>
        <v>84245.591416895841</v>
      </c>
      <c r="AH164" s="295"/>
      <c r="AI164" s="115">
        <f t="shared" si="234"/>
        <v>21550.022284441959</v>
      </c>
      <c r="AJ164" s="230"/>
      <c r="AK164" s="115">
        <f t="shared" si="235"/>
        <v>12704.235185667892</v>
      </c>
      <c r="AL164" s="230"/>
      <c r="AM164" s="115">
        <f t="shared" si="236"/>
        <v>2712.7080436240462</v>
      </c>
      <c r="AN164" s="230"/>
      <c r="AO164" s="115">
        <f t="shared" si="237"/>
        <v>13900.522583787815</v>
      </c>
      <c r="AP164" s="230"/>
      <c r="AQ164" s="115">
        <f t="shared" si="238"/>
        <v>5728.7002163489178</v>
      </c>
      <c r="AR164" s="230"/>
      <c r="AS164" s="115">
        <f t="shared" si="239"/>
        <v>17851.640821240228</v>
      </c>
      <c r="AT164" s="230"/>
      <c r="AU164" s="115">
        <f t="shared" si="240"/>
        <v>6175.2018508584651</v>
      </c>
      <c r="AV164" s="69"/>
      <c r="AW164" s="69">
        <f t="shared" si="241"/>
        <v>1229.9856346866793</v>
      </c>
      <c r="AX164" s="69"/>
      <c r="AY164" s="69">
        <f t="shared" si="242"/>
        <v>2392.5747962398418</v>
      </c>
      <c r="BA164" s="99">
        <f t="shared" si="203"/>
        <v>0</v>
      </c>
      <c r="BB164" s="82"/>
      <c r="BC164" s="82"/>
      <c r="BD164" s="82"/>
    </row>
    <row r="165" spans="1:56" ht="12" customHeight="1" x14ac:dyDescent="0.2">
      <c r="A165" s="300"/>
      <c r="B165" s="300"/>
      <c r="C165" s="116">
        <f>+Linkin!L242+Linkin!L236+Linkin!L247</f>
        <v>29504.380718573419</v>
      </c>
      <c r="D165" s="412">
        <v>675.8</v>
      </c>
      <c r="F165" s="120" t="s">
        <v>669</v>
      </c>
      <c r="G165" s="180"/>
      <c r="H165" s="181">
        <v>15</v>
      </c>
      <c r="I165" s="120"/>
      <c r="J165" s="232">
        <f t="shared" si="221"/>
        <v>29504.380718573419</v>
      </c>
      <c r="K165" s="295"/>
      <c r="L165" s="115">
        <f t="shared" si="227"/>
        <v>20189.847725719792</v>
      </c>
      <c r="M165" s="230"/>
      <c r="N165" s="115">
        <f t="shared" si="228"/>
        <v>5455.359994864225</v>
      </c>
      <c r="O165" s="230"/>
      <c r="P165" s="115">
        <f t="shared" si="229"/>
        <v>681.55119459904597</v>
      </c>
      <c r="Q165" s="230"/>
      <c r="R165" s="115">
        <f t="shared" si="230"/>
        <v>1481.1199120723857</v>
      </c>
      <c r="S165" s="230"/>
      <c r="T165" s="115">
        <f t="shared" si="231"/>
        <v>383.55694934145441</v>
      </c>
      <c r="U165" s="230"/>
      <c r="V165" s="115">
        <f t="shared" si="232"/>
        <v>475.02052956903202</v>
      </c>
      <c r="W165" s="230"/>
      <c r="X165" s="115">
        <f t="shared" si="233"/>
        <v>837.92441240748508</v>
      </c>
      <c r="Y165" s="403"/>
      <c r="Z165" s="99">
        <f t="shared" si="220"/>
        <v>0</v>
      </c>
      <c r="AA165" s="84"/>
      <c r="AB165" s="84"/>
      <c r="AC165" s="120" t="s">
        <v>669</v>
      </c>
      <c r="AD165" s="84"/>
      <c r="AE165" s="457">
        <f t="shared" si="201"/>
        <v>15</v>
      </c>
      <c r="AF165" s="84"/>
      <c r="AG165" s="232">
        <f t="shared" si="202"/>
        <v>29504.380718573419</v>
      </c>
      <c r="AH165" s="295"/>
      <c r="AI165" s="115">
        <f t="shared" si="234"/>
        <v>7547.2205878110817</v>
      </c>
      <c r="AJ165" s="230"/>
      <c r="AK165" s="115">
        <f t="shared" si="235"/>
        <v>4449.2606123608712</v>
      </c>
      <c r="AL165" s="230"/>
      <c r="AM165" s="115">
        <f t="shared" si="236"/>
        <v>950.04105913806404</v>
      </c>
      <c r="AN165" s="230"/>
      <c r="AO165" s="115">
        <f t="shared" si="237"/>
        <v>4868.2228185646145</v>
      </c>
      <c r="AP165" s="230"/>
      <c r="AQ165" s="115">
        <f t="shared" si="238"/>
        <v>2006.2978888629925</v>
      </c>
      <c r="AR165" s="230"/>
      <c r="AS165" s="115">
        <f t="shared" si="239"/>
        <v>6251.9782742657071</v>
      </c>
      <c r="AT165" s="230"/>
      <c r="AU165" s="115">
        <f t="shared" si="240"/>
        <v>2162.6711066714315</v>
      </c>
      <c r="AV165" s="69"/>
      <c r="AW165" s="69">
        <f t="shared" si="241"/>
        <v>430.76395849117193</v>
      </c>
      <c r="AX165" s="69"/>
      <c r="AY165" s="69">
        <f t="shared" si="242"/>
        <v>837.92441240748508</v>
      </c>
      <c r="BA165" s="99">
        <f t="shared" si="203"/>
        <v>0</v>
      </c>
      <c r="BB165" s="82"/>
      <c r="BC165" s="82"/>
      <c r="BD165" s="82"/>
    </row>
    <row r="166" spans="1:56" s="399" customFormat="1" ht="12" customHeight="1" x14ac:dyDescent="0.2">
      <c r="A166" s="300"/>
      <c r="B166" s="300"/>
      <c r="C166" s="116">
        <f>+Linkin!L204</f>
        <v>16377.746167254203</v>
      </c>
      <c r="D166" s="412">
        <v>675.8</v>
      </c>
      <c r="E166" s="116"/>
      <c r="F166" s="120" t="s">
        <v>693</v>
      </c>
      <c r="G166" s="180"/>
      <c r="H166" s="181">
        <v>15</v>
      </c>
      <c r="I166" s="120"/>
      <c r="J166" s="232">
        <f t="shared" si="221"/>
        <v>16377.746167254203</v>
      </c>
      <c r="K166" s="295"/>
      <c r="L166" s="115">
        <f t="shared" si="227"/>
        <v>11207.291702252052</v>
      </c>
      <c r="M166" s="230"/>
      <c r="N166" s="115">
        <f t="shared" si="228"/>
        <v>3028.2452663253025</v>
      </c>
      <c r="O166" s="230"/>
      <c r="P166" s="115">
        <f t="shared" si="229"/>
        <v>378.32593646357208</v>
      </c>
      <c r="Q166" s="230"/>
      <c r="R166" s="115">
        <f t="shared" si="230"/>
        <v>822.16285759616107</v>
      </c>
      <c r="S166" s="230"/>
      <c r="T166" s="115">
        <f t="shared" si="231"/>
        <v>212.91070017430462</v>
      </c>
      <c r="U166" s="230"/>
      <c r="V166" s="115">
        <f t="shared" si="232"/>
        <v>263.68171329279267</v>
      </c>
      <c r="W166" s="230"/>
      <c r="X166" s="115">
        <f t="shared" si="233"/>
        <v>465.1279911500194</v>
      </c>
      <c r="Y166" s="403"/>
      <c r="Z166" s="99">
        <f t="shared" si="220"/>
        <v>0</v>
      </c>
      <c r="AA166" s="84"/>
      <c r="AB166" s="84"/>
      <c r="AC166" s="120" t="s">
        <v>693</v>
      </c>
      <c r="AD166" s="84"/>
      <c r="AE166" s="457">
        <f t="shared" si="201"/>
        <v>15</v>
      </c>
      <c r="AF166" s="84"/>
      <c r="AG166" s="232">
        <f t="shared" si="202"/>
        <v>16377.746167254203</v>
      </c>
      <c r="AH166" s="295"/>
      <c r="AI166" s="115">
        <f t="shared" si="234"/>
        <v>4189.4274695836257</v>
      </c>
      <c r="AJ166" s="230"/>
      <c r="AK166" s="115">
        <f t="shared" si="235"/>
        <v>2469.7641220219339</v>
      </c>
      <c r="AL166" s="230"/>
      <c r="AM166" s="115">
        <f t="shared" si="236"/>
        <v>527.36342658558533</v>
      </c>
      <c r="AN166" s="230"/>
      <c r="AO166" s="115">
        <f t="shared" si="237"/>
        <v>2702.3281175969437</v>
      </c>
      <c r="AP166" s="230"/>
      <c r="AQ166" s="115">
        <f t="shared" si="238"/>
        <v>1113.6867393732859</v>
      </c>
      <c r="AR166" s="230"/>
      <c r="AS166" s="115">
        <f t="shared" si="239"/>
        <v>3470.4444128411656</v>
      </c>
      <c r="AT166" s="230"/>
      <c r="AU166" s="115">
        <f t="shared" si="240"/>
        <v>1200.4887940597332</v>
      </c>
      <c r="AV166" s="69"/>
      <c r="AW166" s="69">
        <f t="shared" si="241"/>
        <v>239.11509404191136</v>
      </c>
      <c r="AX166" s="69"/>
      <c r="AY166" s="69">
        <f t="shared" si="242"/>
        <v>465.1279911500194</v>
      </c>
      <c r="BA166" s="99">
        <f t="shared" si="203"/>
        <v>0</v>
      </c>
      <c r="BB166" s="82"/>
      <c r="BC166" s="82"/>
      <c r="BD166" s="82"/>
    </row>
    <row r="167" spans="1:56" s="399" customFormat="1" ht="12" customHeight="1" x14ac:dyDescent="0.2">
      <c r="A167" s="300"/>
      <c r="B167" s="300"/>
      <c r="C167" s="116">
        <f>+Linkin!L359+Linkin!L365+Linkin!L372+Linkin!L378+Linkin!L366+Linkin!L367</f>
        <v>889450.36101907922</v>
      </c>
      <c r="D167" s="412">
        <v>675.8</v>
      </c>
      <c r="E167" s="116"/>
      <c r="F167" s="120" t="s">
        <v>677</v>
      </c>
      <c r="G167" s="180"/>
      <c r="H167" s="181">
        <v>15</v>
      </c>
      <c r="I167" s="120"/>
      <c r="J167" s="305">
        <f t="shared" ref="J167" si="248">+C167</f>
        <v>889450.36101907922</v>
      </c>
      <c r="K167" s="295"/>
      <c r="L167" s="304">
        <f t="shared" si="227"/>
        <v>608650.88204535597</v>
      </c>
      <c r="M167" s="295"/>
      <c r="N167" s="304">
        <f t="shared" si="228"/>
        <v>164459.37175242775</v>
      </c>
      <c r="O167" s="295"/>
      <c r="P167" s="304">
        <f t="shared" si="229"/>
        <v>20546.303339540729</v>
      </c>
      <c r="Q167" s="295"/>
      <c r="R167" s="304">
        <f t="shared" si="230"/>
        <v>44650.40812315778</v>
      </c>
      <c r="S167" s="295"/>
      <c r="T167" s="304">
        <f t="shared" si="231"/>
        <v>11562.854693248029</v>
      </c>
      <c r="U167" s="295"/>
      <c r="V167" s="304">
        <f t="shared" si="232"/>
        <v>14320.150812407175</v>
      </c>
      <c r="W167" s="295"/>
      <c r="X167" s="304">
        <f t="shared" si="233"/>
        <v>25260.390252941852</v>
      </c>
      <c r="Y167" s="403"/>
      <c r="Z167" s="99">
        <f t="shared" si="220"/>
        <v>0</v>
      </c>
      <c r="AA167" s="84"/>
      <c r="AB167" s="84"/>
      <c r="AC167" s="120" t="s">
        <v>677</v>
      </c>
      <c r="AD167" s="84"/>
      <c r="AE167" s="457">
        <f t="shared" si="201"/>
        <v>15</v>
      </c>
      <c r="AF167" s="84"/>
      <c r="AG167" s="305">
        <f t="shared" si="202"/>
        <v>889450.36101907922</v>
      </c>
      <c r="AH167" s="295"/>
      <c r="AI167" s="304">
        <f t="shared" si="234"/>
        <v>227521.40234868048</v>
      </c>
      <c r="AJ167" s="295"/>
      <c r="AK167" s="304">
        <f t="shared" si="235"/>
        <v>134129.11444167714</v>
      </c>
      <c r="AL167" s="295"/>
      <c r="AM167" s="304">
        <f t="shared" si="236"/>
        <v>28640.30162481435</v>
      </c>
      <c r="AN167" s="295"/>
      <c r="AO167" s="304">
        <f t="shared" si="237"/>
        <v>146759.30956814808</v>
      </c>
      <c r="AP167" s="295"/>
      <c r="AQ167" s="304">
        <f t="shared" si="238"/>
        <v>60482.62454929739</v>
      </c>
      <c r="AR167" s="295"/>
      <c r="AS167" s="304">
        <f t="shared" si="239"/>
        <v>188474.53149994288</v>
      </c>
      <c r="AT167" s="295"/>
      <c r="AU167" s="304">
        <f t="shared" si="240"/>
        <v>65196.711462698513</v>
      </c>
      <c r="AV167" s="295"/>
      <c r="AW167" s="304">
        <f t="shared" si="241"/>
        <v>12985.975270878556</v>
      </c>
      <c r="AX167" s="295"/>
      <c r="AY167" s="304">
        <f t="shared" si="242"/>
        <v>25260.390252941852</v>
      </c>
      <c r="BA167" s="99">
        <f t="shared" si="203"/>
        <v>0</v>
      </c>
      <c r="BB167" s="82"/>
      <c r="BC167" s="82"/>
      <c r="BD167" s="82"/>
    </row>
    <row r="168" spans="1:56" s="399" customFormat="1" ht="12" customHeight="1" x14ac:dyDescent="0.2">
      <c r="A168" s="300"/>
      <c r="B168" s="300"/>
      <c r="C168" s="116"/>
      <c r="D168" s="412"/>
      <c r="E168" s="116"/>
      <c r="F168" s="120"/>
      <c r="G168" s="180"/>
      <c r="H168" s="181"/>
      <c r="I168" s="120"/>
      <c r="J168" s="232"/>
      <c r="K168" s="295"/>
      <c r="L168" s="167"/>
      <c r="M168" s="295"/>
      <c r="N168" s="167"/>
      <c r="O168" s="295"/>
      <c r="P168" s="167"/>
      <c r="Q168" s="295"/>
      <c r="R168" s="167"/>
      <c r="S168" s="295"/>
      <c r="T168" s="167"/>
      <c r="U168" s="295"/>
      <c r="V168" s="167"/>
      <c r="W168" s="295"/>
      <c r="X168" s="167"/>
      <c r="Y168" s="403"/>
      <c r="Z168" s="99">
        <f t="shared" si="220"/>
        <v>0</v>
      </c>
      <c r="AA168" s="84"/>
      <c r="AB168" s="84"/>
      <c r="AC168" s="120"/>
      <c r="AD168" s="84"/>
      <c r="AE168" s="457"/>
      <c r="AF168" s="84"/>
      <c r="AG168" s="232"/>
      <c r="AH168" s="295"/>
      <c r="AI168" s="167"/>
      <c r="AJ168" s="295"/>
      <c r="AK168" s="167"/>
      <c r="AL168" s="295"/>
      <c r="AM168" s="167"/>
      <c r="AN168" s="295"/>
      <c r="AO168" s="167"/>
      <c r="AP168" s="295"/>
      <c r="AQ168" s="167"/>
      <c r="AR168" s="295"/>
      <c r="AS168" s="167"/>
      <c r="AT168" s="295"/>
      <c r="AU168" s="167"/>
      <c r="AV168" s="295"/>
      <c r="AW168" s="167"/>
      <c r="AX168" s="295"/>
      <c r="AY168" s="167"/>
      <c r="BA168" s="99">
        <f t="shared" si="203"/>
        <v>0</v>
      </c>
      <c r="BB168" s="82"/>
      <c r="BC168" s="82"/>
      <c r="BD168" s="82"/>
    </row>
    <row r="169" spans="1:56" x14ac:dyDescent="0.2">
      <c r="A169" s="300"/>
      <c r="B169" s="300"/>
      <c r="F169" s="120" t="s">
        <v>110</v>
      </c>
      <c r="G169" s="180"/>
      <c r="H169" s="181"/>
      <c r="I169" s="120"/>
      <c r="J169" s="305">
        <f>SUM(J137:J168)</f>
        <v>17368036.776647929</v>
      </c>
      <c r="K169" s="120"/>
      <c r="L169" s="305">
        <f ca="1">SUM(L137:L168)</f>
        <v>12106885.315753231</v>
      </c>
      <c r="M169" s="120"/>
      <c r="N169" s="305">
        <f ca="1">SUM(N137:N168)</f>
        <v>3106127.6150770229</v>
      </c>
      <c r="O169" s="120"/>
      <c r="P169" s="305">
        <f ca="1">SUM(P137:P168)</f>
        <v>375864.85916920775</v>
      </c>
      <c r="Q169" s="120"/>
      <c r="R169" s="305">
        <f ca="1">SUM(R137:R168)</f>
        <v>824268.27983643103</v>
      </c>
      <c r="S169" s="120"/>
      <c r="T169" s="305">
        <f ca="1">SUM(T137:T168)</f>
        <v>214544.52583472201</v>
      </c>
      <c r="U169" s="120"/>
      <c r="V169" s="305">
        <f ca="1">SUM(V137:V168)</f>
        <v>282976.37065828627</v>
      </c>
      <c r="W169" s="120"/>
      <c r="X169" s="305">
        <f ca="1">SUM(X137:X168)</f>
        <v>457369.81031902909</v>
      </c>
      <c r="Z169" s="99">
        <f t="shared" ca="1" si="220"/>
        <v>0</v>
      </c>
      <c r="AC169" s="120" t="s">
        <v>110</v>
      </c>
      <c r="AD169" s="180"/>
      <c r="AE169" s="181"/>
      <c r="AF169" s="120"/>
      <c r="AG169" s="305">
        <f>SUM(AG137:AG168)</f>
        <v>17368036.776647929</v>
      </c>
      <c r="AH169" s="120"/>
      <c r="AI169" s="305">
        <f ca="1">SUM(AI137:AI168)</f>
        <v>4159794.7405800018</v>
      </c>
      <c r="AJ169" s="120"/>
      <c r="AK169" s="305">
        <f ca="1">SUM(AK137:AK168)</f>
        <v>2520165.768079727</v>
      </c>
      <c r="AL169" s="120"/>
      <c r="AM169" s="305">
        <f ca="1">SUM(AM137:AM168)</f>
        <v>503824.33537301677</v>
      </c>
      <c r="AN169" s="120"/>
      <c r="AO169" s="305">
        <f ca="1">SUM(AO137:AO168)</f>
        <v>2855068.8269718536</v>
      </c>
      <c r="AP169" s="120"/>
      <c r="AQ169" s="305">
        <f ca="1">SUM(AQ137:AQ168)</f>
        <v>1085421.9067699357</v>
      </c>
      <c r="AR169" s="120"/>
      <c r="AS169" s="305">
        <f ca="1">SUM(AS137:AS168)</f>
        <v>4670124.6791054355</v>
      </c>
      <c r="AT169" s="120"/>
      <c r="AU169" s="305">
        <f ca="1">SUM(AU137:AU168)</f>
        <v>853256.66277262464</v>
      </c>
      <c r="AV169" s="120"/>
      <c r="AW169" s="305">
        <f ca="1">SUM(AW137:AW168)</f>
        <v>263097.20367630507</v>
      </c>
      <c r="AX169" s="120"/>
      <c r="AY169" s="305">
        <f ca="1">SUM(AY137:AY168)</f>
        <v>457282.65331902908</v>
      </c>
      <c r="BA169" s="99">
        <f t="shared" ca="1" si="203"/>
        <v>0</v>
      </c>
      <c r="BB169" s="82"/>
      <c r="BC169" s="82"/>
      <c r="BD169" s="82"/>
    </row>
    <row r="170" spans="1:56" x14ac:dyDescent="0.2">
      <c r="A170" s="300"/>
      <c r="B170" s="300"/>
      <c r="F170" s="120" t="s">
        <v>111</v>
      </c>
      <c r="G170" s="180"/>
      <c r="H170" s="181"/>
      <c r="I170" s="120"/>
      <c r="J170" s="231"/>
      <c r="K170" s="108"/>
      <c r="L170" s="83"/>
      <c r="M170" s="109"/>
      <c r="N170" s="83"/>
      <c r="O170" s="109"/>
      <c r="P170" s="83"/>
      <c r="Q170" s="109"/>
      <c r="R170" s="83"/>
      <c r="S170" s="109"/>
      <c r="T170" s="83"/>
      <c r="U170" s="109"/>
      <c r="V170" s="83"/>
      <c r="W170" s="109"/>
      <c r="X170" s="83"/>
      <c r="Z170" s="99">
        <f t="shared" si="220"/>
        <v>0</v>
      </c>
      <c r="AC170" s="120" t="s">
        <v>111</v>
      </c>
      <c r="AD170" s="180"/>
      <c r="AE170" s="181"/>
      <c r="AF170" s="120"/>
      <c r="AG170" s="231"/>
      <c r="AH170" s="108"/>
      <c r="AI170" s="83"/>
      <c r="AJ170" s="109"/>
      <c r="AK170" s="83"/>
      <c r="AL170" s="109"/>
      <c r="AM170" s="83"/>
      <c r="AN170" s="109"/>
      <c r="AO170" s="83"/>
      <c r="AP170" s="109"/>
      <c r="AQ170" s="83"/>
      <c r="AR170" s="109"/>
      <c r="AS170" s="83"/>
      <c r="AT170" s="109"/>
      <c r="AU170" s="83"/>
      <c r="AV170" s="109"/>
      <c r="AW170" s="83"/>
      <c r="AX170" s="109"/>
      <c r="AY170" s="83"/>
      <c r="BA170" s="99">
        <f t="shared" si="203"/>
        <v>0</v>
      </c>
      <c r="BB170" s="82"/>
      <c r="BC170" s="82"/>
      <c r="BD170" s="82"/>
    </row>
    <row r="171" spans="1:56" ht="7.15" customHeight="1" x14ac:dyDescent="0.2">
      <c r="A171" s="300"/>
      <c r="B171" s="300"/>
      <c r="F171" s="120"/>
      <c r="G171" s="180"/>
      <c r="H171" s="181"/>
      <c r="I171" s="120"/>
      <c r="J171" s="231"/>
      <c r="K171" s="108"/>
      <c r="L171" s="83"/>
      <c r="M171" s="109"/>
      <c r="N171" s="83"/>
      <c r="O171" s="109"/>
      <c r="P171" s="83"/>
      <c r="Q171" s="109"/>
      <c r="R171" s="83"/>
      <c r="S171" s="109"/>
      <c r="T171" s="83"/>
      <c r="U171" s="109"/>
      <c r="V171" s="83"/>
      <c r="W171" s="109"/>
      <c r="X171" s="83"/>
      <c r="Z171" s="99">
        <f t="shared" si="220"/>
        <v>0</v>
      </c>
      <c r="AC171" s="120"/>
      <c r="AD171" s="180"/>
      <c r="AE171" s="181"/>
      <c r="AF171" s="120"/>
      <c r="AG171" s="231"/>
      <c r="AH171" s="108"/>
      <c r="AI171" s="83"/>
      <c r="AJ171" s="109"/>
      <c r="AK171" s="83"/>
      <c r="AL171" s="109"/>
      <c r="AM171" s="83"/>
      <c r="AN171" s="109"/>
      <c r="AO171" s="83"/>
      <c r="AP171" s="109"/>
      <c r="AQ171" s="83"/>
      <c r="AR171" s="109"/>
      <c r="AS171" s="83"/>
      <c r="AT171" s="109"/>
      <c r="AU171" s="83"/>
      <c r="AV171" s="109"/>
      <c r="AW171" s="83"/>
      <c r="AX171" s="109"/>
      <c r="AY171" s="83"/>
      <c r="BA171" s="99">
        <f t="shared" si="203"/>
        <v>0</v>
      </c>
      <c r="BB171" s="82"/>
      <c r="BC171" s="82"/>
      <c r="BD171" s="82"/>
    </row>
    <row r="172" spans="1:56" x14ac:dyDescent="0.2">
      <c r="A172" s="121"/>
      <c r="B172" s="122"/>
      <c r="F172" s="120" t="s">
        <v>112</v>
      </c>
      <c r="G172" s="180"/>
      <c r="H172" s="181"/>
      <c r="I172" s="120"/>
      <c r="J172" s="231"/>
      <c r="K172" s="120"/>
      <c r="L172" s="231"/>
      <c r="M172" s="120"/>
      <c r="N172" s="231"/>
      <c r="O172" s="120"/>
      <c r="P172" s="231"/>
      <c r="Q172" s="120"/>
      <c r="R172" s="231"/>
      <c r="S172" s="120"/>
      <c r="T172" s="231"/>
      <c r="U172" s="120"/>
      <c r="V172" s="231"/>
      <c r="W172" s="120"/>
      <c r="X172" s="231"/>
      <c r="Z172" s="99">
        <f t="shared" si="220"/>
        <v>0</v>
      </c>
      <c r="AC172" s="120" t="s">
        <v>112</v>
      </c>
      <c r="AD172" s="180"/>
      <c r="AE172" s="181"/>
      <c r="AF172" s="120"/>
      <c r="AG172" s="231"/>
      <c r="AH172" s="120"/>
      <c r="AI172" s="231"/>
      <c r="AJ172" s="120"/>
      <c r="AK172" s="231"/>
      <c r="AL172" s="120"/>
      <c r="AM172" s="231"/>
      <c r="AN172" s="120"/>
      <c r="AO172" s="231"/>
      <c r="AP172" s="120"/>
      <c r="AQ172" s="231"/>
      <c r="AR172" s="120"/>
      <c r="AS172" s="231"/>
      <c r="AT172" s="120"/>
      <c r="AU172" s="231"/>
      <c r="AV172" s="120"/>
      <c r="AW172" s="231"/>
      <c r="AX172" s="120"/>
      <c r="AY172" s="231"/>
      <c r="BA172" s="99">
        <f t="shared" si="203"/>
        <v>0</v>
      </c>
      <c r="BB172" s="82"/>
      <c r="BC172" s="82"/>
      <c r="BD172" s="82"/>
    </row>
    <row r="173" spans="1:56" s="59" customFormat="1" x14ac:dyDescent="0.2">
      <c r="A173" s="121"/>
      <c r="B173" s="122"/>
      <c r="C173" s="116"/>
      <c r="D173" s="412"/>
      <c r="E173" s="116"/>
      <c r="F173" s="120" t="s">
        <v>111</v>
      </c>
      <c r="G173" s="180"/>
      <c r="H173" s="181"/>
      <c r="I173" s="120"/>
      <c r="J173" s="305">
        <f>J29+J40+J75+J114+J132+J169</f>
        <v>34381915.147216797</v>
      </c>
      <c r="K173" s="120"/>
      <c r="L173" s="305">
        <f ca="1">L29+L40+L75+L114+L132+L169</f>
        <v>22548156.177911002</v>
      </c>
      <c r="M173" s="120"/>
      <c r="N173" s="305">
        <f ca="1">N29+N40+N75+N114+N132+N169</f>
        <v>7014722.3728229757</v>
      </c>
      <c r="O173" s="120"/>
      <c r="P173" s="305">
        <f ca="1">P29+P40+P75+P114+P132+P169</f>
        <v>964534.21600263251</v>
      </c>
      <c r="Q173" s="120"/>
      <c r="R173" s="305">
        <f ca="1">R29+R40+R75+R114+R132+R169</f>
        <v>2021242.3379745414</v>
      </c>
      <c r="S173" s="120"/>
      <c r="T173" s="305">
        <f ca="1">T29+T40+T75+T114+T132+T169</f>
        <v>575420.8031307261</v>
      </c>
      <c r="U173" s="120"/>
      <c r="V173" s="305">
        <f ca="1">V29+V40+V75+V114+V132+V169</f>
        <v>473940.52185554354</v>
      </c>
      <c r="W173" s="120"/>
      <c r="X173" s="305">
        <f ca="1">X29+X40+X75+X114+X132+X169</f>
        <v>783898.71751936967</v>
      </c>
      <c r="Y173"/>
      <c r="Z173" s="99">
        <f t="shared" ca="1" si="220"/>
        <v>0</v>
      </c>
      <c r="AC173" s="120" t="s">
        <v>111</v>
      </c>
      <c r="AD173" s="180"/>
      <c r="AE173" s="181"/>
      <c r="AF173" s="120"/>
      <c r="AG173" s="305">
        <f>AG29+AG40+AG75+AG114+AG132+AG169</f>
        <v>34381915.147216797</v>
      </c>
      <c r="AH173" s="120"/>
      <c r="AI173" s="305">
        <f ca="1">AI29+AI40+AI75+AI114+AI132+AI169</f>
        <v>13107945.097471667</v>
      </c>
      <c r="AJ173" s="120"/>
      <c r="AK173" s="305">
        <f ca="1">AK29+AK40+AK75+AK114+AK132+AK169</f>
        <v>4147390.459041568</v>
      </c>
      <c r="AL173" s="120"/>
      <c r="AM173" s="305">
        <f ca="1">AM29+AM40+AM75+AM114+AM132+AM169</f>
        <v>850959.45408175734</v>
      </c>
      <c r="AN173" s="120"/>
      <c r="AO173" s="305">
        <f ca="1">AO29+AO40+AO75+AO114+AO132+AO169</f>
        <v>4635164.1035862193</v>
      </c>
      <c r="AP173" s="120"/>
      <c r="AQ173" s="305">
        <f ca="1">AQ29+AQ40+AQ75+AQ114+AQ132+AQ169</f>
        <v>1818557.4854453197</v>
      </c>
      <c r="AR173" s="120"/>
      <c r="AS173" s="305">
        <f ca="1">AS29+AS40+AS75+AS114+AS132+AS169</f>
        <v>6956468.5768818967</v>
      </c>
      <c r="AT173" s="120"/>
      <c r="AU173" s="305">
        <f ca="1">AU29+AU40+AU75+AU114+AU132+AU169</f>
        <v>1643616.471557948</v>
      </c>
      <c r="AV173" s="120"/>
      <c r="AW173" s="305">
        <f ca="1">AW29+AW40+AW75+AW114+AW132+AW169</f>
        <v>438001.93863104843</v>
      </c>
      <c r="AX173" s="120"/>
      <c r="AY173" s="305">
        <f ca="1">AY29+AY40+AY75+AY114+AY132+AY169</f>
        <v>783811.56051936978</v>
      </c>
      <c r="AZ173"/>
      <c r="BA173" s="99">
        <f t="shared" ca="1" si="203"/>
        <v>0</v>
      </c>
      <c r="BB173" s="82"/>
      <c r="BC173" s="82"/>
      <c r="BD173" s="82"/>
    </row>
    <row r="174" spans="1:56" x14ac:dyDescent="0.2">
      <c r="A174" s="121"/>
      <c r="B174" s="122"/>
      <c r="C174" s="403"/>
      <c r="D174" s="413"/>
      <c r="E174" s="403"/>
      <c r="F174" s="108"/>
      <c r="G174" s="107"/>
      <c r="H174" s="71"/>
      <c r="I174" s="62"/>
      <c r="J174" s="83"/>
      <c r="K174" s="108"/>
      <c r="L174" s="83"/>
      <c r="M174" s="109"/>
      <c r="N174" s="83"/>
      <c r="O174" s="109"/>
      <c r="P174" s="83"/>
      <c r="Q174" s="109"/>
      <c r="R174" s="83"/>
      <c r="S174" s="109"/>
      <c r="T174" s="83"/>
      <c r="U174" s="109"/>
      <c r="V174" s="83"/>
      <c r="W174" s="109"/>
      <c r="X174" s="83"/>
      <c r="Z174" s="99">
        <f t="shared" si="220"/>
        <v>0</v>
      </c>
      <c r="AC174" s="108"/>
      <c r="AD174" s="107"/>
      <c r="AE174" s="71"/>
      <c r="AF174" s="62"/>
      <c r="AG174" s="296"/>
      <c r="AH174" s="108"/>
      <c r="AI174" s="83"/>
      <c r="AJ174" s="109"/>
      <c r="AK174" s="83"/>
      <c r="AL174" s="109"/>
      <c r="AM174" s="83"/>
      <c r="AN174" s="109"/>
      <c r="AO174" s="83"/>
      <c r="AP174" s="109"/>
      <c r="AQ174" s="83"/>
      <c r="AR174" s="109"/>
      <c r="AS174" s="83"/>
      <c r="AT174" s="109"/>
      <c r="AU174" s="83"/>
      <c r="AV174" s="109"/>
      <c r="AW174" s="83"/>
      <c r="AX174" s="109"/>
      <c r="AY174" s="83"/>
      <c r="BA174" s="99">
        <f t="shared" si="203"/>
        <v>0</v>
      </c>
      <c r="BB174" s="82"/>
      <c r="BC174" s="82"/>
      <c r="BD174" s="82"/>
    </row>
    <row r="175" spans="1:56" x14ac:dyDescent="0.2">
      <c r="A175" s="222"/>
      <c r="B175" s="223"/>
      <c r="F175" s="306" t="s">
        <v>113</v>
      </c>
      <c r="G175" s="180"/>
      <c r="H175" s="181"/>
      <c r="I175" s="62"/>
      <c r="J175" s="461"/>
      <c r="K175" s="108"/>
      <c r="L175" s="83"/>
      <c r="M175" s="109"/>
      <c r="N175" s="83"/>
      <c r="O175" s="109"/>
      <c r="P175" s="83"/>
      <c r="Q175" s="109"/>
      <c r="R175" s="83"/>
      <c r="S175" s="109"/>
      <c r="T175" s="83"/>
      <c r="U175" s="109"/>
      <c r="V175" s="83"/>
      <c r="W175" s="109"/>
      <c r="X175" s="83"/>
      <c r="Z175" s="99">
        <f t="shared" si="220"/>
        <v>0</v>
      </c>
      <c r="AC175" s="306" t="s">
        <v>113</v>
      </c>
      <c r="AE175" s="154"/>
      <c r="AG175" s="296"/>
      <c r="AH175" s="108"/>
      <c r="AI175" s="83"/>
      <c r="AJ175" s="109"/>
      <c r="AK175" s="83"/>
      <c r="AL175" s="109"/>
      <c r="AM175" s="83"/>
      <c r="AN175" s="109"/>
      <c r="AO175" s="83"/>
      <c r="AP175" s="109"/>
      <c r="AQ175" s="83"/>
      <c r="AR175" s="109"/>
      <c r="AS175" s="83"/>
      <c r="AT175" s="109"/>
      <c r="AU175" s="83"/>
      <c r="AV175" s="109"/>
      <c r="AW175" s="83"/>
      <c r="AX175" s="109"/>
      <c r="AY175" s="83"/>
      <c r="BA175" s="99">
        <f t="shared" si="203"/>
        <v>0</v>
      </c>
      <c r="BB175" s="82"/>
      <c r="BC175" s="82"/>
      <c r="BD175" s="82"/>
    </row>
    <row r="176" spans="1:56" ht="4.1500000000000004" customHeight="1" x14ac:dyDescent="0.2">
      <c r="A176" s="300"/>
      <c r="B176" s="300"/>
      <c r="F176" s="120" t="s">
        <v>421</v>
      </c>
      <c r="G176" s="180"/>
      <c r="H176" s="181"/>
      <c r="I176" s="62"/>
      <c r="J176" s="461"/>
      <c r="K176" s="108"/>
      <c r="L176" s="83"/>
      <c r="M176" s="109"/>
      <c r="N176" s="83"/>
      <c r="O176" s="109"/>
      <c r="P176" s="83"/>
      <c r="Q176" s="109"/>
      <c r="R176" s="83"/>
      <c r="S176" s="109"/>
      <c r="T176" s="83"/>
      <c r="U176" s="109"/>
      <c r="V176" s="83"/>
      <c r="W176" s="109"/>
      <c r="X176" s="83"/>
      <c r="Z176" s="99">
        <f t="shared" si="220"/>
        <v>0</v>
      </c>
      <c r="AC176" s="120" t="s">
        <v>421</v>
      </c>
      <c r="AE176" s="154"/>
      <c r="AG176" s="296"/>
      <c r="AH176" s="108"/>
      <c r="AI176" s="83"/>
      <c r="AJ176" s="109"/>
      <c r="AK176" s="83"/>
      <c r="AL176" s="109"/>
      <c r="AM176" s="83"/>
      <c r="AN176" s="109"/>
      <c r="AO176" s="83"/>
      <c r="AP176" s="109"/>
      <c r="AQ176" s="83"/>
      <c r="AR176" s="109"/>
      <c r="AS176" s="83"/>
      <c r="AT176" s="109"/>
      <c r="AU176" s="83"/>
      <c r="AV176" s="109"/>
      <c r="AW176" s="83"/>
      <c r="AX176" s="109"/>
      <c r="AY176" s="83"/>
      <c r="BA176" s="99">
        <f t="shared" si="203"/>
        <v>0</v>
      </c>
      <c r="BB176" s="82"/>
      <c r="BC176" s="82"/>
      <c r="BD176" s="82"/>
    </row>
    <row r="177" spans="1:56" x14ac:dyDescent="0.2">
      <c r="A177" s="300"/>
      <c r="B177" s="300"/>
      <c r="C177" s="116">
        <f>+Linkin!L484+Linkin!L485</f>
        <v>81011.610166666665</v>
      </c>
      <c r="F177" s="120" t="s">
        <v>602</v>
      </c>
      <c r="G177" s="180"/>
      <c r="H177" s="181">
        <v>17</v>
      </c>
      <c r="I177" s="62"/>
      <c r="J177" s="232">
        <f t="shared" ref="J177:J234" si="249">+C177</f>
        <v>81011.610166666665</v>
      </c>
      <c r="K177" s="108"/>
      <c r="L177" s="115">
        <f t="shared" ref="L177:L197" si="250">(VLOOKUP($H177,Factors,L$381))*$J177</f>
        <v>41348.325829066664</v>
      </c>
      <c r="M177" s="230"/>
      <c r="N177" s="115">
        <f t="shared" ref="N177:N197" si="251">(VLOOKUP($H177,Factors,N$381))*$J177</f>
        <v>21176.434897566669</v>
      </c>
      <c r="O177" s="230"/>
      <c r="P177" s="115">
        <f t="shared" ref="P177:P197" si="252">(VLOOKUP($H177,Factors,P$381))*$J177</f>
        <v>3151.3516354833332</v>
      </c>
      <c r="Q177" s="230"/>
      <c r="R177" s="115">
        <f t="shared" ref="R177:R197" si="253">(VLOOKUP($H177,Factors,R$381))*$J177</f>
        <v>6302.7032709666664</v>
      </c>
      <c r="S177" s="230"/>
      <c r="T177" s="115">
        <f t="shared" ref="T177:T197" si="254">(VLOOKUP($H177,Factors,T$381))*$J177</f>
        <v>1660.7380084166666</v>
      </c>
      <c r="U177" s="230"/>
      <c r="V177" s="115">
        <f t="shared" ref="V177:V197" si="255">(VLOOKUP($H177,Factors,V$381))*$J177</f>
        <v>2446.5506270333335</v>
      </c>
      <c r="W177" s="230"/>
      <c r="X177" s="115">
        <f t="shared" ref="X177:X197" si="256">(VLOOKUP($H177,Factors,X$381))*$J177</f>
        <v>4925.5058981333332</v>
      </c>
      <c r="Y177" s="116"/>
      <c r="Z177" s="99">
        <f t="shared" si="220"/>
        <v>0</v>
      </c>
      <c r="AC177" s="120" t="s">
        <v>602</v>
      </c>
      <c r="AE177" s="154">
        <f t="shared" ref="AE177:AE234" si="257">+H177</f>
        <v>17</v>
      </c>
      <c r="AG177" s="231">
        <f t="shared" ref="AG177:AG234" si="258">+J177</f>
        <v>81011.610166666665</v>
      </c>
      <c r="AH177" s="108"/>
      <c r="AI177" s="115">
        <f t="shared" ref="AI177:AI197" si="259">(VLOOKUP($AE177,func,AI$381))*$AG177</f>
        <v>34486.642447949998</v>
      </c>
      <c r="AJ177" s="230"/>
      <c r="AK177" s="115">
        <f t="shared" ref="AK177:AK197" si="260">(VLOOKUP($AE177,func,AK$381))*$AG177</f>
        <v>21257.446507733333</v>
      </c>
      <c r="AL177" s="230"/>
      <c r="AM177" s="115">
        <f t="shared" ref="AM177:AM197" si="261">(VLOOKUP($AE177,func,AM$381))*$AG177</f>
        <v>8976.0864064666657</v>
      </c>
      <c r="AN177" s="230"/>
      <c r="AO177" s="115">
        <f t="shared" ref="AO177:AO197" si="262">(VLOOKUP($AE177,func,AO$381))*$AG177</f>
        <v>5192.8442116833339</v>
      </c>
      <c r="AP177" s="230"/>
      <c r="AQ177" s="115">
        <f t="shared" ref="AQ177:AQ197" si="263">(VLOOKUP($AE177,func,AQ$381))*$AG177</f>
        <v>1830.8623897666664</v>
      </c>
      <c r="AR177" s="230"/>
      <c r="AS177" s="115">
        <f t="shared" ref="AS177:AS197" si="264">(VLOOKUP($AE177,func,AS$381))*$AG177</f>
        <v>1563.5240762166668</v>
      </c>
      <c r="AT177" s="230"/>
      <c r="AU177" s="115">
        <f t="shared" ref="AU177:AU197" si="265">(VLOOKUP($AE177,func,AU$381))*$AG177</f>
        <v>421.26037286666661</v>
      </c>
      <c r="AV177" s="230"/>
      <c r="AW177" s="115">
        <f t="shared" ref="AW177:AW197" si="266">(VLOOKUP($AE177,func,AW$381))*$AG177</f>
        <v>2397.9436609333334</v>
      </c>
      <c r="AX177" s="230"/>
      <c r="AY177" s="115">
        <f t="shared" ref="AY177:AY197" si="267">(VLOOKUP($AE177,func,AY$381))*$AG177</f>
        <v>4885.00009305</v>
      </c>
      <c r="BA177" s="99">
        <f t="shared" si="203"/>
        <v>0</v>
      </c>
      <c r="BB177" s="82"/>
      <c r="BC177" s="82"/>
      <c r="BD177" s="82"/>
    </row>
    <row r="178" spans="1:56" x14ac:dyDescent="0.2">
      <c r="A178" s="300"/>
      <c r="B178" s="300"/>
      <c r="F178" s="120" t="s">
        <v>603</v>
      </c>
      <c r="G178" s="180"/>
      <c r="H178" s="181">
        <v>2</v>
      </c>
      <c r="I178" s="62"/>
      <c r="J178" s="232">
        <f t="shared" si="249"/>
        <v>0</v>
      </c>
      <c r="K178" s="108"/>
      <c r="L178" s="115">
        <f t="shared" si="250"/>
        <v>0</v>
      </c>
      <c r="M178" s="230"/>
      <c r="N178" s="115">
        <f t="shared" si="251"/>
        <v>0</v>
      </c>
      <c r="O178" s="230"/>
      <c r="P178" s="115">
        <f t="shared" si="252"/>
        <v>0</v>
      </c>
      <c r="Q178" s="230"/>
      <c r="R178" s="115">
        <f t="shared" si="253"/>
        <v>0</v>
      </c>
      <c r="S178" s="230"/>
      <c r="T178" s="115">
        <f t="shared" si="254"/>
        <v>0</v>
      </c>
      <c r="U178" s="230"/>
      <c r="V178" s="115">
        <f t="shared" si="255"/>
        <v>0</v>
      </c>
      <c r="W178" s="230"/>
      <c r="X178" s="115">
        <f t="shared" si="256"/>
        <v>0</v>
      </c>
      <c r="Y178" s="116"/>
      <c r="Z178" s="99">
        <f t="shared" ref="Z178:Z233" si="268">SUM(L178:X178)-J178</f>
        <v>0</v>
      </c>
      <c r="AC178" s="120" t="s">
        <v>603</v>
      </c>
      <c r="AE178" s="154">
        <f t="shared" si="257"/>
        <v>2</v>
      </c>
      <c r="AG178" s="231">
        <f t="shared" ref="AG178:AG197" si="269">+J178</f>
        <v>0</v>
      </c>
      <c r="AH178" s="108"/>
      <c r="AI178" s="115">
        <f t="shared" si="259"/>
        <v>0</v>
      </c>
      <c r="AJ178" s="230"/>
      <c r="AK178" s="115">
        <f t="shared" si="260"/>
        <v>0</v>
      </c>
      <c r="AL178" s="230"/>
      <c r="AM178" s="115">
        <f t="shared" si="261"/>
        <v>0</v>
      </c>
      <c r="AN178" s="230"/>
      <c r="AO178" s="115">
        <f t="shared" si="262"/>
        <v>0</v>
      </c>
      <c r="AP178" s="230"/>
      <c r="AQ178" s="115">
        <f t="shared" si="263"/>
        <v>0</v>
      </c>
      <c r="AR178" s="230"/>
      <c r="AS178" s="115">
        <f t="shared" si="264"/>
        <v>0</v>
      </c>
      <c r="AT178" s="230"/>
      <c r="AU178" s="115">
        <f t="shared" si="265"/>
        <v>0</v>
      </c>
      <c r="AV178" s="230"/>
      <c r="AW178" s="115">
        <f t="shared" si="266"/>
        <v>0</v>
      </c>
      <c r="AX178" s="230"/>
      <c r="AY178" s="115">
        <f t="shared" si="267"/>
        <v>0</v>
      </c>
      <c r="AZ178" s="481"/>
      <c r="BA178" s="99">
        <f t="shared" ref="BA178:BA197" si="270">SUM(AI178:AY178)-AG178</f>
        <v>0</v>
      </c>
      <c r="BB178" s="82"/>
      <c r="BC178" s="82"/>
      <c r="BD178" s="82"/>
    </row>
    <row r="179" spans="1:56" x14ac:dyDescent="0.2">
      <c r="A179" s="300"/>
      <c r="B179" s="300"/>
      <c r="C179" s="116">
        <f>+Linkin!L444</f>
        <v>474315.63267200056</v>
      </c>
      <c r="F179" s="120" t="s">
        <v>604</v>
      </c>
      <c r="G179" s="180"/>
      <c r="H179" s="181">
        <v>2</v>
      </c>
      <c r="I179" s="62"/>
      <c r="J179" s="232">
        <f t="shared" si="249"/>
        <v>474315.63267200056</v>
      </c>
      <c r="K179" s="108"/>
      <c r="L179" s="115">
        <f t="shared" si="250"/>
        <v>242802.17236479709</v>
      </c>
      <c r="M179" s="230"/>
      <c r="N179" s="115">
        <f t="shared" si="251"/>
        <v>145188.01516089938</v>
      </c>
      <c r="O179" s="230"/>
      <c r="P179" s="115">
        <f t="shared" si="252"/>
        <v>23288.897564195227</v>
      </c>
      <c r="Q179" s="230"/>
      <c r="R179" s="115">
        <f t="shared" si="253"/>
        <v>46198.342622252851</v>
      </c>
      <c r="S179" s="230"/>
      <c r="T179" s="115">
        <f t="shared" si="254"/>
        <v>15178.100245504018</v>
      </c>
      <c r="U179" s="230"/>
      <c r="V179" s="115">
        <f t="shared" si="255"/>
        <v>758.90501227520099</v>
      </c>
      <c r="W179" s="230"/>
      <c r="X179" s="115">
        <f t="shared" si="256"/>
        <v>901.19970207680103</v>
      </c>
      <c r="Y179" s="116"/>
      <c r="Z179" s="99">
        <f t="shared" si="268"/>
        <v>0</v>
      </c>
      <c r="AC179" s="120" t="s">
        <v>604</v>
      </c>
      <c r="AE179" s="154">
        <f t="shared" si="257"/>
        <v>2</v>
      </c>
      <c r="AG179" s="231">
        <f t="shared" si="269"/>
        <v>474315.63267200056</v>
      </c>
      <c r="AH179" s="108"/>
      <c r="AI179" s="115">
        <f t="shared" si="259"/>
        <v>269363.84779442911</v>
      </c>
      <c r="AJ179" s="230"/>
      <c r="AK179" s="115">
        <f t="shared" si="260"/>
        <v>203291.68016321943</v>
      </c>
      <c r="AL179" s="230"/>
      <c r="AM179" s="115">
        <f t="shared" si="261"/>
        <v>0</v>
      </c>
      <c r="AN179" s="230"/>
      <c r="AO179" s="115">
        <f t="shared" si="262"/>
        <v>0</v>
      </c>
      <c r="AP179" s="230"/>
      <c r="AQ179" s="115">
        <f t="shared" si="263"/>
        <v>0</v>
      </c>
      <c r="AR179" s="230"/>
      <c r="AS179" s="115">
        <f t="shared" si="264"/>
        <v>0</v>
      </c>
      <c r="AT179" s="230"/>
      <c r="AU179" s="115">
        <f t="shared" si="265"/>
        <v>0</v>
      </c>
      <c r="AV179" s="230"/>
      <c r="AW179" s="115">
        <f t="shared" si="266"/>
        <v>758.90501227520099</v>
      </c>
      <c r="AX179" s="230"/>
      <c r="AY179" s="115">
        <f t="shared" si="267"/>
        <v>901.19970207680103</v>
      </c>
      <c r="AZ179" s="481"/>
      <c r="BA179" s="99">
        <f t="shared" si="270"/>
        <v>0</v>
      </c>
      <c r="BB179" s="82"/>
      <c r="BC179" s="82"/>
      <c r="BD179" s="82"/>
    </row>
    <row r="180" spans="1:56" x14ac:dyDescent="0.2">
      <c r="A180" s="300"/>
      <c r="B180" s="300"/>
      <c r="C180" s="116">
        <f>+Linkin!L453</f>
        <v>13457.332169833342</v>
      </c>
      <c r="F180" s="120" t="s">
        <v>605</v>
      </c>
      <c r="G180" s="180"/>
      <c r="H180" s="181">
        <v>1</v>
      </c>
      <c r="I180" s="120"/>
      <c r="J180" s="232">
        <f t="shared" si="249"/>
        <v>13457.332169833342</v>
      </c>
      <c r="K180" s="108"/>
      <c r="L180" s="115">
        <f t="shared" si="250"/>
        <v>6608.8958286051538</v>
      </c>
      <c r="M180" s="230"/>
      <c r="N180" s="115">
        <f t="shared" si="251"/>
        <v>4138.1296422237529</v>
      </c>
      <c r="O180" s="230"/>
      <c r="P180" s="115">
        <f t="shared" si="252"/>
        <v>733.42460325591719</v>
      </c>
      <c r="Q180" s="230"/>
      <c r="R180" s="115">
        <f t="shared" si="253"/>
        <v>1417.0570774834509</v>
      </c>
      <c r="S180" s="230"/>
      <c r="T180" s="115">
        <f t="shared" si="254"/>
        <v>477.73529202908361</v>
      </c>
      <c r="U180" s="230"/>
      <c r="V180" s="115">
        <f t="shared" si="255"/>
        <v>37.680530075533355</v>
      </c>
      <c r="W180" s="230"/>
      <c r="X180" s="115">
        <f t="shared" si="256"/>
        <v>44.40919616045003</v>
      </c>
      <c r="Y180" s="116"/>
      <c r="Z180" s="99">
        <f t="shared" si="268"/>
        <v>0</v>
      </c>
      <c r="AC180" s="120" t="s">
        <v>605</v>
      </c>
      <c r="AE180" s="154">
        <f t="shared" si="257"/>
        <v>1</v>
      </c>
      <c r="AG180" s="231">
        <f t="shared" si="269"/>
        <v>13457.332169833342</v>
      </c>
      <c r="AH180" s="108"/>
      <c r="AI180" s="115">
        <f t="shared" si="259"/>
        <v>13375.242443597359</v>
      </c>
      <c r="AJ180" s="230"/>
      <c r="AK180" s="115">
        <f t="shared" si="260"/>
        <v>0</v>
      </c>
      <c r="AL180" s="230"/>
      <c r="AM180" s="115">
        <f t="shared" si="261"/>
        <v>0</v>
      </c>
      <c r="AN180" s="230"/>
      <c r="AO180" s="115">
        <f t="shared" si="262"/>
        <v>0</v>
      </c>
      <c r="AP180" s="230"/>
      <c r="AQ180" s="115">
        <f t="shared" si="263"/>
        <v>0</v>
      </c>
      <c r="AR180" s="230"/>
      <c r="AS180" s="115">
        <f t="shared" si="264"/>
        <v>0</v>
      </c>
      <c r="AT180" s="230"/>
      <c r="AU180" s="115">
        <f t="shared" si="265"/>
        <v>0</v>
      </c>
      <c r="AV180" s="230"/>
      <c r="AW180" s="115">
        <f t="shared" si="266"/>
        <v>37.680530075533355</v>
      </c>
      <c r="AX180" s="230"/>
      <c r="AY180" s="115">
        <f t="shared" si="267"/>
        <v>44.40919616045003</v>
      </c>
      <c r="AZ180" s="481"/>
      <c r="BA180" s="99">
        <f t="shared" si="270"/>
        <v>0</v>
      </c>
      <c r="BB180" s="82"/>
      <c r="BC180" s="82"/>
      <c r="BD180" s="82"/>
    </row>
    <row r="181" spans="1:56" x14ac:dyDescent="0.2">
      <c r="A181" s="300"/>
      <c r="B181" s="300"/>
      <c r="C181" s="116">
        <f>+Linkin!L454</f>
        <v>39906.044451000002</v>
      </c>
      <c r="F181" s="120" t="s">
        <v>606</v>
      </c>
      <c r="G181" s="180"/>
      <c r="H181" s="181">
        <v>2</v>
      </c>
      <c r="I181" s="62"/>
      <c r="J181" s="232">
        <f t="shared" si="249"/>
        <v>39906.044451000002</v>
      </c>
      <c r="K181" s="108"/>
      <c r="L181" s="115">
        <f t="shared" si="250"/>
        <v>20427.904154466902</v>
      </c>
      <c r="M181" s="230"/>
      <c r="N181" s="115">
        <f t="shared" si="251"/>
        <v>12215.240206451101</v>
      </c>
      <c r="O181" s="230"/>
      <c r="P181" s="115">
        <f t="shared" si="252"/>
        <v>1959.3867825441</v>
      </c>
      <c r="Q181" s="230"/>
      <c r="R181" s="115">
        <f t="shared" si="253"/>
        <v>3886.8487295273994</v>
      </c>
      <c r="S181" s="230"/>
      <c r="T181" s="115">
        <f t="shared" si="254"/>
        <v>1276.993422432</v>
      </c>
      <c r="U181" s="230"/>
      <c r="V181" s="115">
        <f t="shared" si="255"/>
        <v>63.849671121600004</v>
      </c>
      <c r="W181" s="230"/>
      <c r="X181" s="115">
        <f t="shared" si="256"/>
        <v>75.821484456900009</v>
      </c>
      <c r="Y181" s="116"/>
      <c r="Z181" s="99">
        <f t="shared" si="268"/>
        <v>0</v>
      </c>
      <c r="AC181" s="120" t="s">
        <v>606</v>
      </c>
      <c r="AE181" s="154">
        <f t="shared" si="257"/>
        <v>2</v>
      </c>
      <c r="AG181" s="231">
        <f t="shared" si="269"/>
        <v>39906.044451000002</v>
      </c>
      <c r="AH181" s="108"/>
      <c r="AI181" s="115">
        <f t="shared" si="259"/>
        <v>22662.642643722898</v>
      </c>
      <c r="AJ181" s="230"/>
      <c r="AK181" s="115">
        <f t="shared" si="260"/>
        <v>17103.730651698599</v>
      </c>
      <c r="AL181" s="230"/>
      <c r="AM181" s="115">
        <f t="shared" si="261"/>
        <v>0</v>
      </c>
      <c r="AN181" s="230"/>
      <c r="AO181" s="115">
        <f t="shared" si="262"/>
        <v>0</v>
      </c>
      <c r="AP181" s="230"/>
      <c r="AQ181" s="115">
        <f t="shared" si="263"/>
        <v>0</v>
      </c>
      <c r="AR181" s="230"/>
      <c r="AS181" s="115">
        <f t="shared" si="264"/>
        <v>0</v>
      </c>
      <c r="AT181" s="230"/>
      <c r="AU181" s="115">
        <f t="shared" si="265"/>
        <v>0</v>
      </c>
      <c r="AV181" s="230"/>
      <c r="AW181" s="115">
        <f t="shared" si="266"/>
        <v>63.849671121600004</v>
      </c>
      <c r="AX181" s="230"/>
      <c r="AY181" s="115">
        <f t="shared" si="267"/>
        <v>75.821484456900009</v>
      </c>
      <c r="AZ181" s="481"/>
      <c r="BA181" s="99">
        <f t="shared" si="270"/>
        <v>0</v>
      </c>
      <c r="BB181" s="82"/>
      <c r="BC181" s="82"/>
      <c r="BD181" s="82"/>
    </row>
    <row r="182" spans="1:56" s="466" customFormat="1" x14ac:dyDescent="0.2">
      <c r="A182" s="300"/>
      <c r="B182" s="300"/>
      <c r="C182" s="116">
        <f>+Linkin!L461</f>
        <v>-504.82182887499999</v>
      </c>
      <c r="D182" s="412"/>
      <c r="E182" s="116"/>
      <c r="F182" s="120" t="s">
        <v>875</v>
      </c>
      <c r="G182" s="180"/>
      <c r="H182" s="181">
        <v>2</v>
      </c>
      <c r="I182" s="62"/>
      <c r="J182" s="232">
        <f t="shared" si="249"/>
        <v>-504.82182887499999</v>
      </c>
      <c r="K182" s="108"/>
      <c r="L182" s="115">
        <f t="shared" si="250"/>
        <v>-258.41829420111253</v>
      </c>
      <c r="M182" s="230"/>
      <c r="N182" s="115">
        <f t="shared" si="251"/>
        <v>-154.52596181863748</v>
      </c>
      <c r="O182" s="230"/>
      <c r="P182" s="115">
        <f t="shared" si="252"/>
        <v>-24.786751797762498</v>
      </c>
      <c r="Q182" s="230"/>
      <c r="R182" s="115">
        <f t="shared" si="253"/>
        <v>-49.169646132424994</v>
      </c>
      <c r="S182" s="230"/>
      <c r="T182" s="115">
        <f t="shared" si="254"/>
        <v>-16.154298524000001</v>
      </c>
      <c r="U182" s="230"/>
      <c r="V182" s="115">
        <f t="shared" si="255"/>
        <v>-0.80771492620000007</v>
      </c>
      <c r="W182" s="230"/>
      <c r="X182" s="115">
        <f t="shared" si="256"/>
        <v>-0.95916147486250003</v>
      </c>
      <c r="Y182" s="116"/>
      <c r="Z182" s="99">
        <f t="shared" si="268"/>
        <v>0</v>
      </c>
      <c r="AC182" s="479" t="s">
        <v>875</v>
      </c>
      <c r="AE182" s="154">
        <f t="shared" si="257"/>
        <v>2</v>
      </c>
      <c r="AG182" s="231">
        <f t="shared" si="269"/>
        <v>-504.82182887499999</v>
      </c>
      <c r="AH182" s="108"/>
      <c r="AI182" s="115">
        <f t="shared" si="259"/>
        <v>-286.68831661811248</v>
      </c>
      <c r="AJ182" s="230"/>
      <c r="AK182" s="115">
        <f t="shared" si="260"/>
        <v>-216.366635855825</v>
      </c>
      <c r="AL182" s="230"/>
      <c r="AM182" s="115">
        <f t="shared" si="261"/>
        <v>0</v>
      </c>
      <c r="AN182" s="230"/>
      <c r="AO182" s="115">
        <f t="shared" si="262"/>
        <v>0</v>
      </c>
      <c r="AP182" s="230"/>
      <c r="AQ182" s="115">
        <f t="shared" si="263"/>
        <v>0</v>
      </c>
      <c r="AR182" s="230"/>
      <c r="AS182" s="115">
        <f t="shared" si="264"/>
        <v>0</v>
      </c>
      <c r="AT182" s="230"/>
      <c r="AU182" s="115">
        <f t="shared" si="265"/>
        <v>0</v>
      </c>
      <c r="AV182" s="230"/>
      <c r="AW182" s="115">
        <f t="shared" si="266"/>
        <v>-0.80771492620000007</v>
      </c>
      <c r="AX182" s="230"/>
      <c r="AY182" s="115">
        <f t="shared" si="267"/>
        <v>-0.95916147486250003</v>
      </c>
      <c r="AZ182" s="481"/>
      <c r="BA182" s="99">
        <f t="shared" si="270"/>
        <v>0</v>
      </c>
      <c r="BB182" s="82"/>
      <c r="BC182" s="82"/>
      <c r="BD182" s="82"/>
    </row>
    <row r="183" spans="1:56" x14ac:dyDescent="0.2">
      <c r="A183" s="300"/>
      <c r="B183" s="300"/>
      <c r="C183" s="116">
        <f>+Linkin!L462</f>
        <v>0</v>
      </c>
      <c r="F183" s="120" t="s">
        <v>607</v>
      </c>
      <c r="G183" s="180"/>
      <c r="H183" s="181">
        <v>2</v>
      </c>
      <c r="I183" s="62"/>
      <c r="J183" s="232">
        <f t="shared" si="249"/>
        <v>0</v>
      </c>
      <c r="K183" s="108"/>
      <c r="L183" s="115">
        <f t="shared" si="250"/>
        <v>0</v>
      </c>
      <c r="M183" s="230"/>
      <c r="N183" s="115">
        <f t="shared" si="251"/>
        <v>0</v>
      </c>
      <c r="O183" s="230"/>
      <c r="P183" s="115">
        <f t="shared" si="252"/>
        <v>0</v>
      </c>
      <c r="Q183" s="230"/>
      <c r="R183" s="115">
        <f t="shared" si="253"/>
        <v>0</v>
      </c>
      <c r="S183" s="230"/>
      <c r="T183" s="115">
        <f t="shared" si="254"/>
        <v>0</v>
      </c>
      <c r="U183" s="230"/>
      <c r="V183" s="115">
        <f t="shared" si="255"/>
        <v>0</v>
      </c>
      <c r="W183" s="230"/>
      <c r="X183" s="115">
        <f t="shared" si="256"/>
        <v>0</v>
      </c>
      <c r="Y183" s="116"/>
      <c r="Z183" s="99">
        <f t="shared" si="268"/>
        <v>0</v>
      </c>
      <c r="AC183" s="120" t="s">
        <v>607</v>
      </c>
      <c r="AE183" s="154">
        <f t="shared" si="257"/>
        <v>2</v>
      </c>
      <c r="AG183" s="231">
        <f t="shared" si="269"/>
        <v>0</v>
      </c>
      <c r="AH183" s="108"/>
      <c r="AI183" s="115">
        <f t="shared" si="259"/>
        <v>0</v>
      </c>
      <c r="AJ183" s="230"/>
      <c r="AK183" s="115">
        <f t="shared" si="260"/>
        <v>0</v>
      </c>
      <c r="AL183" s="230"/>
      <c r="AM183" s="115">
        <f t="shared" si="261"/>
        <v>0</v>
      </c>
      <c r="AN183" s="230"/>
      <c r="AO183" s="115">
        <f t="shared" si="262"/>
        <v>0</v>
      </c>
      <c r="AP183" s="230"/>
      <c r="AQ183" s="115">
        <f t="shared" si="263"/>
        <v>0</v>
      </c>
      <c r="AR183" s="230"/>
      <c r="AS183" s="115">
        <f t="shared" si="264"/>
        <v>0</v>
      </c>
      <c r="AT183" s="230"/>
      <c r="AU183" s="115">
        <f t="shared" si="265"/>
        <v>0</v>
      </c>
      <c r="AV183" s="230"/>
      <c r="AW183" s="115">
        <f t="shared" si="266"/>
        <v>0</v>
      </c>
      <c r="AX183" s="230"/>
      <c r="AY183" s="115">
        <f t="shared" si="267"/>
        <v>0</v>
      </c>
      <c r="AZ183" s="481"/>
      <c r="BA183" s="99">
        <f t="shared" si="270"/>
        <v>0</v>
      </c>
      <c r="BB183" s="82"/>
      <c r="BC183" s="82"/>
      <c r="BD183" s="82"/>
    </row>
    <row r="184" spans="1:56" x14ac:dyDescent="0.2">
      <c r="A184" s="300"/>
      <c r="B184" s="300"/>
      <c r="C184" s="116">
        <f>+Linkin!L455</f>
        <v>284139.33268312528</v>
      </c>
      <c r="F184" s="120" t="s">
        <v>608</v>
      </c>
      <c r="G184" s="180"/>
      <c r="H184" s="181">
        <v>2</v>
      </c>
      <c r="I184" s="62"/>
      <c r="J184" s="232">
        <f t="shared" si="249"/>
        <v>284139.33268312528</v>
      </c>
      <c r="K184" s="108"/>
      <c r="L184" s="115">
        <f t="shared" si="250"/>
        <v>145450.92440049184</v>
      </c>
      <c r="M184" s="230"/>
      <c r="N184" s="115">
        <f t="shared" si="251"/>
        <v>86975.049734304645</v>
      </c>
      <c r="O184" s="230"/>
      <c r="P184" s="115">
        <f t="shared" si="252"/>
        <v>13951.24123474145</v>
      </c>
      <c r="Q184" s="230"/>
      <c r="R184" s="115">
        <f t="shared" si="253"/>
        <v>27675.1710033364</v>
      </c>
      <c r="S184" s="230"/>
      <c r="T184" s="115">
        <f t="shared" si="254"/>
        <v>9092.4586458600097</v>
      </c>
      <c r="U184" s="230"/>
      <c r="V184" s="115">
        <f t="shared" si="255"/>
        <v>454.62293229300047</v>
      </c>
      <c r="W184" s="230"/>
      <c r="X184" s="115">
        <f t="shared" si="256"/>
        <v>539.86473209793803</v>
      </c>
      <c r="Y184" s="116"/>
      <c r="Z184" s="99">
        <f t="shared" si="268"/>
        <v>0</v>
      </c>
      <c r="AC184" s="120" t="s">
        <v>608</v>
      </c>
      <c r="AE184" s="154">
        <f t="shared" si="257"/>
        <v>2</v>
      </c>
      <c r="AG184" s="231">
        <f t="shared" si="269"/>
        <v>284139.33268312528</v>
      </c>
      <c r="AH184" s="108"/>
      <c r="AI184" s="115">
        <f t="shared" si="259"/>
        <v>161362.72703074684</v>
      </c>
      <c r="AJ184" s="230"/>
      <c r="AK184" s="115">
        <f t="shared" si="260"/>
        <v>121782.11798798748</v>
      </c>
      <c r="AL184" s="230"/>
      <c r="AM184" s="115">
        <f t="shared" si="261"/>
        <v>0</v>
      </c>
      <c r="AN184" s="230"/>
      <c r="AO184" s="115">
        <f t="shared" si="262"/>
        <v>0</v>
      </c>
      <c r="AP184" s="230"/>
      <c r="AQ184" s="115">
        <f t="shared" si="263"/>
        <v>0</v>
      </c>
      <c r="AR184" s="230"/>
      <c r="AS184" s="115">
        <f t="shared" si="264"/>
        <v>0</v>
      </c>
      <c r="AT184" s="230"/>
      <c r="AU184" s="115">
        <f t="shared" si="265"/>
        <v>0</v>
      </c>
      <c r="AV184" s="230"/>
      <c r="AW184" s="115">
        <f t="shared" si="266"/>
        <v>454.62293229300047</v>
      </c>
      <c r="AX184" s="230"/>
      <c r="AY184" s="115">
        <f t="shared" si="267"/>
        <v>539.86473209793803</v>
      </c>
      <c r="AZ184" s="481"/>
      <c r="BA184" s="99">
        <f t="shared" si="270"/>
        <v>0</v>
      </c>
      <c r="BB184" s="82"/>
      <c r="BC184" s="82"/>
      <c r="BD184" s="82"/>
    </row>
    <row r="185" spans="1:56" x14ac:dyDescent="0.2">
      <c r="A185" s="300"/>
      <c r="B185" s="300"/>
      <c r="C185" s="116">
        <f>+Linkin!L445</f>
        <v>250065.91869866697</v>
      </c>
      <c r="F185" s="120" t="s">
        <v>609</v>
      </c>
      <c r="G185" s="180"/>
      <c r="H185" s="181">
        <v>6</v>
      </c>
      <c r="I185" s="62"/>
      <c r="J185" s="232">
        <f t="shared" si="249"/>
        <v>250065.91869866697</v>
      </c>
      <c r="K185" s="108"/>
      <c r="L185" s="115">
        <f t="shared" si="250"/>
        <v>121932.14195747003</v>
      </c>
      <c r="M185" s="230"/>
      <c r="N185" s="115">
        <f t="shared" si="251"/>
        <v>73144.281219360084</v>
      </c>
      <c r="O185" s="230"/>
      <c r="P185" s="115">
        <f t="shared" si="252"/>
        <v>11302.979525179746</v>
      </c>
      <c r="Q185" s="230"/>
      <c r="R185" s="115">
        <f t="shared" si="253"/>
        <v>22230.860172311495</v>
      </c>
      <c r="S185" s="230"/>
      <c r="T185" s="115">
        <f t="shared" si="254"/>
        <v>5676.4963544597395</v>
      </c>
      <c r="U185" s="230"/>
      <c r="V185" s="115">
        <f t="shared" si="255"/>
        <v>7301.9248260010745</v>
      </c>
      <c r="W185" s="230"/>
      <c r="X185" s="115">
        <f t="shared" si="256"/>
        <v>8477.2346438848108</v>
      </c>
      <c r="Y185" s="116"/>
      <c r="Z185" s="99">
        <f t="shared" si="268"/>
        <v>0</v>
      </c>
      <c r="AC185" s="120" t="s">
        <v>609</v>
      </c>
      <c r="AE185" s="154">
        <f t="shared" si="257"/>
        <v>6</v>
      </c>
      <c r="AG185" s="231">
        <f t="shared" si="269"/>
        <v>250065.91869866697</v>
      </c>
      <c r="AH185" s="108"/>
      <c r="AI185" s="115">
        <f t="shared" si="259"/>
        <v>123741.5189188061</v>
      </c>
      <c r="AJ185" s="230"/>
      <c r="AK185" s="115">
        <f t="shared" si="260"/>
        <v>76220.092019353702</v>
      </c>
      <c r="AL185" s="230"/>
      <c r="AM185" s="115">
        <f t="shared" si="261"/>
        <v>34317.166186496441</v>
      </c>
      <c r="AN185" s="230"/>
      <c r="AO185" s="115">
        <f t="shared" si="262"/>
        <v>0</v>
      </c>
      <c r="AP185" s="230"/>
      <c r="AQ185" s="115">
        <f t="shared" si="263"/>
        <v>0</v>
      </c>
      <c r="AR185" s="230"/>
      <c r="AS185" s="115">
        <f t="shared" si="264"/>
        <v>0</v>
      </c>
      <c r="AT185" s="230"/>
      <c r="AU185" s="115">
        <f t="shared" si="265"/>
        <v>0</v>
      </c>
      <c r="AV185" s="230"/>
      <c r="AW185" s="115">
        <f t="shared" si="266"/>
        <v>7298.6239558742527</v>
      </c>
      <c r="AX185" s="230"/>
      <c r="AY185" s="115">
        <f t="shared" si="267"/>
        <v>8488.517618136495</v>
      </c>
      <c r="AZ185" s="481"/>
      <c r="BA185" s="99">
        <f t="shared" si="270"/>
        <v>0</v>
      </c>
      <c r="BB185" s="82"/>
      <c r="BC185" s="82"/>
      <c r="BD185" s="82"/>
    </row>
    <row r="186" spans="1:56" x14ac:dyDescent="0.2">
      <c r="A186" s="222"/>
      <c r="B186" s="223"/>
      <c r="C186" s="116">
        <f>+Linkin!L456</f>
        <v>100392.49720500005</v>
      </c>
      <c r="F186" s="120" t="s">
        <v>873</v>
      </c>
      <c r="G186" s="180"/>
      <c r="H186" s="181">
        <v>6</v>
      </c>
      <c r="I186" s="62"/>
      <c r="J186" s="232">
        <f t="shared" si="249"/>
        <v>100392.49720500005</v>
      </c>
      <c r="K186" s="108"/>
      <c r="L186" s="115">
        <f t="shared" si="250"/>
        <v>48951.381637158025</v>
      </c>
      <c r="M186" s="230"/>
      <c r="N186" s="115">
        <f t="shared" si="251"/>
        <v>29364.805432462512</v>
      </c>
      <c r="O186" s="230"/>
      <c r="P186" s="115">
        <f t="shared" si="252"/>
        <v>4537.7408736660018</v>
      </c>
      <c r="Q186" s="230"/>
      <c r="R186" s="115">
        <f t="shared" si="253"/>
        <v>8924.893001524506</v>
      </c>
      <c r="S186" s="230"/>
      <c r="T186" s="115">
        <f t="shared" si="254"/>
        <v>2278.9096865535012</v>
      </c>
      <c r="U186" s="230"/>
      <c r="V186" s="115">
        <f t="shared" si="255"/>
        <v>2931.4609183860011</v>
      </c>
      <c r="W186" s="230"/>
      <c r="X186" s="115">
        <f t="shared" si="256"/>
        <v>3403.3056552495018</v>
      </c>
      <c r="Y186" s="116"/>
      <c r="Z186" s="99">
        <f t="shared" si="268"/>
        <v>0</v>
      </c>
      <c r="AC186" s="120" t="s">
        <v>873</v>
      </c>
      <c r="AE186" s="154">
        <f t="shared" si="257"/>
        <v>6</v>
      </c>
      <c r="AG186" s="231">
        <f t="shared" si="269"/>
        <v>100392.49720500005</v>
      </c>
      <c r="AH186" s="108"/>
      <c r="AI186" s="115">
        <f t="shared" si="259"/>
        <v>49677.78158993453</v>
      </c>
      <c r="AJ186" s="230"/>
      <c r="AK186" s="115">
        <f t="shared" si="260"/>
        <v>30599.633148084016</v>
      </c>
      <c r="AL186" s="230"/>
      <c r="AM186" s="115">
        <f t="shared" si="261"/>
        <v>13777.111364835224</v>
      </c>
      <c r="AN186" s="230"/>
      <c r="AO186" s="115">
        <f t="shared" si="262"/>
        <v>0</v>
      </c>
      <c r="AP186" s="230"/>
      <c r="AQ186" s="115">
        <f t="shared" si="263"/>
        <v>0</v>
      </c>
      <c r="AR186" s="230"/>
      <c r="AS186" s="115">
        <f t="shared" si="264"/>
        <v>0</v>
      </c>
      <c r="AT186" s="230"/>
      <c r="AU186" s="115">
        <f t="shared" si="265"/>
        <v>0</v>
      </c>
      <c r="AV186" s="230"/>
      <c r="AW186" s="115">
        <f t="shared" si="266"/>
        <v>2930.1357374228955</v>
      </c>
      <c r="AX186" s="230"/>
      <c r="AY186" s="115">
        <f t="shared" si="267"/>
        <v>3407.8353647233916</v>
      </c>
      <c r="AZ186" s="481"/>
      <c r="BA186" s="99">
        <f t="shared" si="270"/>
        <v>0</v>
      </c>
      <c r="BB186" s="82"/>
      <c r="BC186" s="82"/>
      <c r="BD186" s="82"/>
    </row>
    <row r="187" spans="1:56" x14ac:dyDescent="0.2">
      <c r="A187" s="300"/>
      <c r="B187" s="300"/>
      <c r="C187" s="116">
        <f>+Linkin!L457</f>
        <v>390227.90073150001</v>
      </c>
      <c r="F187" s="120" t="s">
        <v>610</v>
      </c>
      <c r="G187" s="180"/>
      <c r="H187" s="181">
        <v>6</v>
      </c>
      <c r="I187" s="62"/>
      <c r="J187" s="232">
        <f t="shared" si="249"/>
        <v>390227.90073150001</v>
      </c>
      <c r="K187" s="108"/>
      <c r="L187" s="115">
        <f t="shared" si="250"/>
        <v>190275.12439667943</v>
      </c>
      <c r="M187" s="230"/>
      <c r="N187" s="115">
        <f t="shared" si="251"/>
        <v>114141.66096396375</v>
      </c>
      <c r="O187" s="230"/>
      <c r="P187" s="115">
        <f t="shared" si="252"/>
        <v>17638.301113063801</v>
      </c>
      <c r="Q187" s="230"/>
      <c r="R187" s="115">
        <f t="shared" si="253"/>
        <v>34691.260375030353</v>
      </c>
      <c r="S187" s="230"/>
      <c r="T187" s="115">
        <f t="shared" si="254"/>
        <v>8858.17334660505</v>
      </c>
      <c r="U187" s="230"/>
      <c r="V187" s="115">
        <f t="shared" si="255"/>
        <v>11394.654701359799</v>
      </c>
      <c r="W187" s="230"/>
      <c r="X187" s="115">
        <f t="shared" si="256"/>
        <v>13228.72583479785</v>
      </c>
      <c r="Y187" s="116"/>
      <c r="Z187" s="99">
        <f t="shared" si="268"/>
        <v>0</v>
      </c>
      <c r="AC187" s="120" t="s">
        <v>610</v>
      </c>
      <c r="AE187" s="154">
        <f t="shared" si="257"/>
        <v>6</v>
      </c>
      <c r="AG187" s="231">
        <f t="shared" si="269"/>
        <v>390227.90073150001</v>
      </c>
      <c r="AH187" s="108"/>
      <c r="AI187" s="115">
        <f t="shared" si="259"/>
        <v>193098.65739521227</v>
      </c>
      <c r="AJ187" s="230"/>
      <c r="AK187" s="115">
        <f t="shared" si="260"/>
        <v>118941.46414296121</v>
      </c>
      <c r="AL187" s="230"/>
      <c r="AM187" s="115">
        <f t="shared" si="261"/>
        <v>53551.942582577554</v>
      </c>
      <c r="AN187" s="230"/>
      <c r="AO187" s="115">
        <f t="shared" si="262"/>
        <v>0</v>
      </c>
      <c r="AP187" s="230"/>
      <c r="AQ187" s="115">
        <f t="shared" si="263"/>
        <v>0</v>
      </c>
      <c r="AR187" s="230"/>
      <c r="AS187" s="115">
        <f t="shared" si="264"/>
        <v>0</v>
      </c>
      <c r="AT187" s="230"/>
      <c r="AU187" s="115">
        <f t="shared" si="265"/>
        <v>0</v>
      </c>
      <c r="AV187" s="230"/>
      <c r="AW187" s="115">
        <f t="shared" si="266"/>
        <v>11389.503693070144</v>
      </c>
      <c r="AX187" s="230"/>
      <c r="AY187" s="115">
        <f t="shared" si="267"/>
        <v>13246.332917678856</v>
      </c>
      <c r="AZ187" s="481"/>
      <c r="BA187" s="99">
        <f t="shared" si="270"/>
        <v>0</v>
      </c>
      <c r="BB187" s="82"/>
      <c r="BC187" s="82"/>
      <c r="BD187" s="82"/>
    </row>
    <row r="188" spans="1:56" x14ac:dyDescent="0.2">
      <c r="A188" s="300"/>
      <c r="B188" s="300"/>
      <c r="C188" s="116">
        <f>+Linkin!L458</f>
        <v>480996.3279052499</v>
      </c>
      <c r="F188" s="120" t="s">
        <v>611</v>
      </c>
      <c r="G188" s="180"/>
      <c r="H188" s="181">
        <v>6</v>
      </c>
      <c r="I188" s="62"/>
      <c r="J188" s="232">
        <f t="shared" si="249"/>
        <v>480996.3279052499</v>
      </c>
      <c r="K188" s="108"/>
      <c r="L188" s="115">
        <f t="shared" si="250"/>
        <v>234533.80948659987</v>
      </c>
      <c r="M188" s="230"/>
      <c r="N188" s="115">
        <f t="shared" si="251"/>
        <v>140691.42591228557</v>
      </c>
      <c r="O188" s="230"/>
      <c r="P188" s="115">
        <f t="shared" si="252"/>
        <v>21741.034021317293</v>
      </c>
      <c r="Q188" s="230"/>
      <c r="R188" s="115">
        <f t="shared" si="253"/>
        <v>42760.573550776717</v>
      </c>
      <c r="S188" s="230"/>
      <c r="T188" s="115">
        <f t="shared" si="254"/>
        <v>10918.616643449172</v>
      </c>
      <c r="U188" s="230"/>
      <c r="V188" s="115">
        <f t="shared" si="255"/>
        <v>14045.092774833296</v>
      </c>
      <c r="W188" s="230"/>
      <c r="X188" s="115">
        <f t="shared" si="256"/>
        <v>16305.775515987971</v>
      </c>
      <c r="Y188" s="116"/>
      <c r="Z188" s="99">
        <f t="shared" si="268"/>
        <v>0</v>
      </c>
      <c r="AC188" s="120" t="s">
        <v>611</v>
      </c>
      <c r="AE188" s="154">
        <f t="shared" si="257"/>
        <v>6</v>
      </c>
      <c r="AG188" s="231">
        <f t="shared" si="269"/>
        <v>480996.3279052499</v>
      </c>
      <c r="AH188" s="108"/>
      <c r="AI188" s="115">
        <f t="shared" si="259"/>
        <v>238014.1065167911</v>
      </c>
      <c r="AJ188" s="230"/>
      <c r="AK188" s="115">
        <f t="shared" si="260"/>
        <v>146607.68074552016</v>
      </c>
      <c r="AL188" s="230"/>
      <c r="AM188" s="115">
        <f t="shared" si="261"/>
        <v>66008.318949330642</v>
      </c>
      <c r="AN188" s="230"/>
      <c r="AO188" s="115">
        <f t="shared" si="262"/>
        <v>0</v>
      </c>
      <c r="AP188" s="230"/>
      <c r="AQ188" s="115">
        <f t="shared" si="263"/>
        <v>0</v>
      </c>
      <c r="AR188" s="230"/>
      <c r="AS188" s="115">
        <f t="shared" si="264"/>
        <v>0</v>
      </c>
      <c r="AT188" s="230"/>
      <c r="AU188" s="115">
        <f t="shared" si="265"/>
        <v>0</v>
      </c>
      <c r="AV188" s="230"/>
      <c r="AW188" s="115">
        <f t="shared" si="266"/>
        <v>14038.743623304947</v>
      </c>
      <c r="AX188" s="230"/>
      <c r="AY188" s="115">
        <f t="shared" si="267"/>
        <v>16327.478070303057</v>
      </c>
      <c r="AZ188" s="481"/>
      <c r="BA188" s="99">
        <f t="shared" si="270"/>
        <v>0</v>
      </c>
      <c r="BB188" s="82"/>
      <c r="BC188" s="82"/>
      <c r="BD188" s="82"/>
    </row>
    <row r="189" spans="1:56" x14ac:dyDescent="0.2">
      <c r="A189" s="300"/>
      <c r="B189" s="300"/>
      <c r="C189" s="116">
        <f>+Linkin!L459</f>
        <v>13978.838493250012</v>
      </c>
      <c r="F189" s="120" t="s">
        <v>612</v>
      </c>
      <c r="G189" s="180"/>
      <c r="H189" s="181">
        <v>6</v>
      </c>
      <c r="I189" s="62"/>
      <c r="J189" s="232">
        <f t="shared" si="249"/>
        <v>13978.838493250012</v>
      </c>
      <c r="K189" s="108"/>
      <c r="L189" s="115">
        <f t="shared" si="250"/>
        <v>6816.0816493087068</v>
      </c>
      <c r="M189" s="230"/>
      <c r="N189" s="115">
        <f t="shared" si="251"/>
        <v>4088.8102592756281</v>
      </c>
      <c r="O189" s="230"/>
      <c r="P189" s="115">
        <f t="shared" si="252"/>
        <v>631.84349989490056</v>
      </c>
      <c r="Q189" s="230"/>
      <c r="R189" s="115">
        <f t="shared" si="253"/>
        <v>1242.7187420499263</v>
      </c>
      <c r="S189" s="230"/>
      <c r="T189" s="115">
        <f t="shared" si="254"/>
        <v>317.31963379677524</v>
      </c>
      <c r="U189" s="230"/>
      <c r="V189" s="115">
        <f t="shared" si="255"/>
        <v>408.1820840029003</v>
      </c>
      <c r="W189" s="230"/>
      <c r="X189" s="115">
        <f t="shared" si="256"/>
        <v>473.88262492117542</v>
      </c>
      <c r="Y189" s="116"/>
      <c r="Z189" s="99">
        <f t="shared" si="268"/>
        <v>0</v>
      </c>
      <c r="AC189" s="120" t="s">
        <v>612</v>
      </c>
      <c r="AE189" s="154">
        <f t="shared" si="257"/>
        <v>6</v>
      </c>
      <c r="AG189" s="231">
        <f t="shared" si="269"/>
        <v>13978.838493250012</v>
      </c>
      <c r="AH189" s="108"/>
      <c r="AI189" s="115">
        <f t="shared" si="259"/>
        <v>6917.2269331104662</v>
      </c>
      <c r="AJ189" s="230"/>
      <c r="AK189" s="115">
        <f t="shared" si="260"/>
        <v>4260.7499727426039</v>
      </c>
      <c r="AL189" s="230"/>
      <c r="AM189" s="115">
        <f t="shared" si="261"/>
        <v>1918.3506739481622</v>
      </c>
      <c r="AN189" s="230"/>
      <c r="AO189" s="115">
        <f t="shared" si="262"/>
        <v>0</v>
      </c>
      <c r="AP189" s="230"/>
      <c r="AQ189" s="115">
        <f t="shared" si="263"/>
        <v>0</v>
      </c>
      <c r="AR189" s="230"/>
      <c r="AS189" s="115">
        <f t="shared" si="264"/>
        <v>0</v>
      </c>
      <c r="AT189" s="230"/>
      <c r="AU189" s="115">
        <f t="shared" si="265"/>
        <v>0</v>
      </c>
      <c r="AV189" s="230"/>
      <c r="AW189" s="115">
        <f t="shared" si="266"/>
        <v>407.99756333478945</v>
      </c>
      <c r="AX189" s="230"/>
      <c r="AY189" s="115">
        <f t="shared" si="267"/>
        <v>474.5133501139909</v>
      </c>
      <c r="AZ189" s="481"/>
      <c r="BA189" s="99">
        <f t="shared" si="270"/>
        <v>0</v>
      </c>
      <c r="BB189" s="82"/>
      <c r="BC189" s="82"/>
      <c r="BD189" s="82"/>
    </row>
    <row r="190" spans="1:56" s="466" customFormat="1" x14ac:dyDescent="0.2">
      <c r="A190" s="300"/>
      <c r="B190" s="300"/>
      <c r="C190" s="116">
        <f>+Linkin!L460</f>
        <v>315.297504</v>
      </c>
      <c r="D190" s="412"/>
      <c r="E190" s="116"/>
      <c r="F190" s="120" t="s">
        <v>874</v>
      </c>
      <c r="G190" s="180"/>
      <c r="H190" s="181">
        <v>6</v>
      </c>
      <c r="I190" s="62"/>
      <c r="J190" s="232">
        <f t="shared" si="249"/>
        <v>315.297504</v>
      </c>
      <c r="K190" s="108"/>
      <c r="L190" s="115">
        <f t="shared" si="250"/>
        <v>153.73906295040001</v>
      </c>
      <c r="M190" s="230"/>
      <c r="N190" s="115">
        <f t="shared" si="251"/>
        <v>92.224519919999992</v>
      </c>
      <c r="O190" s="230"/>
      <c r="P190" s="115">
        <f t="shared" si="252"/>
        <v>14.2514471808</v>
      </c>
      <c r="Q190" s="230"/>
      <c r="R190" s="115">
        <f t="shared" si="253"/>
        <v>28.029948105600003</v>
      </c>
      <c r="S190" s="230"/>
      <c r="T190" s="115">
        <f t="shared" si="254"/>
        <v>7.1572533407999996</v>
      </c>
      <c r="U190" s="230"/>
      <c r="V190" s="115">
        <f t="shared" si="255"/>
        <v>9.2066871167999995</v>
      </c>
      <c r="W190" s="230"/>
      <c r="X190" s="115">
        <f t="shared" si="256"/>
        <v>10.6885853856</v>
      </c>
      <c r="Y190" s="116"/>
      <c r="Z190" s="99">
        <f t="shared" si="268"/>
        <v>0</v>
      </c>
      <c r="AC190" s="120" t="s">
        <v>874</v>
      </c>
      <c r="AE190" s="154">
        <f t="shared" si="257"/>
        <v>6</v>
      </c>
      <c r="AG190" s="231">
        <f t="shared" si="269"/>
        <v>315.297504</v>
      </c>
      <c r="AH190" s="108"/>
      <c r="AI190" s="115">
        <f t="shared" si="259"/>
        <v>156.0204295703424</v>
      </c>
      <c r="AJ190" s="230"/>
      <c r="AK190" s="115">
        <f t="shared" si="260"/>
        <v>96.102679219200013</v>
      </c>
      <c r="AL190" s="230"/>
      <c r="AM190" s="115">
        <f t="shared" si="261"/>
        <v>43.269058411729915</v>
      </c>
      <c r="AN190" s="230"/>
      <c r="AO190" s="115">
        <f t="shared" si="262"/>
        <v>0</v>
      </c>
      <c r="AP190" s="230"/>
      <c r="AQ190" s="115">
        <f t="shared" si="263"/>
        <v>0</v>
      </c>
      <c r="AR190" s="230"/>
      <c r="AS190" s="115">
        <f t="shared" si="264"/>
        <v>0</v>
      </c>
      <c r="AT190" s="230"/>
      <c r="AU190" s="115">
        <f t="shared" si="265"/>
        <v>0</v>
      </c>
      <c r="AV190" s="230"/>
      <c r="AW190" s="115">
        <f t="shared" si="266"/>
        <v>9.2025251897471989</v>
      </c>
      <c r="AX190" s="230"/>
      <c r="AY190" s="115">
        <f t="shared" si="267"/>
        <v>10.702811608980481</v>
      </c>
      <c r="AZ190" s="481"/>
      <c r="BA190" s="99">
        <f t="shared" si="270"/>
        <v>0</v>
      </c>
      <c r="BB190" s="82"/>
      <c r="BC190" s="82"/>
      <c r="BD190" s="82"/>
    </row>
    <row r="191" spans="1:56" x14ac:dyDescent="0.2">
      <c r="A191" s="300"/>
      <c r="B191" s="300"/>
      <c r="F191" s="120" t="s">
        <v>613</v>
      </c>
      <c r="G191" s="180"/>
      <c r="H191" s="181">
        <v>6</v>
      </c>
      <c r="I191" s="62"/>
      <c r="J191" s="232">
        <f t="shared" si="249"/>
        <v>0</v>
      </c>
      <c r="K191" s="108"/>
      <c r="L191" s="115">
        <f t="shared" si="250"/>
        <v>0</v>
      </c>
      <c r="M191" s="230"/>
      <c r="N191" s="115">
        <f t="shared" si="251"/>
        <v>0</v>
      </c>
      <c r="O191" s="230"/>
      <c r="P191" s="115">
        <f t="shared" si="252"/>
        <v>0</v>
      </c>
      <c r="Q191" s="230"/>
      <c r="R191" s="115">
        <f t="shared" si="253"/>
        <v>0</v>
      </c>
      <c r="S191" s="230"/>
      <c r="T191" s="115">
        <f t="shared" si="254"/>
        <v>0</v>
      </c>
      <c r="U191" s="230"/>
      <c r="V191" s="115">
        <f t="shared" si="255"/>
        <v>0</v>
      </c>
      <c r="W191" s="230"/>
      <c r="X191" s="115">
        <f t="shared" si="256"/>
        <v>0</v>
      </c>
      <c r="Y191" s="116"/>
      <c r="Z191" s="99">
        <f t="shared" si="268"/>
        <v>0</v>
      </c>
      <c r="AC191" s="120" t="s">
        <v>613</v>
      </c>
      <c r="AE191" s="154">
        <f t="shared" si="257"/>
        <v>6</v>
      </c>
      <c r="AG191" s="231">
        <f t="shared" si="269"/>
        <v>0</v>
      </c>
      <c r="AH191" s="108"/>
      <c r="AI191" s="115">
        <f t="shared" si="259"/>
        <v>0</v>
      </c>
      <c r="AJ191" s="230"/>
      <c r="AK191" s="115">
        <f t="shared" si="260"/>
        <v>0</v>
      </c>
      <c r="AL191" s="230"/>
      <c r="AM191" s="115">
        <f t="shared" si="261"/>
        <v>0</v>
      </c>
      <c r="AN191" s="230"/>
      <c r="AO191" s="115">
        <f t="shared" si="262"/>
        <v>0</v>
      </c>
      <c r="AP191" s="230"/>
      <c r="AQ191" s="115">
        <f t="shared" si="263"/>
        <v>0</v>
      </c>
      <c r="AR191" s="230"/>
      <c r="AS191" s="115">
        <f t="shared" si="264"/>
        <v>0</v>
      </c>
      <c r="AT191" s="230"/>
      <c r="AU191" s="115">
        <f t="shared" si="265"/>
        <v>0</v>
      </c>
      <c r="AV191" s="230"/>
      <c r="AW191" s="115">
        <f t="shared" si="266"/>
        <v>0</v>
      </c>
      <c r="AX191" s="230"/>
      <c r="AY191" s="115">
        <f t="shared" si="267"/>
        <v>0</v>
      </c>
      <c r="AZ191" s="481"/>
      <c r="BA191" s="99">
        <f t="shared" si="270"/>
        <v>0</v>
      </c>
      <c r="BB191" s="82"/>
      <c r="BC191" s="82"/>
      <c r="BD191" s="82"/>
    </row>
    <row r="192" spans="1:56" x14ac:dyDescent="0.2">
      <c r="A192" s="300"/>
      <c r="B192" s="300"/>
      <c r="C192" s="116">
        <f>+Linkin!L446</f>
        <v>1157227.4447688153</v>
      </c>
      <c r="F192" s="120" t="s">
        <v>614</v>
      </c>
      <c r="G192" s="180"/>
      <c r="H192" s="181">
        <v>2</v>
      </c>
      <c r="I192" s="62"/>
      <c r="J192" s="232">
        <f t="shared" si="249"/>
        <v>1157227.4447688153</v>
      </c>
      <c r="K192" s="108"/>
      <c r="L192" s="115">
        <f t="shared" si="250"/>
        <v>592384.72897715657</v>
      </c>
      <c r="M192" s="230"/>
      <c r="N192" s="115">
        <f t="shared" si="251"/>
        <v>354227.32084373437</v>
      </c>
      <c r="O192" s="230"/>
      <c r="P192" s="115">
        <f t="shared" si="252"/>
        <v>56819.867538148828</v>
      </c>
      <c r="Q192" s="230"/>
      <c r="R192" s="115">
        <f t="shared" si="253"/>
        <v>112713.95312048259</v>
      </c>
      <c r="S192" s="230"/>
      <c r="T192" s="115">
        <f t="shared" si="254"/>
        <v>37031.27823260209</v>
      </c>
      <c r="U192" s="230"/>
      <c r="V192" s="115">
        <f t="shared" si="255"/>
        <v>1851.5639116301045</v>
      </c>
      <c r="W192" s="230"/>
      <c r="X192" s="115">
        <f t="shared" si="256"/>
        <v>2198.7321450607492</v>
      </c>
      <c r="Y192" s="116"/>
      <c r="Z192" s="99">
        <f t="shared" si="268"/>
        <v>0</v>
      </c>
      <c r="AC192" s="120" t="s">
        <v>614</v>
      </c>
      <c r="AE192" s="154">
        <f t="shared" si="257"/>
        <v>2</v>
      </c>
      <c r="AG192" s="231">
        <f t="shared" si="269"/>
        <v>1157227.4447688153</v>
      </c>
      <c r="AH192" s="108"/>
      <c r="AI192" s="115">
        <f t="shared" si="259"/>
        <v>657189.46588421019</v>
      </c>
      <c r="AJ192" s="230"/>
      <c r="AK192" s="115">
        <f t="shared" si="260"/>
        <v>495987.68282791419</v>
      </c>
      <c r="AL192" s="230"/>
      <c r="AM192" s="115">
        <f t="shared" si="261"/>
        <v>0</v>
      </c>
      <c r="AN192" s="230"/>
      <c r="AO192" s="115">
        <f t="shared" si="262"/>
        <v>0</v>
      </c>
      <c r="AP192" s="230"/>
      <c r="AQ192" s="115">
        <f t="shared" si="263"/>
        <v>0</v>
      </c>
      <c r="AR192" s="230"/>
      <c r="AS192" s="115">
        <f t="shared" si="264"/>
        <v>0</v>
      </c>
      <c r="AT192" s="230"/>
      <c r="AU192" s="115">
        <f t="shared" si="265"/>
        <v>0</v>
      </c>
      <c r="AV192" s="230"/>
      <c r="AW192" s="115">
        <f t="shared" si="266"/>
        <v>1851.5639116301045</v>
      </c>
      <c r="AX192" s="230"/>
      <c r="AY192" s="115">
        <f t="shared" si="267"/>
        <v>2198.7321450607492</v>
      </c>
      <c r="AZ192" s="481"/>
      <c r="BA192" s="99">
        <f t="shared" si="270"/>
        <v>0</v>
      </c>
      <c r="BB192" s="82"/>
      <c r="BC192" s="82"/>
      <c r="BD192" s="82"/>
    </row>
    <row r="193" spans="1:56" x14ac:dyDescent="0.2">
      <c r="A193" s="300"/>
      <c r="B193" s="300"/>
      <c r="C193" s="116">
        <f>+Linkin!L464</f>
        <v>1277403.5830839928</v>
      </c>
      <c r="F193" s="120" t="s">
        <v>909</v>
      </c>
      <c r="G193" s="180"/>
      <c r="H193" s="181">
        <v>2</v>
      </c>
      <c r="I193" s="62"/>
      <c r="J193" s="232">
        <f t="shared" si="249"/>
        <v>1277403.5830839928</v>
      </c>
      <c r="K193" s="108"/>
      <c r="L193" s="115">
        <f t="shared" si="250"/>
        <v>653902.89418069599</v>
      </c>
      <c r="M193" s="230"/>
      <c r="N193" s="115">
        <f t="shared" si="251"/>
        <v>391013.23678201018</v>
      </c>
      <c r="O193" s="230"/>
      <c r="P193" s="115">
        <f t="shared" si="252"/>
        <v>62720.515929424044</v>
      </c>
      <c r="Q193" s="230"/>
      <c r="R193" s="115">
        <f t="shared" si="253"/>
        <v>124419.10899238089</v>
      </c>
      <c r="S193" s="230"/>
      <c r="T193" s="115">
        <f t="shared" si="254"/>
        <v>40876.914658687769</v>
      </c>
      <c r="U193" s="230"/>
      <c r="V193" s="115">
        <f t="shared" si="255"/>
        <v>2043.8457329343887</v>
      </c>
      <c r="W193" s="230"/>
      <c r="X193" s="115">
        <f t="shared" si="256"/>
        <v>2427.0668078595863</v>
      </c>
      <c r="Y193" s="116"/>
      <c r="Z193" s="99">
        <f t="shared" si="268"/>
        <v>0</v>
      </c>
      <c r="AC193" s="120" t="s">
        <v>615</v>
      </c>
      <c r="AE193" s="154">
        <f t="shared" si="257"/>
        <v>2</v>
      </c>
      <c r="AG193" s="231">
        <f t="shared" si="269"/>
        <v>1277403.5830839928</v>
      </c>
      <c r="AH193" s="108"/>
      <c r="AI193" s="115">
        <f t="shared" si="259"/>
        <v>725437.49483339943</v>
      </c>
      <c r="AJ193" s="230"/>
      <c r="AK193" s="115">
        <f t="shared" si="260"/>
        <v>547495.17570979928</v>
      </c>
      <c r="AL193" s="230"/>
      <c r="AM193" s="115">
        <f t="shared" si="261"/>
        <v>0</v>
      </c>
      <c r="AN193" s="230"/>
      <c r="AO193" s="115">
        <f t="shared" si="262"/>
        <v>0</v>
      </c>
      <c r="AP193" s="230"/>
      <c r="AQ193" s="115">
        <f t="shared" si="263"/>
        <v>0</v>
      </c>
      <c r="AR193" s="230"/>
      <c r="AS193" s="115">
        <f t="shared" si="264"/>
        <v>0</v>
      </c>
      <c r="AT193" s="230"/>
      <c r="AU193" s="115">
        <f t="shared" si="265"/>
        <v>0</v>
      </c>
      <c r="AV193" s="230"/>
      <c r="AW193" s="115">
        <f t="shared" si="266"/>
        <v>2043.8457329343887</v>
      </c>
      <c r="AX193" s="230"/>
      <c r="AY193" s="115">
        <f t="shared" si="267"/>
        <v>2427.0668078595863</v>
      </c>
      <c r="AZ193" s="481"/>
      <c r="BA193" s="99">
        <f t="shared" si="270"/>
        <v>0</v>
      </c>
      <c r="BB193" s="82"/>
      <c r="BC193" s="82"/>
      <c r="BD193" s="82"/>
    </row>
    <row r="194" spans="1:56" x14ac:dyDescent="0.2">
      <c r="A194" s="300"/>
      <c r="B194" s="300"/>
      <c r="C194" s="116">
        <f>+Linkin!L465</f>
        <v>19672.002845000006</v>
      </c>
      <c r="F194" s="120" t="s">
        <v>937</v>
      </c>
      <c r="G194" s="180"/>
      <c r="H194" s="181">
        <v>2</v>
      </c>
      <c r="I194" s="62"/>
      <c r="J194" s="232">
        <f t="shared" si="249"/>
        <v>19672.002845000006</v>
      </c>
      <c r="K194" s="108"/>
      <c r="L194" s="115">
        <f t="shared" si="250"/>
        <v>10070.098256355504</v>
      </c>
      <c r="M194" s="230"/>
      <c r="N194" s="115">
        <f t="shared" si="251"/>
        <v>6021.6000708545016</v>
      </c>
      <c r="O194" s="230"/>
      <c r="P194" s="115">
        <f t="shared" si="252"/>
        <v>965.89533968950025</v>
      </c>
      <c r="Q194" s="230"/>
      <c r="R194" s="115">
        <f t="shared" si="253"/>
        <v>1916.0530771030003</v>
      </c>
      <c r="S194" s="230"/>
      <c r="T194" s="115">
        <f t="shared" si="254"/>
        <v>629.50409104000016</v>
      </c>
      <c r="U194" s="230"/>
      <c r="V194" s="115">
        <f t="shared" si="255"/>
        <v>31.475204552000012</v>
      </c>
      <c r="W194" s="230"/>
      <c r="X194" s="115">
        <f t="shared" si="256"/>
        <v>37.376805405500015</v>
      </c>
      <c r="Y194" s="116"/>
      <c r="Z194" s="99">
        <f t="shared" si="268"/>
        <v>0</v>
      </c>
      <c r="AC194" s="120" t="s">
        <v>616</v>
      </c>
      <c r="AE194" s="154">
        <f t="shared" si="257"/>
        <v>2</v>
      </c>
      <c r="AG194" s="231">
        <f t="shared" si="269"/>
        <v>19672.002845000006</v>
      </c>
      <c r="AH194" s="108"/>
      <c r="AI194" s="115">
        <f t="shared" si="259"/>
        <v>11171.730415675504</v>
      </c>
      <c r="AJ194" s="230"/>
      <c r="AK194" s="115">
        <f t="shared" si="260"/>
        <v>8431.420419367003</v>
      </c>
      <c r="AL194" s="230"/>
      <c r="AM194" s="115">
        <f t="shared" si="261"/>
        <v>0</v>
      </c>
      <c r="AN194" s="230"/>
      <c r="AO194" s="115">
        <f t="shared" si="262"/>
        <v>0</v>
      </c>
      <c r="AP194" s="230"/>
      <c r="AQ194" s="115">
        <f t="shared" si="263"/>
        <v>0</v>
      </c>
      <c r="AR194" s="230"/>
      <c r="AS194" s="115">
        <f t="shared" si="264"/>
        <v>0</v>
      </c>
      <c r="AT194" s="230"/>
      <c r="AU194" s="115">
        <f t="shared" si="265"/>
        <v>0</v>
      </c>
      <c r="AV194" s="230"/>
      <c r="AW194" s="115">
        <f t="shared" si="266"/>
        <v>31.475204552000012</v>
      </c>
      <c r="AX194" s="230"/>
      <c r="AY194" s="115">
        <f t="shared" si="267"/>
        <v>37.376805405500015</v>
      </c>
      <c r="AZ194" s="481"/>
      <c r="BA194" s="99">
        <f t="shared" si="270"/>
        <v>0</v>
      </c>
      <c r="BB194" s="82"/>
      <c r="BC194" s="82"/>
      <c r="BD194" s="82"/>
    </row>
    <row r="195" spans="1:56" x14ac:dyDescent="0.2">
      <c r="A195" s="222"/>
      <c r="B195" s="223"/>
      <c r="C195" s="116">
        <f>+Linkin!L447</f>
        <v>13023.067498583345</v>
      </c>
      <c r="F195" s="120" t="s">
        <v>617</v>
      </c>
      <c r="G195" s="180"/>
      <c r="H195" s="181">
        <v>7</v>
      </c>
      <c r="I195" s="62"/>
      <c r="J195" s="232">
        <f t="shared" si="249"/>
        <v>13023.067498583345</v>
      </c>
      <c r="K195" s="108"/>
      <c r="L195" s="115">
        <f t="shared" si="250"/>
        <v>6113.0278838350214</v>
      </c>
      <c r="M195" s="230"/>
      <c r="N195" s="115">
        <f t="shared" si="251"/>
        <v>3692.0396358483781</v>
      </c>
      <c r="O195" s="230"/>
      <c r="P195" s="115">
        <f t="shared" si="252"/>
        <v>526.13192694276722</v>
      </c>
      <c r="Q195" s="230"/>
      <c r="R195" s="115">
        <f t="shared" si="253"/>
        <v>1007.9854243903509</v>
      </c>
      <c r="S195" s="230"/>
      <c r="T195" s="115">
        <f t="shared" si="254"/>
        <v>76.836098241641736</v>
      </c>
      <c r="U195" s="230"/>
      <c r="V195" s="115">
        <f t="shared" si="255"/>
        <v>742.31484741925067</v>
      </c>
      <c r="W195" s="230"/>
      <c r="X195" s="115">
        <f t="shared" si="256"/>
        <v>864.73168190593412</v>
      </c>
      <c r="Y195" s="116"/>
      <c r="Z195" s="99">
        <f t="shared" si="268"/>
        <v>0</v>
      </c>
      <c r="AC195" s="120" t="s">
        <v>617</v>
      </c>
      <c r="AE195" s="154">
        <f t="shared" si="257"/>
        <v>7</v>
      </c>
      <c r="AG195" s="231">
        <f t="shared" si="269"/>
        <v>13023.067498583345</v>
      </c>
      <c r="AH195" s="108"/>
      <c r="AI195" s="115">
        <f t="shared" si="259"/>
        <v>4964.3933304599705</v>
      </c>
      <c r="AJ195" s="230"/>
      <c r="AK195" s="115">
        <f t="shared" si="260"/>
        <v>1036.6361728872344</v>
      </c>
      <c r="AL195" s="230"/>
      <c r="AM195" s="115">
        <f t="shared" si="261"/>
        <v>5414.9914659109545</v>
      </c>
      <c r="AN195" s="230"/>
      <c r="AO195" s="115">
        <f t="shared" si="262"/>
        <v>0</v>
      </c>
      <c r="AP195" s="230"/>
      <c r="AQ195" s="115">
        <f t="shared" si="263"/>
        <v>0</v>
      </c>
      <c r="AR195" s="230"/>
      <c r="AS195" s="115">
        <f t="shared" si="264"/>
        <v>0</v>
      </c>
      <c r="AT195" s="230"/>
      <c r="AU195" s="115">
        <f t="shared" si="265"/>
        <v>0</v>
      </c>
      <c r="AV195" s="230"/>
      <c r="AW195" s="115">
        <f t="shared" si="266"/>
        <v>742.31484741925067</v>
      </c>
      <c r="AX195" s="230"/>
      <c r="AY195" s="115">
        <f t="shared" si="267"/>
        <v>864.73168190593412</v>
      </c>
      <c r="AZ195" s="481"/>
      <c r="BA195" s="99">
        <f t="shared" si="270"/>
        <v>0</v>
      </c>
      <c r="BB195" s="82"/>
      <c r="BC195" s="82"/>
      <c r="BD195" s="82"/>
    </row>
    <row r="196" spans="1:56" s="466" customFormat="1" x14ac:dyDescent="0.2">
      <c r="A196" s="222"/>
      <c r="B196" s="223"/>
      <c r="C196" s="116">
        <f>+Linkin!L463</f>
        <v>2696.9453905000028</v>
      </c>
      <c r="D196" s="412"/>
      <c r="E196" s="116"/>
      <c r="F196" s="120" t="s">
        <v>876</v>
      </c>
      <c r="G196" s="180"/>
      <c r="H196" s="181">
        <v>7</v>
      </c>
      <c r="I196" s="62"/>
      <c r="J196" s="232">
        <f t="shared" si="249"/>
        <v>2696.9453905000028</v>
      </c>
      <c r="K196" s="108"/>
      <c r="L196" s="115">
        <f t="shared" si="250"/>
        <v>1265.9461663007012</v>
      </c>
      <c r="M196" s="230"/>
      <c r="N196" s="115">
        <f t="shared" si="251"/>
        <v>764.58401820675067</v>
      </c>
      <c r="O196" s="230"/>
      <c r="P196" s="115">
        <f t="shared" si="252"/>
        <v>108.95659377620012</v>
      </c>
      <c r="Q196" s="230"/>
      <c r="R196" s="115">
        <f t="shared" si="253"/>
        <v>208.74357322470021</v>
      </c>
      <c r="S196" s="230"/>
      <c r="T196" s="115">
        <f t="shared" si="254"/>
        <v>15.911977803950016</v>
      </c>
      <c r="U196" s="230"/>
      <c r="V196" s="115">
        <f t="shared" si="255"/>
        <v>153.72588725850017</v>
      </c>
      <c r="W196" s="230"/>
      <c r="X196" s="115">
        <f t="shared" si="256"/>
        <v>179.07717392920017</v>
      </c>
      <c r="Y196" s="116"/>
      <c r="Z196" s="99">
        <f t="shared" si="268"/>
        <v>0</v>
      </c>
      <c r="AC196" s="120" t="s">
        <v>876</v>
      </c>
      <c r="AE196" s="154">
        <f t="shared" si="257"/>
        <v>7</v>
      </c>
      <c r="AG196" s="231">
        <f t="shared" si="269"/>
        <v>2696.9453905000028</v>
      </c>
      <c r="AH196" s="108"/>
      <c r="AI196" s="115">
        <f t="shared" si="259"/>
        <v>1028.0755828586009</v>
      </c>
      <c r="AJ196" s="230"/>
      <c r="AK196" s="115">
        <f t="shared" si="260"/>
        <v>214.67685308380024</v>
      </c>
      <c r="AL196" s="230"/>
      <c r="AM196" s="115">
        <f t="shared" si="261"/>
        <v>1121.3898933699011</v>
      </c>
      <c r="AN196" s="230"/>
      <c r="AO196" s="115">
        <f t="shared" si="262"/>
        <v>0</v>
      </c>
      <c r="AP196" s="230"/>
      <c r="AQ196" s="115">
        <f t="shared" si="263"/>
        <v>0</v>
      </c>
      <c r="AR196" s="230"/>
      <c r="AS196" s="115">
        <f t="shared" si="264"/>
        <v>0</v>
      </c>
      <c r="AT196" s="230"/>
      <c r="AU196" s="115">
        <f t="shared" si="265"/>
        <v>0</v>
      </c>
      <c r="AV196" s="230"/>
      <c r="AW196" s="115">
        <f t="shared" si="266"/>
        <v>153.72588725850017</v>
      </c>
      <c r="AX196" s="230"/>
      <c r="AY196" s="115">
        <f t="shared" si="267"/>
        <v>179.07717392920017</v>
      </c>
      <c r="AZ196" s="481"/>
      <c r="BA196" s="99">
        <f t="shared" si="270"/>
        <v>0</v>
      </c>
      <c r="BB196" s="82"/>
      <c r="BC196" s="82"/>
      <c r="BD196" s="82"/>
    </row>
    <row r="197" spans="1:56" x14ac:dyDescent="0.2">
      <c r="A197" s="300"/>
      <c r="B197" s="300"/>
      <c r="C197" s="116">
        <f>+SUM(Linkin!L466:L469)</f>
        <v>380062.8853098749</v>
      </c>
      <c r="F197" s="120" t="s">
        <v>618</v>
      </c>
      <c r="G197" s="180"/>
      <c r="H197" s="181">
        <v>5</v>
      </c>
      <c r="I197" s="62"/>
      <c r="J197" s="232">
        <f t="shared" si="249"/>
        <v>380062.8853098749</v>
      </c>
      <c r="K197" s="108"/>
      <c r="L197" s="115">
        <f t="shared" si="250"/>
        <v>157574.07224947412</v>
      </c>
      <c r="M197" s="230"/>
      <c r="N197" s="115">
        <f t="shared" si="251"/>
        <v>95433.790501309588</v>
      </c>
      <c r="O197" s="230"/>
      <c r="P197" s="115">
        <f t="shared" si="252"/>
        <v>13188.182120252659</v>
      </c>
      <c r="Q197" s="230"/>
      <c r="R197" s="115">
        <f t="shared" si="253"/>
        <v>24894.118987796806</v>
      </c>
      <c r="S197" s="230"/>
      <c r="T197" s="115">
        <f t="shared" si="254"/>
        <v>7639.2639947284852</v>
      </c>
      <c r="U197" s="230"/>
      <c r="V197" s="115">
        <f t="shared" si="255"/>
        <v>37588.219357146627</v>
      </c>
      <c r="W197" s="230"/>
      <c r="X197" s="115">
        <f t="shared" si="256"/>
        <v>43745.2380991666</v>
      </c>
      <c r="Y197" s="116"/>
      <c r="Z197" s="99">
        <f t="shared" si="268"/>
        <v>0</v>
      </c>
      <c r="AC197" s="120" t="s">
        <v>618</v>
      </c>
      <c r="AE197" s="154">
        <f t="shared" si="257"/>
        <v>5</v>
      </c>
      <c r="AG197" s="231">
        <f t="shared" si="269"/>
        <v>380062.8853098749</v>
      </c>
      <c r="AH197" s="108"/>
      <c r="AI197" s="115">
        <f t="shared" si="259"/>
        <v>119073.70196758379</v>
      </c>
      <c r="AJ197" s="230"/>
      <c r="AK197" s="115">
        <f t="shared" si="260"/>
        <v>0</v>
      </c>
      <c r="AL197" s="230"/>
      <c r="AM197" s="115">
        <f t="shared" si="261"/>
        <v>179655.72588597785</v>
      </c>
      <c r="AN197" s="230"/>
      <c r="AO197" s="115">
        <f t="shared" si="262"/>
        <v>0</v>
      </c>
      <c r="AP197" s="230"/>
      <c r="AQ197" s="115">
        <f t="shared" si="263"/>
        <v>0</v>
      </c>
      <c r="AR197" s="230"/>
      <c r="AS197" s="115">
        <f t="shared" si="264"/>
        <v>0</v>
      </c>
      <c r="AT197" s="230"/>
      <c r="AU197" s="115">
        <f t="shared" si="265"/>
        <v>0</v>
      </c>
      <c r="AV197" s="230"/>
      <c r="AW197" s="115">
        <f t="shared" si="266"/>
        <v>37588.219357146627</v>
      </c>
      <c r="AX197" s="230"/>
      <c r="AY197" s="115">
        <f t="shared" si="267"/>
        <v>43745.2380991666</v>
      </c>
      <c r="AZ197" s="481"/>
      <c r="BA197" s="99">
        <f t="shared" si="270"/>
        <v>0</v>
      </c>
      <c r="BB197" s="82"/>
      <c r="BC197" s="82"/>
      <c r="BD197" s="82"/>
    </row>
    <row r="198" spans="1:56" x14ac:dyDescent="0.2">
      <c r="A198" s="300"/>
      <c r="B198" s="320"/>
      <c r="F198" s="120" t="s">
        <v>619</v>
      </c>
      <c r="G198" s="180"/>
      <c r="H198" s="181"/>
      <c r="I198" s="62"/>
      <c r="J198" s="232"/>
      <c r="K198" s="83"/>
      <c r="L198" s="115"/>
      <c r="M198" s="230"/>
      <c r="N198" s="115"/>
      <c r="O198" s="230"/>
      <c r="P198" s="115"/>
      <c r="Q198" s="230"/>
      <c r="R198" s="115"/>
      <c r="S198" s="230"/>
      <c r="T198" s="115"/>
      <c r="U198" s="230"/>
      <c r="V198" s="115"/>
      <c r="W198" s="230"/>
      <c r="X198" s="115"/>
      <c r="Y198" s="116"/>
      <c r="Z198" s="99"/>
      <c r="AC198" s="120" t="s">
        <v>619</v>
      </c>
      <c r="AE198" s="154"/>
      <c r="AG198" s="231"/>
      <c r="AH198" s="108"/>
      <c r="AI198" s="115"/>
      <c r="AJ198" s="230"/>
      <c r="AK198" s="115"/>
      <c r="AL198" s="230"/>
      <c r="AM198" s="115"/>
      <c r="AN198" s="230"/>
      <c r="AO198" s="115"/>
      <c r="AP198" s="230"/>
      <c r="AQ198" s="115"/>
      <c r="AR198" s="230"/>
      <c r="AS198" s="115"/>
      <c r="AT198" s="230"/>
      <c r="AU198" s="115"/>
      <c r="AV198" s="230"/>
      <c r="AW198" s="115"/>
      <c r="AX198" s="230"/>
      <c r="AY198" s="115"/>
      <c r="AZ198" s="481"/>
      <c r="BA198" s="99"/>
      <c r="BB198" s="82"/>
      <c r="BC198" s="82"/>
      <c r="BD198" s="82"/>
    </row>
    <row r="199" spans="1:56" x14ac:dyDescent="0.2">
      <c r="B199" s="231">
        <f>SUM(C199:C203)</f>
        <v>3675761.5051751025</v>
      </c>
      <c r="C199" s="116">
        <f>+Linkin!L470</f>
        <v>4652778.0448565995</v>
      </c>
      <c r="F199" s="59" t="s">
        <v>913</v>
      </c>
      <c r="G199" s="180"/>
      <c r="H199" s="181">
        <v>4</v>
      </c>
      <c r="I199" s="62"/>
      <c r="J199" s="232">
        <f>ROUND($B$200*J305,0)</f>
        <v>73723</v>
      </c>
      <c r="K199" s="108"/>
      <c r="L199" s="115">
        <f t="shared" ref="L199:L234" si="271">(VLOOKUP($H199,Factors,L$381))*$J199</f>
        <v>34590.831599999998</v>
      </c>
      <c r="M199" s="230"/>
      <c r="N199" s="115">
        <f t="shared" ref="N199:N234" si="272">(VLOOKUP($H199,Factors,N$381))*$J199</f>
        <v>20944.704300000001</v>
      </c>
      <c r="O199" s="230"/>
      <c r="P199" s="115">
        <f t="shared" ref="P199:P234" si="273">(VLOOKUP($H199,Factors,P$381))*$J199</f>
        <v>2897.3139000000001</v>
      </c>
      <c r="Q199" s="230"/>
      <c r="R199" s="115">
        <f t="shared" ref="R199:R234" si="274">(VLOOKUP($H199,Factors,R$381))*$J199</f>
        <v>5477.6189000000004</v>
      </c>
      <c r="S199" s="230"/>
      <c r="T199" s="115">
        <f t="shared" ref="T199:T234" si="275">(VLOOKUP($H199,Factors,T$381))*$J199</f>
        <v>0</v>
      </c>
      <c r="U199" s="230"/>
      <c r="V199" s="115">
        <f t="shared" ref="V199:V234" si="276">(VLOOKUP($H199,Factors,V$381))*$J199</f>
        <v>4533.9645</v>
      </c>
      <c r="W199" s="230"/>
      <c r="X199" s="115">
        <f t="shared" ref="X199:X234" si="277">(VLOOKUP($H199,Factors,X$381))*$J199</f>
        <v>5278.5668000000005</v>
      </c>
      <c r="Y199" s="116"/>
      <c r="Z199" s="99">
        <f t="shared" si="268"/>
        <v>0</v>
      </c>
      <c r="AC199" s="59" t="s">
        <v>913</v>
      </c>
      <c r="AE199" s="154">
        <f t="shared" si="257"/>
        <v>4</v>
      </c>
      <c r="AG199" s="231">
        <f t="shared" si="258"/>
        <v>73723</v>
      </c>
      <c r="AH199" s="108"/>
      <c r="AI199" s="115">
        <f t="shared" ref="AI199:AI234" si="278">(VLOOKUP($AE199,func,AI$381))*$AG199</f>
        <v>25471.2965</v>
      </c>
      <c r="AJ199" s="230"/>
      <c r="AK199" s="115">
        <f t="shared" ref="AK199:AK234" si="279">(VLOOKUP($AE199,func,AK$381))*$AG199</f>
        <v>0</v>
      </c>
      <c r="AL199" s="230"/>
      <c r="AM199" s="115">
        <f t="shared" ref="AM199:AM234" si="280">(VLOOKUP($AE199,func,AM$381))*$AG199</f>
        <v>38439.172200000001</v>
      </c>
      <c r="AN199" s="230"/>
      <c r="AO199" s="115">
        <f t="shared" ref="AO199:AO234" si="281">(VLOOKUP($AE199,func,AO$381))*$AG199</f>
        <v>0</v>
      </c>
      <c r="AP199" s="230"/>
      <c r="AQ199" s="115">
        <f t="shared" ref="AQ199:AQ234" si="282">(VLOOKUP($AE199,func,AQ$381))*$AG199</f>
        <v>0</v>
      </c>
      <c r="AR199" s="230"/>
      <c r="AS199" s="115">
        <f t="shared" ref="AS199:AS234" si="283">(VLOOKUP($AE199,func,AS$381))*$AG199</f>
        <v>0</v>
      </c>
      <c r="AT199" s="230"/>
      <c r="AU199" s="115">
        <f t="shared" ref="AU199:AU234" si="284">(VLOOKUP($AE199,func,AU$381))*$AG199</f>
        <v>0</v>
      </c>
      <c r="AV199" s="230"/>
      <c r="AW199" s="115">
        <f t="shared" ref="AW199:AW234" si="285">(VLOOKUP($AE199,func,AW$381))*$AG199</f>
        <v>4533.9645</v>
      </c>
      <c r="AX199" s="230"/>
      <c r="AY199" s="115">
        <f t="shared" ref="AY199:AY234" si="286">(VLOOKUP($AE199,func,AY$381))*$AG199</f>
        <v>5278.5668000000005</v>
      </c>
      <c r="BA199" s="99">
        <f t="shared" si="203"/>
        <v>0</v>
      </c>
      <c r="BB199" s="82"/>
      <c r="BC199" s="82"/>
      <c r="BD199" s="82"/>
    </row>
    <row r="200" spans="1:56" x14ac:dyDescent="0.2">
      <c r="A200" s="300"/>
      <c r="B200" s="741">
        <f>+B199/B309</f>
        <v>1.743677730107162E-2</v>
      </c>
      <c r="C200" s="116">
        <f>+Linkin!L471</f>
        <v>-43.989348750000012</v>
      </c>
      <c r="F200" s="62" t="s">
        <v>916</v>
      </c>
      <c r="G200" s="180"/>
      <c r="H200" s="181">
        <v>4</v>
      </c>
      <c r="I200" s="62"/>
      <c r="J200" s="232">
        <f t="shared" ref="J200:J203" si="287">ROUND($B$200*J306,0)</f>
        <v>129322</v>
      </c>
      <c r="K200" s="108"/>
      <c r="L200" s="115">
        <f t="shared" si="271"/>
        <v>60677.882400000002</v>
      </c>
      <c r="M200" s="230"/>
      <c r="N200" s="115">
        <f t="shared" si="272"/>
        <v>36740.3802</v>
      </c>
      <c r="O200" s="230"/>
      <c r="P200" s="115">
        <f t="shared" si="273"/>
        <v>5082.3546000000006</v>
      </c>
      <c r="Q200" s="230"/>
      <c r="R200" s="115">
        <f t="shared" si="274"/>
        <v>9608.624600000001</v>
      </c>
      <c r="S200" s="230"/>
      <c r="T200" s="115">
        <f t="shared" si="275"/>
        <v>0</v>
      </c>
      <c r="U200" s="230"/>
      <c r="V200" s="115">
        <f t="shared" si="276"/>
        <v>7953.3029999999999</v>
      </c>
      <c r="W200" s="230"/>
      <c r="X200" s="115">
        <f t="shared" si="277"/>
        <v>9259.4552000000022</v>
      </c>
      <c r="Y200" s="116"/>
      <c r="Z200" s="99">
        <f t="shared" si="268"/>
        <v>0</v>
      </c>
      <c r="AC200" s="62" t="s">
        <v>916</v>
      </c>
      <c r="AE200" s="154">
        <f t="shared" ref="AE200:AE233" si="288">+H200</f>
        <v>4</v>
      </c>
      <c r="AF200" s="481"/>
      <c r="AG200" s="231">
        <f t="shared" ref="AG200:AG203" si="289">+J200</f>
        <v>129322</v>
      </c>
      <c r="AH200" s="108"/>
      <c r="AI200" s="115">
        <f t="shared" si="278"/>
        <v>44680.751000000004</v>
      </c>
      <c r="AJ200" s="230"/>
      <c r="AK200" s="115">
        <f t="shared" si="279"/>
        <v>0</v>
      </c>
      <c r="AL200" s="230"/>
      <c r="AM200" s="115">
        <f t="shared" si="280"/>
        <v>67428.4908</v>
      </c>
      <c r="AN200" s="230"/>
      <c r="AO200" s="115">
        <f t="shared" si="281"/>
        <v>0</v>
      </c>
      <c r="AP200" s="230"/>
      <c r="AQ200" s="115">
        <f t="shared" si="282"/>
        <v>0</v>
      </c>
      <c r="AR200" s="230"/>
      <c r="AS200" s="115">
        <f t="shared" si="283"/>
        <v>0</v>
      </c>
      <c r="AT200" s="230"/>
      <c r="AU200" s="115">
        <f t="shared" si="284"/>
        <v>0</v>
      </c>
      <c r="AV200" s="230"/>
      <c r="AW200" s="115">
        <f t="shared" si="285"/>
        <v>7953.3029999999999</v>
      </c>
      <c r="AX200" s="230"/>
      <c r="AY200" s="115">
        <f t="shared" si="286"/>
        <v>9259.4552000000022</v>
      </c>
      <c r="AZ200" s="508"/>
      <c r="BA200" s="99">
        <f t="shared" ref="BA200:BA203" si="290">SUM(AI200:AY200)-AG200</f>
        <v>0</v>
      </c>
      <c r="BB200" s="82"/>
      <c r="BC200" s="82"/>
      <c r="BD200" s="82"/>
    </row>
    <row r="201" spans="1:56" s="508" customFormat="1" x14ac:dyDescent="0.2">
      <c r="A201" s="300"/>
      <c r="B201" s="300"/>
      <c r="C201" s="116">
        <f>+Linkin!L472</f>
        <v>-976965.04769724747</v>
      </c>
      <c r="D201" s="412"/>
      <c r="E201" s="116"/>
      <c r="F201" s="62" t="s">
        <v>914</v>
      </c>
      <c r="G201" s="180"/>
      <c r="H201" s="181">
        <v>4</v>
      </c>
      <c r="I201" s="62"/>
      <c r="J201" s="232">
        <f t="shared" si="287"/>
        <v>1002317</v>
      </c>
      <c r="K201" s="108"/>
      <c r="L201" s="115">
        <f t="shared" si="271"/>
        <v>470287.13640000002</v>
      </c>
      <c r="M201" s="230"/>
      <c r="N201" s="115">
        <f t="shared" si="272"/>
        <v>284758.2597</v>
      </c>
      <c r="O201" s="230"/>
      <c r="P201" s="115">
        <f t="shared" si="273"/>
        <v>39391.058100000002</v>
      </c>
      <c r="Q201" s="230"/>
      <c r="R201" s="115">
        <f t="shared" si="274"/>
        <v>74472.15310000001</v>
      </c>
      <c r="S201" s="230"/>
      <c r="T201" s="115">
        <f t="shared" si="275"/>
        <v>0</v>
      </c>
      <c r="U201" s="230"/>
      <c r="V201" s="115">
        <f t="shared" si="276"/>
        <v>61642.495499999997</v>
      </c>
      <c r="W201" s="230"/>
      <c r="X201" s="115">
        <f t="shared" si="277"/>
        <v>71765.897200000007</v>
      </c>
      <c r="Y201" s="116"/>
      <c r="Z201" s="99">
        <f t="shared" ref="Z201:Z203" si="291">SUM(L201:X201)-J201</f>
        <v>0</v>
      </c>
      <c r="AC201" s="62" t="s">
        <v>914</v>
      </c>
      <c r="AE201" s="154">
        <f t="shared" si="288"/>
        <v>4</v>
      </c>
      <c r="AG201" s="231">
        <f t="shared" si="289"/>
        <v>1002317</v>
      </c>
      <c r="AH201" s="108"/>
      <c r="AI201" s="115">
        <f t="shared" si="278"/>
        <v>346300.52350000001</v>
      </c>
      <c r="AJ201" s="230"/>
      <c r="AK201" s="115">
        <f t="shared" si="279"/>
        <v>0</v>
      </c>
      <c r="AL201" s="230"/>
      <c r="AM201" s="115">
        <f t="shared" si="280"/>
        <v>522608.08379999996</v>
      </c>
      <c r="AN201" s="230"/>
      <c r="AO201" s="115">
        <f t="shared" si="281"/>
        <v>0</v>
      </c>
      <c r="AP201" s="230"/>
      <c r="AQ201" s="115">
        <f t="shared" si="282"/>
        <v>0</v>
      </c>
      <c r="AR201" s="230"/>
      <c r="AS201" s="115">
        <f t="shared" si="283"/>
        <v>0</v>
      </c>
      <c r="AT201" s="230"/>
      <c r="AU201" s="115">
        <f t="shared" si="284"/>
        <v>0</v>
      </c>
      <c r="AV201" s="230"/>
      <c r="AW201" s="115">
        <f t="shared" si="285"/>
        <v>61642.495499999997</v>
      </c>
      <c r="AX201" s="230"/>
      <c r="AY201" s="115">
        <f t="shared" si="286"/>
        <v>71765.897200000007</v>
      </c>
      <c r="BA201" s="99">
        <f t="shared" si="290"/>
        <v>0</v>
      </c>
      <c r="BB201" s="82"/>
      <c r="BC201" s="82"/>
      <c r="BD201" s="82"/>
    </row>
    <row r="202" spans="1:56" s="508" customFormat="1" x14ac:dyDescent="0.2">
      <c r="A202" s="300"/>
      <c r="B202" s="300"/>
      <c r="C202" s="116">
        <f>+Linkin!L473</f>
        <v>0</v>
      </c>
      <c r="D202" s="412"/>
      <c r="E202" s="116"/>
      <c r="F202" s="62" t="s">
        <v>915</v>
      </c>
      <c r="G202" s="180"/>
      <c r="H202" s="181">
        <v>3</v>
      </c>
      <c r="I202" s="62"/>
      <c r="J202" s="232">
        <f t="shared" si="287"/>
        <v>927364</v>
      </c>
      <c r="K202" s="108"/>
      <c r="L202" s="115">
        <f t="shared" si="271"/>
        <v>435768.34359999996</v>
      </c>
      <c r="M202" s="230"/>
      <c r="N202" s="115">
        <f t="shared" si="272"/>
        <v>260496.54759999999</v>
      </c>
      <c r="O202" s="230"/>
      <c r="P202" s="115">
        <f t="shared" si="273"/>
        <v>41824.116399999999</v>
      </c>
      <c r="Q202" s="230"/>
      <c r="R202" s="115">
        <f t="shared" si="274"/>
        <v>82813.605199999991</v>
      </c>
      <c r="S202" s="230"/>
      <c r="T202" s="115">
        <f t="shared" si="275"/>
        <v>27171.765199999998</v>
      </c>
      <c r="U202" s="230"/>
      <c r="V202" s="115">
        <f t="shared" si="276"/>
        <v>36630.877999999997</v>
      </c>
      <c r="W202" s="230"/>
      <c r="X202" s="115">
        <f t="shared" si="277"/>
        <v>42658.743999999999</v>
      </c>
      <c r="Y202" s="116"/>
      <c r="Z202" s="99">
        <f t="shared" si="291"/>
        <v>0</v>
      </c>
      <c r="AC202" s="62" t="s">
        <v>915</v>
      </c>
      <c r="AE202" s="154">
        <f t="shared" si="288"/>
        <v>3</v>
      </c>
      <c r="AG202" s="231">
        <f t="shared" si="289"/>
        <v>927364</v>
      </c>
      <c r="AH202" s="108"/>
      <c r="AI202" s="115">
        <f t="shared" si="278"/>
        <v>486309.68159999995</v>
      </c>
      <c r="AJ202" s="230"/>
      <c r="AK202" s="115">
        <f t="shared" si="279"/>
        <v>364732.26120000001</v>
      </c>
      <c r="AL202" s="230"/>
      <c r="AM202" s="115">
        <f t="shared" si="280"/>
        <v>0</v>
      </c>
      <c r="AN202" s="230"/>
      <c r="AO202" s="115">
        <f t="shared" si="281"/>
        <v>0</v>
      </c>
      <c r="AP202" s="230"/>
      <c r="AQ202" s="115">
        <f t="shared" si="282"/>
        <v>0</v>
      </c>
      <c r="AR202" s="230"/>
      <c r="AS202" s="115">
        <f t="shared" si="283"/>
        <v>0</v>
      </c>
      <c r="AT202" s="230"/>
      <c r="AU202" s="115">
        <f t="shared" si="284"/>
        <v>0</v>
      </c>
      <c r="AV202" s="230"/>
      <c r="AW202" s="115">
        <f t="shared" si="285"/>
        <v>35239.832000000002</v>
      </c>
      <c r="AX202" s="230"/>
      <c r="AY202" s="115">
        <f t="shared" si="286"/>
        <v>41082.225200000001</v>
      </c>
      <c r="BA202" s="99">
        <f t="shared" si="290"/>
        <v>0</v>
      </c>
      <c r="BB202" s="82"/>
      <c r="BC202" s="82"/>
      <c r="BD202" s="82"/>
    </row>
    <row r="203" spans="1:56" s="508" customFormat="1" x14ac:dyDescent="0.2">
      <c r="A203" s="464"/>
      <c r="B203" s="82">
        <f>+J199+J200+J201+J202+J203</f>
        <v>3675763</v>
      </c>
      <c r="C203" s="116">
        <f>+Linkin!L474</f>
        <v>-7.5026354999999993</v>
      </c>
      <c r="D203" s="412"/>
      <c r="E203" s="116"/>
      <c r="F203" s="62" t="s">
        <v>917</v>
      </c>
      <c r="G203" s="180"/>
      <c r="H203" s="181">
        <v>3</v>
      </c>
      <c r="I203" s="62"/>
      <c r="J203" s="232">
        <f t="shared" si="287"/>
        <v>1543037</v>
      </c>
      <c r="K203" s="108"/>
      <c r="L203" s="115">
        <f t="shared" si="271"/>
        <v>725073.08629999997</v>
      </c>
      <c r="M203" s="230"/>
      <c r="N203" s="115">
        <f t="shared" si="272"/>
        <v>433439.09329999995</v>
      </c>
      <c r="O203" s="230"/>
      <c r="P203" s="115">
        <f t="shared" si="273"/>
        <v>69590.968699999998</v>
      </c>
      <c r="Q203" s="230"/>
      <c r="R203" s="115">
        <f t="shared" si="274"/>
        <v>137793.20409999997</v>
      </c>
      <c r="S203" s="230"/>
      <c r="T203" s="115">
        <f t="shared" si="275"/>
        <v>45210.984100000001</v>
      </c>
      <c r="U203" s="230"/>
      <c r="V203" s="115">
        <f t="shared" si="276"/>
        <v>60949.961499999998</v>
      </c>
      <c r="W203" s="230"/>
      <c r="X203" s="115">
        <f t="shared" si="277"/>
        <v>70979.702000000005</v>
      </c>
      <c r="Y203" s="116"/>
      <c r="Z203" s="99">
        <f t="shared" si="291"/>
        <v>0</v>
      </c>
      <c r="AC203" s="62" t="s">
        <v>917</v>
      </c>
      <c r="AE203" s="154">
        <f t="shared" si="288"/>
        <v>3</v>
      </c>
      <c r="AG203" s="231">
        <f t="shared" si="289"/>
        <v>1543037</v>
      </c>
      <c r="AH203" s="108"/>
      <c r="AI203" s="115">
        <f t="shared" si="278"/>
        <v>809168.60279999999</v>
      </c>
      <c r="AJ203" s="230"/>
      <c r="AK203" s="115">
        <f t="shared" si="279"/>
        <v>606876.45209999999</v>
      </c>
      <c r="AL203" s="230"/>
      <c r="AM203" s="115">
        <f t="shared" si="280"/>
        <v>0</v>
      </c>
      <c r="AN203" s="230"/>
      <c r="AO203" s="115">
        <f t="shared" si="281"/>
        <v>0</v>
      </c>
      <c r="AP203" s="230"/>
      <c r="AQ203" s="115">
        <f t="shared" si="282"/>
        <v>0</v>
      </c>
      <c r="AR203" s="230"/>
      <c r="AS203" s="115">
        <f t="shared" si="283"/>
        <v>0</v>
      </c>
      <c r="AT203" s="230"/>
      <c r="AU203" s="115">
        <f t="shared" si="284"/>
        <v>0</v>
      </c>
      <c r="AV203" s="230"/>
      <c r="AW203" s="115">
        <f t="shared" si="285"/>
        <v>58635.405999999995</v>
      </c>
      <c r="AX203" s="230"/>
      <c r="AY203" s="115">
        <f t="shared" si="286"/>
        <v>68356.539099999995</v>
      </c>
      <c r="BA203" s="99">
        <f t="shared" si="290"/>
        <v>0</v>
      </c>
      <c r="BB203" s="82"/>
      <c r="BC203" s="82"/>
      <c r="BD203" s="82"/>
    </row>
    <row r="204" spans="1:56" x14ac:dyDescent="0.2">
      <c r="A204" s="300"/>
      <c r="B204" s="300"/>
      <c r="C204" s="116">
        <f>+Linkin!L475</f>
        <v>1276720.3840570084</v>
      </c>
      <c r="F204" s="120" t="s">
        <v>620</v>
      </c>
      <c r="G204" s="180"/>
      <c r="H204" s="181">
        <v>10</v>
      </c>
      <c r="I204" s="62"/>
      <c r="J204" s="232">
        <f t="shared" si="249"/>
        <v>1276720.3840570084</v>
      </c>
      <c r="K204" s="108"/>
      <c r="L204" s="115">
        <f t="shared" si="271"/>
        <v>1053549.6609238435</v>
      </c>
      <c r="M204" s="230"/>
      <c r="N204" s="115">
        <f t="shared" si="272"/>
        <v>142354.32282235645</v>
      </c>
      <c r="O204" s="230"/>
      <c r="P204" s="115">
        <f t="shared" si="273"/>
        <v>1404.3924224627094</v>
      </c>
      <c r="Q204" s="230"/>
      <c r="R204" s="115">
        <f t="shared" si="274"/>
        <v>17108.053146363913</v>
      </c>
      <c r="S204" s="230"/>
      <c r="T204" s="115">
        <f t="shared" si="275"/>
        <v>766.03223043420496</v>
      </c>
      <c r="U204" s="230"/>
      <c r="V204" s="115">
        <f t="shared" si="276"/>
        <v>61537.922511547804</v>
      </c>
      <c r="W204" s="230"/>
      <c r="X204" s="115">
        <f t="shared" si="277"/>
        <v>0</v>
      </c>
      <c r="Y204" s="116"/>
      <c r="Z204" s="99">
        <f t="shared" si="268"/>
        <v>0</v>
      </c>
      <c r="AC204" s="120" t="s">
        <v>620</v>
      </c>
      <c r="AE204" s="154">
        <f t="shared" si="288"/>
        <v>10</v>
      </c>
      <c r="AF204" s="481"/>
      <c r="AG204" s="231">
        <f t="shared" ref="AG204:AG233" si="292">+J204</f>
        <v>1276720.3840570084</v>
      </c>
      <c r="AH204" s="108"/>
      <c r="AI204" s="115">
        <f t="shared" si="278"/>
        <v>0</v>
      </c>
      <c r="AJ204" s="230"/>
      <c r="AK204" s="115">
        <f t="shared" si="279"/>
        <v>0</v>
      </c>
      <c r="AL204" s="230"/>
      <c r="AM204" s="115">
        <f t="shared" si="280"/>
        <v>0</v>
      </c>
      <c r="AN204" s="230"/>
      <c r="AO204" s="115">
        <f t="shared" si="281"/>
        <v>0</v>
      </c>
      <c r="AP204" s="230"/>
      <c r="AQ204" s="115">
        <f t="shared" si="282"/>
        <v>1215182.4615454606</v>
      </c>
      <c r="AR204" s="230"/>
      <c r="AS204" s="115">
        <f t="shared" si="283"/>
        <v>0</v>
      </c>
      <c r="AT204" s="230"/>
      <c r="AU204" s="115">
        <f t="shared" si="284"/>
        <v>0</v>
      </c>
      <c r="AV204" s="230"/>
      <c r="AW204" s="115">
        <f t="shared" si="285"/>
        <v>61537.922511547804</v>
      </c>
      <c r="AX204" s="230"/>
      <c r="AY204" s="115">
        <f t="shared" si="286"/>
        <v>0</v>
      </c>
      <c r="AZ204" s="481"/>
      <c r="BA204" s="99">
        <f t="shared" ref="BA204:BA233" si="293">SUM(AI204:AY204)-AG204</f>
        <v>0</v>
      </c>
      <c r="BB204" s="82"/>
      <c r="BC204" s="82"/>
      <c r="BD204" s="82"/>
    </row>
    <row r="205" spans="1:56" x14ac:dyDescent="0.2">
      <c r="A205" s="300"/>
      <c r="B205" s="300"/>
      <c r="C205" s="116">
        <f>+SUM(Linkin!L476:L480)</f>
        <v>526835.61244249123</v>
      </c>
      <c r="F205" s="120" t="s">
        <v>621</v>
      </c>
      <c r="G205" s="180"/>
      <c r="H205" s="181">
        <v>9</v>
      </c>
      <c r="I205" s="62"/>
      <c r="J205" s="232">
        <f t="shared" si="249"/>
        <v>526835.61244249123</v>
      </c>
      <c r="K205" s="108"/>
      <c r="L205" s="115">
        <f t="shared" si="271"/>
        <v>437010.14052104647</v>
      </c>
      <c r="M205" s="230"/>
      <c r="N205" s="115">
        <f t="shared" si="272"/>
        <v>68067.161127569867</v>
      </c>
      <c r="O205" s="230"/>
      <c r="P205" s="115">
        <f t="shared" si="273"/>
        <v>2054.6588885257156</v>
      </c>
      <c r="Q205" s="230"/>
      <c r="R205" s="115">
        <f t="shared" si="274"/>
        <v>12222.586208665796</v>
      </c>
      <c r="S205" s="230"/>
      <c r="T205" s="115">
        <f t="shared" si="275"/>
        <v>1211.7219086177297</v>
      </c>
      <c r="U205" s="230"/>
      <c r="V205" s="115">
        <f t="shared" si="276"/>
        <v>6269.3437880656456</v>
      </c>
      <c r="W205" s="230"/>
      <c r="X205" s="115">
        <f t="shared" si="277"/>
        <v>0</v>
      </c>
      <c r="Y205" s="116"/>
      <c r="Z205" s="99">
        <f t="shared" si="268"/>
        <v>0</v>
      </c>
      <c r="AC205" s="120" t="s">
        <v>621</v>
      </c>
      <c r="AE205" s="154">
        <f t="shared" si="288"/>
        <v>9</v>
      </c>
      <c r="AF205" s="481"/>
      <c r="AG205" s="231">
        <f t="shared" si="292"/>
        <v>526835.61244249123</v>
      </c>
      <c r="AH205" s="108"/>
      <c r="AI205" s="115">
        <f t="shared" si="278"/>
        <v>0</v>
      </c>
      <c r="AJ205" s="230"/>
      <c r="AK205" s="115">
        <f t="shared" si="279"/>
        <v>0</v>
      </c>
      <c r="AL205" s="230"/>
      <c r="AM205" s="115">
        <f t="shared" si="280"/>
        <v>0</v>
      </c>
      <c r="AN205" s="230"/>
      <c r="AO205" s="115">
        <f t="shared" si="281"/>
        <v>520566.26865442557</v>
      </c>
      <c r="AP205" s="230"/>
      <c r="AQ205" s="115">
        <f t="shared" si="282"/>
        <v>0</v>
      </c>
      <c r="AR205" s="230"/>
      <c r="AS205" s="115">
        <f t="shared" si="283"/>
        <v>0</v>
      </c>
      <c r="AT205" s="230"/>
      <c r="AU205" s="115">
        <f t="shared" si="284"/>
        <v>0</v>
      </c>
      <c r="AV205" s="230"/>
      <c r="AW205" s="115">
        <f t="shared" si="285"/>
        <v>6269.3437880656456</v>
      </c>
      <c r="AX205" s="230"/>
      <c r="AY205" s="115">
        <f t="shared" si="286"/>
        <v>0</v>
      </c>
      <c r="AZ205" s="481"/>
      <c r="BA205" s="99">
        <f t="shared" si="293"/>
        <v>0</v>
      </c>
      <c r="BB205" s="82"/>
      <c r="BC205" s="82"/>
      <c r="BD205" s="82"/>
    </row>
    <row r="206" spans="1:56" x14ac:dyDescent="0.2">
      <c r="A206" s="300"/>
      <c r="B206" s="300"/>
      <c r="C206" s="116">
        <f>+Linkin!L481+Linkin!L482</f>
        <v>723730.42080591619</v>
      </c>
      <c r="F206" s="120" t="s">
        <v>622</v>
      </c>
      <c r="G206" s="180"/>
      <c r="H206" s="181">
        <v>9</v>
      </c>
      <c r="I206" s="62"/>
      <c r="J206" s="232">
        <f t="shared" si="249"/>
        <v>723730.42080591619</v>
      </c>
      <c r="K206" s="108"/>
      <c r="L206" s="115">
        <f t="shared" si="271"/>
        <v>600334.38405850751</v>
      </c>
      <c r="M206" s="230"/>
      <c r="N206" s="115">
        <f t="shared" si="272"/>
        <v>93505.970368124385</v>
      </c>
      <c r="O206" s="230"/>
      <c r="P206" s="115">
        <f t="shared" si="273"/>
        <v>2822.5486411430729</v>
      </c>
      <c r="Q206" s="230"/>
      <c r="R206" s="115">
        <f t="shared" si="274"/>
        <v>16790.545762697253</v>
      </c>
      <c r="S206" s="230"/>
      <c r="T206" s="115">
        <f t="shared" si="275"/>
        <v>1664.5799678536073</v>
      </c>
      <c r="U206" s="230"/>
      <c r="V206" s="115">
        <f t="shared" si="276"/>
        <v>8612.3920075904025</v>
      </c>
      <c r="W206" s="230"/>
      <c r="X206" s="115">
        <f t="shared" si="277"/>
        <v>0</v>
      </c>
      <c r="Y206" s="116"/>
      <c r="Z206" s="99">
        <f t="shared" si="268"/>
        <v>0</v>
      </c>
      <c r="AC206" s="120" t="s">
        <v>622</v>
      </c>
      <c r="AE206" s="154">
        <f t="shared" si="288"/>
        <v>9</v>
      </c>
      <c r="AF206" s="481"/>
      <c r="AG206" s="231">
        <f t="shared" si="292"/>
        <v>723730.42080591619</v>
      </c>
      <c r="AH206" s="108"/>
      <c r="AI206" s="115">
        <f t="shared" si="278"/>
        <v>0</v>
      </c>
      <c r="AJ206" s="230"/>
      <c r="AK206" s="115">
        <f t="shared" si="279"/>
        <v>0</v>
      </c>
      <c r="AL206" s="230"/>
      <c r="AM206" s="115">
        <f t="shared" si="280"/>
        <v>0</v>
      </c>
      <c r="AN206" s="230"/>
      <c r="AO206" s="115">
        <f t="shared" si="281"/>
        <v>715118.0287983258</v>
      </c>
      <c r="AP206" s="230"/>
      <c r="AQ206" s="115">
        <f t="shared" si="282"/>
        <v>0</v>
      </c>
      <c r="AR206" s="230"/>
      <c r="AS206" s="115">
        <f t="shared" si="283"/>
        <v>0</v>
      </c>
      <c r="AT206" s="230"/>
      <c r="AU206" s="115">
        <f t="shared" si="284"/>
        <v>0</v>
      </c>
      <c r="AV206" s="230"/>
      <c r="AW206" s="115">
        <f t="shared" si="285"/>
        <v>8612.3920075904025</v>
      </c>
      <c r="AX206" s="230"/>
      <c r="AY206" s="115">
        <f t="shared" si="286"/>
        <v>0</v>
      </c>
      <c r="AZ206" s="481"/>
      <c r="BA206" s="99">
        <f t="shared" si="293"/>
        <v>0</v>
      </c>
      <c r="BB206" s="82"/>
      <c r="BC206" s="82"/>
      <c r="BD206" s="82"/>
    </row>
    <row r="207" spans="1:56" x14ac:dyDescent="0.2">
      <c r="A207" s="300"/>
      <c r="B207" s="300"/>
      <c r="C207" s="116">
        <f>+Linkin!L483</f>
        <v>359433.6803363341</v>
      </c>
      <c r="F207" s="120" t="s">
        <v>623</v>
      </c>
      <c r="G207" s="180"/>
      <c r="H207" s="181">
        <v>8</v>
      </c>
      <c r="I207" s="62"/>
      <c r="J207" s="232">
        <f t="shared" si="249"/>
        <v>359433.6803363341</v>
      </c>
      <c r="K207" s="108"/>
      <c r="L207" s="115">
        <f t="shared" si="271"/>
        <v>0</v>
      </c>
      <c r="M207" s="230"/>
      <c r="N207" s="115">
        <f t="shared" si="272"/>
        <v>0</v>
      </c>
      <c r="O207" s="230"/>
      <c r="P207" s="115">
        <f t="shared" si="273"/>
        <v>0</v>
      </c>
      <c r="Q207" s="230"/>
      <c r="R207" s="115">
        <f t="shared" si="274"/>
        <v>0</v>
      </c>
      <c r="S207" s="230"/>
      <c r="T207" s="115">
        <f t="shared" si="275"/>
        <v>0</v>
      </c>
      <c r="U207" s="230"/>
      <c r="V207" s="115">
        <f t="shared" si="276"/>
        <v>0</v>
      </c>
      <c r="W207" s="230"/>
      <c r="X207" s="115">
        <f t="shared" si="277"/>
        <v>359433.6803363341</v>
      </c>
      <c r="Y207" s="116"/>
      <c r="Z207" s="99">
        <f t="shared" si="268"/>
        <v>0</v>
      </c>
      <c r="AC207" s="120" t="s">
        <v>623</v>
      </c>
      <c r="AE207" s="154">
        <f t="shared" si="288"/>
        <v>8</v>
      </c>
      <c r="AF207" s="481"/>
      <c r="AG207" s="231">
        <f t="shared" si="292"/>
        <v>359433.6803363341</v>
      </c>
      <c r="AH207" s="108"/>
      <c r="AI207" s="115">
        <f t="shared" si="278"/>
        <v>0</v>
      </c>
      <c r="AJ207" s="230"/>
      <c r="AK207" s="115">
        <f t="shared" si="279"/>
        <v>0</v>
      </c>
      <c r="AL207" s="230"/>
      <c r="AM207" s="115">
        <f t="shared" si="280"/>
        <v>0</v>
      </c>
      <c r="AN207" s="230"/>
      <c r="AO207" s="115">
        <f t="shared" si="281"/>
        <v>0</v>
      </c>
      <c r="AP207" s="230"/>
      <c r="AQ207" s="115">
        <f t="shared" si="282"/>
        <v>0</v>
      </c>
      <c r="AR207" s="230"/>
      <c r="AS207" s="115">
        <f t="shared" si="283"/>
        <v>0</v>
      </c>
      <c r="AT207" s="230"/>
      <c r="AU207" s="115">
        <f t="shared" si="284"/>
        <v>0</v>
      </c>
      <c r="AV207" s="230"/>
      <c r="AW207" s="115">
        <f t="shared" si="285"/>
        <v>0</v>
      </c>
      <c r="AX207" s="230"/>
      <c r="AY207" s="115">
        <f t="shared" si="286"/>
        <v>359433.6803363341</v>
      </c>
      <c r="AZ207" s="481"/>
      <c r="BA207" s="99">
        <f t="shared" si="293"/>
        <v>0</v>
      </c>
      <c r="BB207" s="82"/>
      <c r="BC207" s="82"/>
      <c r="BD207" s="82"/>
    </row>
    <row r="208" spans="1:56" x14ac:dyDescent="0.2">
      <c r="A208" s="300"/>
      <c r="B208" s="300"/>
      <c r="C208" s="116">
        <f>+Linkin!L448+Linkin!L450</f>
        <v>157637.91115320829</v>
      </c>
      <c r="F208" s="120" t="s">
        <v>624</v>
      </c>
      <c r="G208" s="180"/>
      <c r="H208" s="181">
        <v>15</v>
      </c>
      <c r="I208" s="62"/>
      <c r="J208" s="232">
        <f t="shared" si="249"/>
        <v>157637.91115320829</v>
      </c>
      <c r="K208" s="108"/>
      <c r="L208" s="115">
        <f t="shared" si="271"/>
        <v>107871.62260214043</v>
      </c>
      <c r="M208" s="230"/>
      <c r="N208" s="115">
        <f t="shared" si="272"/>
        <v>29147.249772228213</v>
      </c>
      <c r="O208" s="230"/>
      <c r="P208" s="115">
        <f t="shared" si="273"/>
        <v>3641.4357476391115</v>
      </c>
      <c r="Q208" s="230"/>
      <c r="R208" s="115">
        <f t="shared" si="274"/>
        <v>7913.4231398910561</v>
      </c>
      <c r="S208" s="230"/>
      <c r="T208" s="115">
        <f t="shared" si="275"/>
        <v>2049.2928449917076</v>
      </c>
      <c r="U208" s="230"/>
      <c r="V208" s="115">
        <f t="shared" si="276"/>
        <v>2537.9703695666535</v>
      </c>
      <c r="W208" s="230"/>
      <c r="X208" s="115">
        <f t="shared" si="277"/>
        <v>4476.916676751116</v>
      </c>
      <c r="Y208" s="116"/>
      <c r="Z208" s="99">
        <f t="shared" si="268"/>
        <v>0</v>
      </c>
      <c r="AC208" s="120" t="s">
        <v>624</v>
      </c>
      <c r="AE208" s="154">
        <f t="shared" si="288"/>
        <v>15</v>
      </c>
      <c r="AF208" s="481"/>
      <c r="AG208" s="231">
        <f t="shared" si="292"/>
        <v>157637.91115320829</v>
      </c>
      <c r="AH208" s="108"/>
      <c r="AI208" s="115">
        <f t="shared" si="278"/>
        <v>40323.777672990684</v>
      </c>
      <c r="AJ208" s="230"/>
      <c r="AK208" s="115">
        <f t="shared" si="279"/>
        <v>23771.797001903808</v>
      </c>
      <c r="AL208" s="230"/>
      <c r="AM208" s="115">
        <f t="shared" si="280"/>
        <v>5075.940739133307</v>
      </c>
      <c r="AN208" s="230"/>
      <c r="AO208" s="115">
        <f t="shared" si="281"/>
        <v>26010.255340279367</v>
      </c>
      <c r="AP208" s="230"/>
      <c r="AQ208" s="115">
        <f t="shared" si="282"/>
        <v>10719.377958418165</v>
      </c>
      <c r="AR208" s="230"/>
      <c r="AS208" s="115">
        <f t="shared" si="283"/>
        <v>33403.473373364839</v>
      </c>
      <c r="AT208" s="230"/>
      <c r="AU208" s="115">
        <f t="shared" si="284"/>
        <v>11554.858887530168</v>
      </c>
      <c r="AV208" s="230"/>
      <c r="AW208" s="115">
        <f t="shared" si="285"/>
        <v>2301.5135028368409</v>
      </c>
      <c r="AX208" s="230"/>
      <c r="AY208" s="115">
        <f t="shared" si="286"/>
        <v>4476.916676751116</v>
      </c>
      <c r="AZ208" s="481"/>
      <c r="BA208" s="99">
        <f t="shared" si="293"/>
        <v>0</v>
      </c>
      <c r="BB208" s="82"/>
      <c r="BC208" s="82"/>
      <c r="BD208" s="82"/>
    </row>
    <row r="209" spans="1:56" ht="12.2" customHeight="1" x14ac:dyDescent="0.2">
      <c r="A209" s="300"/>
      <c r="B209" s="300"/>
      <c r="C209" s="116">
        <f>+Linkin!L449</f>
        <v>176786.51796279152</v>
      </c>
      <c r="F209" s="120" t="s">
        <v>919</v>
      </c>
      <c r="G209" s="180"/>
      <c r="H209" s="181">
        <v>15</v>
      </c>
      <c r="I209" s="62"/>
      <c r="J209" s="232">
        <f t="shared" si="249"/>
        <v>176786.51796279152</v>
      </c>
      <c r="K209" s="108"/>
      <c r="L209" s="115">
        <f t="shared" si="271"/>
        <v>120975.01424193825</v>
      </c>
      <c r="M209" s="230"/>
      <c r="N209" s="115">
        <f t="shared" si="272"/>
        <v>32687.827171320154</v>
      </c>
      <c r="O209" s="230"/>
      <c r="P209" s="115">
        <f t="shared" si="273"/>
        <v>4083.7685649404839</v>
      </c>
      <c r="Q209" s="230"/>
      <c r="R209" s="115">
        <f t="shared" si="274"/>
        <v>8874.683201732134</v>
      </c>
      <c r="S209" s="230"/>
      <c r="T209" s="115">
        <f t="shared" si="275"/>
        <v>2298.2247335162897</v>
      </c>
      <c r="U209" s="230"/>
      <c r="V209" s="115">
        <f t="shared" si="276"/>
        <v>2846.2629392009435</v>
      </c>
      <c r="W209" s="230"/>
      <c r="X209" s="115">
        <f t="shared" si="277"/>
        <v>5020.7371101432791</v>
      </c>
      <c r="Y209" s="116"/>
      <c r="Z209" s="99">
        <f t="shared" si="268"/>
        <v>0</v>
      </c>
      <c r="AC209" s="120" t="s">
        <v>625</v>
      </c>
      <c r="AE209" s="154">
        <f t="shared" si="288"/>
        <v>15</v>
      </c>
      <c r="AF209" s="481"/>
      <c r="AG209" s="231">
        <f t="shared" si="292"/>
        <v>176786.51796279152</v>
      </c>
      <c r="AH209" s="108"/>
      <c r="AI209" s="115">
        <f t="shared" si="278"/>
        <v>45221.991294882078</v>
      </c>
      <c r="AJ209" s="230"/>
      <c r="AK209" s="115">
        <f t="shared" si="279"/>
        <v>26659.406908788958</v>
      </c>
      <c r="AL209" s="230"/>
      <c r="AM209" s="115">
        <f t="shared" si="280"/>
        <v>5692.525878401887</v>
      </c>
      <c r="AN209" s="230"/>
      <c r="AO209" s="115">
        <f t="shared" si="281"/>
        <v>29169.775463860602</v>
      </c>
      <c r="AP209" s="230"/>
      <c r="AQ209" s="115">
        <f t="shared" si="282"/>
        <v>12021.483221469824</v>
      </c>
      <c r="AR209" s="230"/>
      <c r="AS209" s="115">
        <f t="shared" si="283"/>
        <v>37461.063156315526</v>
      </c>
      <c r="AT209" s="230"/>
      <c r="AU209" s="115">
        <f t="shared" si="284"/>
        <v>12958.451766672619</v>
      </c>
      <c r="AV209" s="230"/>
      <c r="AW209" s="115">
        <f t="shared" si="285"/>
        <v>2581.0831622567562</v>
      </c>
      <c r="AX209" s="230"/>
      <c r="AY209" s="115">
        <f t="shared" si="286"/>
        <v>5020.7371101432791</v>
      </c>
      <c r="AZ209" s="481"/>
      <c r="BA209" s="99">
        <f t="shared" si="293"/>
        <v>0</v>
      </c>
      <c r="BB209" s="82"/>
      <c r="BC209" s="82"/>
      <c r="BD209" s="82"/>
    </row>
    <row r="210" spans="1:56" x14ac:dyDescent="0.2">
      <c r="A210" s="300"/>
      <c r="B210" s="300"/>
      <c r="C210" s="116">
        <f>+Linkin!L451</f>
        <v>31089.408416000002</v>
      </c>
      <c r="F210" s="120" t="s">
        <v>626</v>
      </c>
      <c r="G210" s="180"/>
      <c r="H210" s="181">
        <v>15</v>
      </c>
      <c r="I210" s="62"/>
      <c r="J210" s="232">
        <f t="shared" si="249"/>
        <v>31089.408416000002</v>
      </c>
      <c r="K210" s="108"/>
      <c r="L210" s="115">
        <f t="shared" si="271"/>
        <v>21274.4821790688</v>
      </c>
      <c r="M210" s="230"/>
      <c r="N210" s="115">
        <f t="shared" si="272"/>
        <v>5748.4316161184006</v>
      </c>
      <c r="O210" s="230"/>
      <c r="P210" s="115">
        <f t="shared" si="273"/>
        <v>718.16533440960006</v>
      </c>
      <c r="Q210" s="230"/>
      <c r="R210" s="115">
        <f t="shared" si="274"/>
        <v>1560.6883024832002</v>
      </c>
      <c r="S210" s="230"/>
      <c r="T210" s="115">
        <f t="shared" si="275"/>
        <v>404.162309408</v>
      </c>
      <c r="U210" s="230"/>
      <c r="V210" s="115">
        <f t="shared" si="276"/>
        <v>500.53947549760005</v>
      </c>
      <c r="W210" s="230"/>
      <c r="X210" s="115">
        <f t="shared" si="277"/>
        <v>882.93919901440006</v>
      </c>
      <c r="Y210" s="116"/>
      <c r="Z210" s="99">
        <f t="shared" si="268"/>
        <v>0</v>
      </c>
      <c r="AC210" s="120" t="s">
        <v>626</v>
      </c>
      <c r="AE210" s="154">
        <f t="shared" si="288"/>
        <v>15</v>
      </c>
      <c r="AF210" s="481"/>
      <c r="AG210" s="231">
        <f t="shared" si="292"/>
        <v>31089.408416000002</v>
      </c>
      <c r="AH210" s="108"/>
      <c r="AI210" s="115">
        <f t="shared" si="278"/>
        <v>7952.6706728128011</v>
      </c>
      <c r="AJ210" s="230"/>
      <c r="AK210" s="115">
        <f t="shared" si="279"/>
        <v>4688.2827891327997</v>
      </c>
      <c r="AL210" s="230"/>
      <c r="AM210" s="115">
        <f t="shared" si="280"/>
        <v>1001.0789509952001</v>
      </c>
      <c r="AN210" s="230"/>
      <c r="AO210" s="115">
        <f t="shared" si="281"/>
        <v>5129.7523886400004</v>
      </c>
      <c r="AP210" s="230"/>
      <c r="AQ210" s="115">
        <f t="shared" si="282"/>
        <v>2114.0797722880002</v>
      </c>
      <c r="AR210" s="230"/>
      <c r="AS210" s="115">
        <f t="shared" si="283"/>
        <v>6587.8456433504007</v>
      </c>
      <c r="AT210" s="230"/>
      <c r="AU210" s="115">
        <f t="shared" si="284"/>
        <v>2278.8536368928003</v>
      </c>
      <c r="AV210" s="230"/>
      <c r="AW210" s="115">
        <f t="shared" si="285"/>
        <v>453.90536287360004</v>
      </c>
      <c r="AX210" s="230"/>
      <c r="AY210" s="115">
        <f t="shared" si="286"/>
        <v>882.93919901440006</v>
      </c>
      <c r="AZ210" s="481"/>
      <c r="BA210" s="99">
        <f t="shared" si="293"/>
        <v>0</v>
      </c>
      <c r="BB210" s="82"/>
      <c r="BC210" s="82"/>
      <c r="BD210" s="82"/>
    </row>
    <row r="211" spans="1:56" x14ac:dyDescent="0.2">
      <c r="A211" s="300"/>
      <c r="B211" s="300"/>
      <c r="C211" s="116">
        <f>+Linkin!L452</f>
        <v>83124.612776500056</v>
      </c>
      <c r="F211" s="120" t="s">
        <v>627</v>
      </c>
      <c r="G211" s="180"/>
      <c r="H211" s="181">
        <v>15</v>
      </c>
      <c r="I211" s="62"/>
      <c r="J211" s="232">
        <f t="shared" si="249"/>
        <v>83124.612776500056</v>
      </c>
      <c r="K211" s="108"/>
      <c r="L211" s="115">
        <f t="shared" si="271"/>
        <v>56882.172522958994</v>
      </c>
      <c r="M211" s="230"/>
      <c r="N211" s="115">
        <f t="shared" si="272"/>
        <v>15369.740902374861</v>
      </c>
      <c r="O211" s="230"/>
      <c r="P211" s="115">
        <f t="shared" si="273"/>
        <v>1920.1785551371513</v>
      </c>
      <c r="Q211" s="230"/>
      <c r="R211" s="115">
        <f t="shared" si="274"/>
        <v>4172.8555613803028</v>
      </c>
      <c r="S211" s="230"/>
      <c r="T211" s="115">
        <f t="shared" si="275"/>
        <v>1080.6199660945008</v>
      </c>
      <c r="U211" s="230"/>
      <c r="V211" s="115">
        <f t="shared" si="276"/>
        <v>1338.306265701651</v>
      </c>
      <c r="W211" s="230"/>
      <c r="X211" s="115">
        <f t="shared" si="277"/>
        <v>2360.7390028526015</v>
      </c>
      <c r="Y211" s="116"/>
      <c r="Z211" s="99">
        <f t="shared" si="268"/>
        <v>0</v>
      </c>
      <c r="AC211" s="120" t="s">
        <v>627</v>
      </c>
      <c r="AE211" s="154">
        <f t="shared" si="288"/>
        <v>15</v>
      </c>
      <c r="AF211" s="481"/>
      <c r="AG211" s="231">
        <f t="shared" si="292"/>
        <v>83124.612776500056</v>
      </c>
      <c r="AH211" s="108"/>
      <c r="AI211" s="115">
        <f t="shared" si="278"/>
        <v>21263.275948228718</v>
      </c>
      <c r="AJ211" s="230"/>
      <c r="AK211" s="115">
        <f t="shared" si="279"/>
        <v>12535.191606696208</v>
      </c>
      <c r="AL211" s="230"/>
      <c r="AM211" s="115">
        <f t="shared" si="280"/>
        <v>2676.612531403302</v>
      </c>
      <c r="AN211" s="230"/>
      <c r="AO211" s="115">
        <f t="shared" si="281"/>
        <v>13715.561108122511</v>
      </c>
      <c r="AP211" s="230"/>
      <c r="AQ211" s="115">
        <f t="shared" si="282"/>
        <v>5652.4736688020039</v>
      </c>
      <c r="AR211" s="230"/>
      <c r="AS211" s="115">
        <f t="shared" si="283"/>
        <v>17614.105447340364</v>
      </c>
      <c r="AT211" s="230"/>
      <c r="AU211" s="115">
        <f t="shared" si="284"/>
        <v>6093.0341165174541</v>
      </c>
      <c r="AV211" s="230"/>
      <c r="AW211" s="115">
        <f t="shared" si="285"/>
        <v>1213.6193465369008</v>
      </c>
      <c r="AX211" s="230"/>
      <c r="AY211" s="115">
        <f t="shared" si="286"/>
        <v>2360.7390028526015</v>
      </c>
      <c r="AZ211" s="481"/>
      <c r="BA211" s="99">
        <f t="shared" si="293"/>
        <v>0</v>
      </c>
      <c r="BB211" s="82"/>
      <c r="BC211" s="82"/>
      <c r="BD211" s="82"/>
    </row>
    <row r="212" spans="1:56" x14ac:dyDescent="0.2">
      <c r="A212" s="300"/>
      <c r="B212" s="300"/>
      <c r="C212" s="116">
        <f>+Linkin!L486</f>
        <v>43139.320229166704</v>
      </c>
      <c r="F212" s="120" t="s">
        <v>628</v>
      </c>
      <c r="G212" s="180"/>
      <c r="H212" s="181">
        <v>15</v>
      </c>
      <c r="I212" s="62"/>
      <c r="J212" s="232">
        <f t="shared" si="249"/>
        <v>43139.320229166704</v>
      </c>
      <c r="K212" s="108"/>
      <c r="L212" s="115">
        <f t="shared" si="271"/>
        <v>29520.236832818777</v>
      </c>
      <c r="M212" s="230"/>
      <c r="N212" s="115">
        <f t="shared" si="272"/>
        <v>7976.4603103729241</v>
      </c>
      <c r="O212" s="230"/>
      <c r="P212" s="115">
        <f t="shared" si="273"/>
        <v>996.51829729375083</v>
      </c>
      <c r="Q212" s="230"/>
      <c r="R212" s="115">
        <f t="shared" si="274"/>
        <v>2165.5938755041684</v>
      </c>
      <c r="S212" s="230"/>
      <c r="T212" s="115">
        <f t="shared" si="275"/>
        <v>560.81116297916708</v>
      </c>
      <c r="U212" s="230"/>
      <c r="V212" s="115">
        <f t="shared" si="276"/>
        <v>694.54305568958387</v>
      </c>
      <c r="W212" s="230"/>
      <c r="X212" s="115">
        <f t="shared" si="277"/>
        <v>1225.1566945083346</v>
      </c>
      <c r="Y212" s="116"/>
      <c r="Z212" s="99">
        <f t="shared" si="268"/>
        <v>0</v>
      </c>
      <c r="AC212" s="120" t="s">
        <v>628</v>
      </c>
      <c r="AE212" s="154">
        <f t="shared" si="288"/>
        <v>15</v>
      </c>
      <c r="AF212" s="481"/>
      <c r="AG212" s="231">
        <f t="shared" si="292"/>
        <v>43139.320229166704</v>
      </c>
      <c r="AH212" s="108"/>
      <c r="AI212" s="115">
        <f t="shared" si="278"/>
        <v>11035.038114620844</v>
      </c>
      <c r="AJ212" s="230"/>
      <c r="AK212" s="115">
        <f t="shared" si="279"/>
        <v>6505.4094905583388</v>
      </c>
      <c r="AL212" s="230"/>
      <c r="AM212" s="115">
        <f t="shared" si="280"/>
        <v>1389.0861113791677</v>
      </c>
      <c r="AN212" s="230"/>
      <c r="AO212" s="115">
        <f t="shared" si="281"/>
        <v>7117.9878378125068</v>
      </c>
      <c r="AP212" s="230"/>
      <c r="AQ212" s="115">
        <f t="shared" si="282"/>
        <v>2933.4737755833362</v>
      </c>
      <c r="AR212" s="230"/>
      <c r="AS212" s="115">
        <f t="shared" si="283"/>
        <v>9141.2219565604246</v>
      </c>
      <c r="AT212" s="230"/>
      <c r="AU212" s="115">
        <f t="shared" si="284"/>
        <v>3162.1121727979194</v>
      </c>
      <c r="AV212" s="230"/>
      <c r="AW212" s="115">
        <f t="shared" si="285"/>
        <v>629.83407534583387</v>
      </c>
      <c r="AX212" s="230"/>
      <c r="AY212" s="115">
        <f t="shared" si="286"/>
        <v>1225.1566945083346</v>
      </c>
      <c r="AZ212" s="481"/>
      <c r="BA212" s="99">
        <f t="shared" si="293"/>
        <v>0</v>
      </c>
      <c r="BB212" s="82"/>
      <c r="BC212" s="82"/>
      <c r="BD212" s="82"/>
    </row>
    <row r="213" spans="1:56" s="84" customFormat="1" x14ac:dyDescent="0.2">
      <c r="A213" s="300"/>
      <c r="B213" s="300"/>
      <c r="C213" s="116">
        <f>+Linkin!L487</f>
        <v>370913.59200000012</v>
      </c>
      <c r="D213" s="412"/>
      <c r="E213" s="116"/>
      <c r="F213" s="120" t="s">
        <v>629</v>
      </c>
      <c r="G213" s="180"/>
      <c r="H213" s="181">
        <v>15</v>
      </c>
      <c r="I213" s="62"/>
      <c r="J213" s="232">
        <f t="shared" si="249"/>
        <v>370913.59200000012</v>
      </c>
      <c r="K213" s="108"/>
      <c r="L213" s="115">
        <f t="shared" si="271"/>
        <v>253816.1710056001</v>
      </c>
      <c r="M213" s="230"/>
      <c r="N213" s="115">
        <f t="shared" si="272"/>
        <v>68581.923160800026</v>
      </c>
      <c r="O213" s="230"/>
      <c r="P213" s="115">
        <f t="shared" si="273"/>
        <v>8568.1039752000015</v>
      </c>
      <c r="Q213" s="230"/>
      <c r="R213" s="115">
        <f t="shared" si="274"/>
        <v>18619.862318400006</v>
      </c>
      <c r="S213" s="230"/>
      <c r="T213" s="115">
        <f t="shared" si="275"/>
        <v>4821.8766960000012</v>
      </c>
      <c r="U213" s="230"/>
      <c r="V213" s="115">
        <f t="shared" si="276"/>
        <v>5971.7088312000014</v>
      </c>
      <c r="W213" s="230"/>
      <c r="X213" s="115">
        <f t="shared" si="277"/>
        <v>10533.946012800005</v>
      </c>
      <c r="Y213" s="116"/>
      <c r="Z213" s="99">
        <f t="shared" si="268"/>
        <v>0</v>
      </c>
      <c r="AC213" s="120" t="s">
        <v>629</v>
      </c>
      <c r="AE213" s="154">
        <f t="shared" si="288"/>
        <v>15</v>
      </c>
      <c r="AF213" s="481"/>
      <c r="AG213" s="231">
        <f t="shared" si="292"/>
        <v>370913.59200000012</v>
      </c>
      <c r="AH213" s="108"/>
      <c r="AI213" s="115">
        <f t="shared" si="278"/>
        <v>94879.696833600043</v>
      </c>
      <c r="AJ213" s="230"/>
      <c r="AK213" s="115">
        <f t="shared" si="279"/>
        <v>55933.769673600014</v>
      </c>
      <c r="AL213" s="230"/>
      <c r="AM213" s="115">
        <f t="shared" si="280"/>
        <v>11943.417662400003</v>
      </c>
      <c r="AN213" s="230"/>
      <c r="AO213" s="115">
        <f t="shared" si="281"/>
        <v>61200.742680000025</v>
      </c>
      <c r="AP213" s="230"/>
      <c r="AQ213" s="115">
        <f t="shared" si="282"/>
        <v>25222.12425600001</v>
      </c>
      <c r="AR213" s="230"/>
      <c r="AS213" s="115">
        <f t="shared" si="283"/>
        <v>78596.590144800022</v>
      </c>
      <c r="AT213" s="230"/>
      <c r="AU213" s="115">
        <f t="shared" si="284"/>
        <v>27187.96629360001</v>
      </c>
      <c r="AV213" s="230"/>
      <c r="AW213" s="115">
        <f t="shared" si="285"/>
        <v>5415.3384432000021</v>
      </c>
      <c r="AX213" s="230"/>
      <c r="AY213" s="115">
        <f t="shared" si="286"/>
        <v>10533.946012800005</v>
      </c>
      <c r="AZ213" s="481"/>
      <c r="BA213" s="99">
        <f t="shared" si="293"/>
        <v>0</v>
      </c>
      <c r="BB213" s="82"/>
      <c r="BC213" s="82"/>
      <c r="BD213" s="82"/>
    </row>
    <row r="214" spans="1:56" s="84" customFormat="1" x14ac:dyDescent="0.2">
      <c r="A214" s="300"/>
      <c r="B214" s="300"/>
      <c r="C214" s="116">
        <f>+Linkin!L488</f>
        <v>-35921.645250000001</v>
      </c>
      <c r="D214" s="412"/>
      <c r="E214" s="116"/>
      <c r="F214" s="120" t="s">
        <v>630</v>
      </c>
      <c r="G214" s="180"/>
      <c r="H214" s="181">
        <v>15</v>
      </c>
      <c r="I214" s="62"/>
      <c r="J214" s="232">
        <f t="shared" si="249"/>
        <v>-35921.645250000001</v>
      </c>
      <c r="K214" s="108"/>
      <c r="L214" s="115">
        <f t="shared" si="271"/>
        <v>-24581.181844575003</v>
      </c>
      <c r="M214" s="230"/>
      <c r="N214" s="115">
        <f t="shared" si="272"/>
        <v>-6641.9122067250009</v>
      </c>
      <c r="O214" s="230"/>
      <c r="P214" s="115">
        <f t="shared" si="273"/>
        <v>-829.790005275</v>
      </c>
      <c r="Q214" s="230"/>
      <c r="R214" s="115">
        <f t="shared" si="274"/>
        <v>-1803.2665915500002</v>
      </c>
      <c r="S214" s="230"/>
      <c r="T214" s="115">
        <f t="shared" si="275"/>
        <v>-466.98138825000001</v>
      </c>
      <c r="U214" s="230"/>
      <c r="V214" s="115">
        <f t="shared" si="276"/>
        <v>-578.338488525</v>
      </c>
      <c r="W214" s="230"/>
      <c r="X214" s="115">
        <f t="shared" si="277"/>
        <v>-1020.1747251</v>
      </c>
      <c r="Y214" s="116"/>
      <c r="Z214" s="99">
        <f t="shared" si="268"/>
        <v>0</v>
      </c>
      <c r="AC214" s="120" t="s">
        <v>630</v>
      </c>
      <c r="AE214" s="154">
        <f t="shared" si="288"/>
        <v>15</v>
      </c>
      <c r="AF214" s="481"/>
      <c r="AG214" s="231">
        <f t="shared" si="292"/>
        <v>-35921.645250000001</v>
      </c>
      <c r="AH214" s="108"/>
      <c r="AI214" s="115">
        <f t="shared" si="278"/>
        <v>-9188.7568549500011</v>
      </c>
      <c r="AJ214" s="230"/>
      <c r="AK214" s="115">
        <f t="shared" si="279"/>
        <v>-5416.9841036999997</v>
      </c>
      <c r="AL214" s="230"/>
      <c r="AM214" s="115">
        <f t="shared" si="280"/>
        <v>-1156.67697705</v>
      </c>
      <c r="AN214" s="230"/>
      <c r="AO214" s="115">
        <f t="shared" si="281"/>
        <v>-5927.0714662500004</v>
      </c>
      <c r="AP214" s="230"/>
      <c r="AQ214" s="115">
        <f t="shared" si="282"/>
        <v>-2442.6718770000002</v>
      </c>
      <c r="AR214" s="230"/>
      <c r="AS214" s="115">
        <f t="shared" si="283"/>
        <v>-7611.796628475</v>
      </c>
      <c r="AT214" s="230"/>
      <c r="AU214" s="115">
        <f t="shared" si="284"/>
        <v>-2633.0565968250003</v>
      </c>
      <c r="AV214" s="230"/>
      <c r="AW214" s="115">
        <f t="shared" si="285"/>
        <v>-524.45602065000003</v>
      </c>
      <c r="AX214" s="230"/>
      <c r="AY214" s="115">
        <f t="shared" si="286"/>
        <v>-1020.1747251</v>
      </c>
      <c r="AZ214" s="481"/>
      <c r="BA214" s="99">
        <f t="shared" si="293"/>
        <v>0</v>
      </c>
      <c r="BB214" s="82"/>
      <c r="BC214" s="82"/>
      <c r="BD214" s="82"/>
    </row>
    <row r="215" spans="1:56" s="84" customFormat="1" x14ac:dyDescent="0.2">
      <c r="A215" s="300"/>
      <c r="B215" s="300"/>
      <c r="C215" s="116">
        <f>+Linkin!L489</f>
        <v>-4788.0894999999982</v>
      </c>
      <c r="D215" s="412"/>
      <c r="E215" s="116"/>
      <c r="F215" s="120" t="s">
        <v>631</v>
      </c>
      <c r="G215" s="180"/>
      <c r="H215" s="181">
        <v>15</v>
      </c>
      <c r="I215" s="62"/>
      <c r="J215" s="232">
        <f t="shared" si="249"/>
        <v>-4788.0894999999982</v>
      </c>
      <c r="K215" s="108"/>
      <c r="L215" s="115">
        <f t="shared" si="271"/>
        <v>-3276.489644849999</v>
      </c>
      <c r="M215" s="230"/>
      <c r="N215" s="115">
        <f t="shared" si="272"/>
        <v>-885.31774854999969</v>
      </c>
      <c r="O215" s="230"/>
      <c r="P215" s="115">
        <f t="shared" si="273"/>
        <v>-110.60486744999996</v>
      </c>
      <c r="Q215" s="230"/>
      <c r="R215" s="115">
        <f t="shared" si="274"/>
        <v>-240.36209289999991</v>
      </c>
      <c r="S215" s="230"/>
      <c r="T215" s="115">
        <f t="shared" si="275"/>
        <v>-62.245163499999975</v>
      </c>
      <c r="U215" s="230"/>
      <c r="V215" s="115">
        <f t="shared" si="276"/>
        <v>-77.088240949999971</v>
      </c>
      <c r="W215" s="230"/>
      <c r="X215" s="115">
        <f t="shared" si="277"/>
        <v>-135.98174179999995</v>
      </c>
      <c r="Y215" s="116"/>
      <c r="Z215" s="99">
        <f t="shared" si="268"/>
        <v>0</v>
      </c>
      <c r="AC215" s="120" t="s">
        <v>631</v>
      </c>
      <c r="AE215" s="154">
        <f t="shared" si="288"/>
        <v>15</v>
      </c>
      <c r="AF215" s="481"/>
      <c r="AG215" s="231">
        <f t="shared" si="292"/>
        <v>-4788.0894999999982</v>
      </c>
      <c r="AH215" s="108"/>
      <c r="AI215" s="115">
        <f t="shared" si="278"/>
        <v>-1224.7932940999997</v>
      </c>
      <c r="AJ215" s="230"/>
      <c r="AK215" s="115">
        <f t="shared" si="279"/>
        <v>-722.0438965999997</v>
      </c>
      <c r="AL215" s="230"/>
      <c r="AM215" s="115">
        <f t="shared" si="280"/>
        <v>-154.17648189999994</v>
      </c>
      <c r="AN215" s="230"/>
      <c r="AO215" s="115">
        <f t="shared" si="281"/>
        <v>-790.0347674999997</v>
      </c>
      <c r="AP215" s="230"/>
      <c r="AQ215" s="115">
        <f t="shared" si="282"/>
        <v>-325.59008599999993</v>
      </c>
      <c r="AR215" s="230"/>
      <c r="AS215" s="115">
        <f t="shared" si="283"/>
        <v>-1014.5961650499996</v>
      </c>
      <c r="AT215" s="230"/>
      <c r="AU215" s="115">
        <f t="shared" si="284"/>
        <v>-350.96696034999991</v>
      </c>
      <c r="AV215" s="230"/>
      <c r="AW215" s="115">
        <f t="shared" si="285"/>
        <v>-69.906106699999981</v>
      </c>
      <c r="AX215" s="230"/>
      <c r="AY215" s="115">
        <f t="shared" si="286"/>
        <v>-135.98174179999995</v>
      </c>
      <c r="AZ215" s="481"/>
      <c r="BA215" s="99">
        <f t="shared" si="293"/>
        <v>0</v>
      </c>
      <c r="BB215" s="82"/>
      <c r="BC215" s="82"/>
      <c r="BD215" s="82"/>
    </row>
    <row r="216" spans="1:56" x14ac:dyDescent="0.2">
      <c r="A216" s="300"/>
      <c r="B216" s="300"/>
      <c r="C216" s="116">
        <f>+Linkin!L491</f>
        <v>311699.79325000034</v>
      </c>
      <c r="F216" s="120" t="s">
        <v>632</v>
      </c>
      <c r="G216" s="180"/>
      <c r="H216" s="181">
        <v>15</v>
      </c>
      <c r="I216" s="62"/>
      <c r="J216" s="232">
        <f t="shared" si="249"/>
        <v>311699.79325000034</v>
      </c>
      <c r="K216" s="108"/>
      <c r="L216" s="115">
        <f t="shared" si="271"/>
        <v>213296.16852097525</v>
      </c>
      <c r="M216" s="230"/>
      <c r="N216" s="115">
        <f t="shared" si="272"/>
        <v>57633.291771925062</v>
      </c>
      <c r="O216" s="230"/>
      <c r="P216" s="115">
        <f t="shared" si="273"/>
        <v>7200.2652240750076</v>
      </c>
      <c r="Q216" s="230"/>
      <c r="R216" s="115">
        <f t="shared" si="274"/>
        <v>15647.329621150018</v>
      </c>
      <c r="S216" s="230"/>
      <c r="T216" s="115">
        <f t="shared" si="275"/>
        <v>4052.0973122500041</v>
      </c>
      <c r="U216" s="230"/>
      <c r="V216" s="115">
        <f t="shared" si="276"/>
        <v>5018.366671325005</v>
      </c>
      <c r="W216" s="230"/>
      <c r="X216" s="115">
        <f t="shared" si="277"/>
        <v>8852.2741283000105</v>
      </c>
      <c r="Y216" s="116"/>
      <c r="Z216" s="99">
        <f t="shared" si="268"/>
        <v>0</v>
      </c>
      <c r="AC216" s="120" t="s">
        <v>632</v>
      </c>
      <c r="AE216" s="154">
        <f t="shared" si="288"/>
        <v>15</v>
      </c>
      <c r="AF216" s="481"/>
      <c r="AG216" s="231">
        <f t="shared" si="292"/>
        <v>311699.79325000034</v>
      </c>
      <c r="AH216" s="108"/>
      <c r="AI216" s="115">
        <f t="shared" si="278"/>
        <v>79732.807113350093</v>
      </c>
      <c r="AJ216" s="230"/>
      <c r="AK216" s="115">
        <f t="shared" si="279"/>
        <v>47004.328822100048</v>
      </c>
      <c r="AL216" s="230"/>
      <c r="AM216" s="115">
        <f t="shared" si="280"/>
        <v>10036.73334265001</v>
      </c>
      <c r="AN216" s="230"/>
      <c r="AO216" s="115">
        <f t="shared" si="281"/>
        <v>51430.465886250058</v>
      </c>
      <c r="AP216" s="230"/>
      <c r="AQ216" s="115">
        <f t="shared" si="282"/>
        <v>21195.585941000023</v>
      </c>
      <c r="AR216" s="230"/>
      <c r="AS216" s="115">
        <f t="shared" si="283"/>
        <v>66049.186189675078</v>
      </c>
      <c r="AT216" s="230"/>
      <c r="AU216" s="115">
        <f t="shared" si="284"/>
        <v>22847.594845225027</v>
      </c>
      <c r="AV216" s="230"/>
      <c r="AW216" s="115">
        <f t="shared" si="285"/>
        <v>4550.8169814500052</v>
      </c>
      <c r="AX216" s="230"/>
      <c r="AY216" s="115">
        <f t="shared" si="286"/>
        <v>8852.2741283000105</v>
      </c>
      <c r="AZ216" s="481"/>
      <c r="BA216" s="99">
        <f t="shared" si="293"/>
        <v>0</v>
      </c>
      <c r="BB216" s="82"/>
      <c r="BC216" s="82"/>
      <c r="BD216" s="82"/>
    </row>
    <row r="217" spans="1:56" s="319" customFormat="1" x14ac:dyDescent="0.2">
      <c r="A217" s="314"/>
      <c r="B217" s="314"/>
      <c r="C217" s="116">
        <f>+Linkin!L492</f>
        <v>1170572.0719999999</v>
      </c>
      <c r="D217" s="414"/>
      <c r="E217" s="404"/>
      <c r="F217" s="120" t="s">
        <v>969</v>
      </c>
      <c r="G217" s="316"/>
      <c r="H217" s="317">
        <v>15</v>
      </c>
      <c r="I217" s="318"/>
      <c r="J217" s="232">
        <f t="shared" si="249"/>
        <v>1170572.0719999999</v>
      </c>
      <c r="K217" s="108"/>
      <c r="L217" s="115">
        <f t="shared" si="271"/>
        <v>801022.46886959998</v>
      </c>
      <c r="M217" s="230"/>
      <c r="N217" s="115">
        <f t="shared" si="272"/>
        <v>216438.7761128</v>
      </c>
      <c r="O217" s="230"/>
      <c r="P217" s="115">
        <f t="shared" si="273"/>
        <v>27040.214863199999</v>
      </c>
      <c r="Q217" s="230"/>
      <c r="R217" s="115">
        <f t="shared" si="274"/>
        <v>58762.718014400001</v>
      </c>
      <c r="S217" s="230"/>
      <c r="T217" s="115">
        <f t="shared" si="275"/>
        <v>15217.436935999998</v>
      </c>
      <c r="U217" s="230"/>
      <c r="V217" s="115">
        <f t="shared" si="276"/>
        <v>18846.210359199998</v>
      </c>
      <c r="W217" s="230"/>
      <c r="X217" s="115">
        <f t="shared" si="277"/>
        <v>33244.2468448</v>
      </c>
      <c r="Y217" s="116"/>
      <c r="Z217" s="99">
        <f t="shared" si="268"/>
        <v>0</v>
      </c>
      <c r="AC217" s="315" t="s">
        <v>633</v>
      </c>
      <c r="AE217" s="154">
        <f t="shared" si="288"/>
        <v>15</v>
      </c>
      <c r="AF217" s="481"/>
      <c r="AG217" s="231">
        <f t="shared" si="292"/>
        <v>1170572.0719999999</v>
      </c>
      <c r="AH217" s="108"/>
      <c r="AI217" s="115">
        <f t="shared" si="278"/>
        <v>299432.33601760003</v>
      </c>
      <c r="AJ217" s="230"/>
      <c r="AK217" s="115">
        <f t="shared" si="279"/>
        <v>176522.26845759997</v>
      </c>
      <c r="AL217" s="230"/>
      <c r="AM217" s="115">
        <f t="shared" si="280"/>
        <v>37692.420718399997</v>
      </c>
      <c r="AN217" s="230"/>
      <c r="AO217" s="115">
        <f t="shared" si="281"/>
        <v>193144.39188000001</v>
      </c>
      <c r="AP217" s="230"/>
      <c r="AQ217" s="115">
        <f t="shared" si="282"/>
        <v>79598.900896000006</v>
      </c>
      <c r="AR217" s="230"/>
      <c r="AS217" s="115">
        <f t="shared" si="283"/>
        <v>248044.2220568</v>
      </c>
      <c r="AT217" s="230"/>
      <c r="AU217" s="115">
        <f t="shared" si="284"/>
        <v>85802.932877600004</v>
      </c>
      <c r="AV217" s="230"/>
      <c r="AW217" s="115">
        <f t="shared" si="285"/>
        <v>17090.352251199998</v>
      </c>
      <c r="AX217" s="230"/>
      <c r="AY217" s="115">
        <f t="shared" si="286"/>
        <v>33244.2468448</v>
      </c>
      <c r="AZ217" s="481"/>
      <c r="BA217" s="99">
        <f t="shared" si="293"/>
        <v>0</v>
      </c>
      <c r="BB217" s="82"/>
      <c r="BC217" s="82"/>
      <c r="BD217" s="82"/>
    </row>
    <row r="218" spans="1:56" s="319" customFormat="1" x14ac:dyDescent="0.2">
      <c r="A218" s="314"/>
      <c r="B218" s="404">
        <f>+Linkin!$L$511</f>
        <v>0</v>
      </c>
      <c r="C218" s="404">
        <f>+B218*C317/B317</f>
        <v>0</v>
      </c>
      <c r="D218" s="414"/>
      <c r="E218" s="404"/>
      <c r="F218" s="120" t="s">
        <v>938</v>
      </c>
      <c r="G218" s="316"/>
      <c r="H218" s="317">
        <v>13</v>
      </c>
      <c r="I218" s="318"/>
      <c r="J218" s="232">
        <f t="shared" si="249"/>
        <v>0</v>
      </c>
      <c r="K218" s="108"/>
      <c r="L218" s="115">
        <f t="shared" si="271"/>
        <v>0</v>
      </c>
      <c r="M218" s="230"/>
      <c r="N218" s="115">
        <f t="shared" si="272"/>
        <v>0</v>
      </c>
      <c r="O218" s="230"/>
      <c r="P218" s="115">
        <f t="shared" si="273"/>
        <v>0</v>
      </c>
      <c r="Q218" s="230"/>
      <c r="R218" s="115">
        <f t="shared" si="274"/>
        <v>0</v>
      </c>
      <c r="S218" s="230"/>
      <c r="T218" s="115">
        <f t="shared" si="275"/>
        <v>0</v>
      </c>
      <c r="U218" s="230"/>
      <c r="V218" s="115">
        <f t="shared" si="276"/>
        <v>0</v>
      </c>
      <c r="W218" s="230"/>
      <c r="X218" s="115">
        <f t="shared" si="277"/>
        <v>0</v>
      </c>
      <c r="Y218" s="116"/>
      <c r="Z218" s="99">
        <f t="shared" si="268"/>
        <v>0</v>
      </c>
      <c r="AC218" s="120" t="s">
        <v>938</v>
      </c>
      <c r="AE218" s="154">
        <f t="shared" si="288"/>
        <v>13</v>
      </c>
      <c r="AF218" s="481"/>
      <c r="AG218" s="231">
        <f t="shared" ref="AG218:AG219" si="294">+J218</f>
        <v>0</v>
      </c>
      <c r="AH218" s="108"/>
      <c r="AI218" s="115">
        <f t="shared" si="278"/>
        <v>0</v>
      </c>
      <c r="AJ218" s="230"/>
      <c r="AK218" s="115">
        <f t="shared" si="279"/>
        <v>0</v>
      </c>
      <c r="AL218" s="230"/>
      <c r="AM218" s="115">
        <f t="shared" si="280"/>
        <v>0</v>
      </c>
      <c r="AN218" s="230"/>
      <c r="AO218" s="115">
        <f t="shared" si="281"/>
        <v>0</v>
      </c>
      <c r="AP218" s="230"/>
      <c r="AQ218" s="115">
        <f t="shared" si="282"/>
        <v>0</v>
      </c>
      <c r="AR218" s="230"/>
      <c r="AS218" s="115">
        <f t="shared" si="283"/>
        <v>0</v>
      </c>
      <c r="AT218" s="230"/>
      <c r="AU218" s="115">
        <f t="shared" si="284"/>
        <v>0</v>
      </c>
      <c r="AV218" s="230"/>
      <c r="AW218" s="115">
        <f t="shared" si="285"/>
        <v>0</v>
      </c>
      <c r="AX218" s="230"/>
      <c r="AY218" s="115">
        <f t="shared" si="286"/>
        <v>0</v>
      </c>
      <c r="AZ218" s="508"/>
      <c r="BA218" s="99">
        <f t="shared" ref="BA218:BA219" si="295">SUM(AI218:AY218)-AG218</f>
        <v>0</v>
      </c>
      <c r="BB218" s="82"/>
      <c r="BC218" s="82"/>
      <c r="BD218" s="82"/>
    </row>
    <row r="219" spans="1:56" s="319" customFormat="1" x14ac:dyDescent="0.2">
      <c r="A219" s="314"/>
      <c r="B219" s="314"/>
      <c r="C219" s="404">
        <f>+B218-C218</f>
        <v>0</v>
      </c>
      <c r="D219" s="414"/>
      <c r="E219" s="404"/>
      <c r="F219" s="120" t="s">
        <v>939</v>
      </c>
      <c r="G219" s="316"/>
      <c r="H219" s="317">
        <v>15</v>
      </c>
      <c r="I219" s="318"/>
      <c r="J219" s="232">
        <f t="shared" ref="J219" si="296">+C219</f>
        <v>0</v>
      </c>
      <c r="K219" s="108"/>
      <c r="L219" s="115">
        <f t="shared" si="271"/>
        <v>0</v>
      </c>
      <c r="M219" s="230"/>
      <c r="N219" s="115">
        <f t="shared" si="272"/>
        <v>0</v>
      </c>
      <c r="O219" s="230"/>
      <c r="P219" s="115">
        <f t="shared" si="273"/>
        <v>0</v>
      </c>
      <c r="Q219" s="230"/>
      <c r="R219" s="115">
        <f t="shared" si="274"/>
        <v>0</v>
      </c>
      <c r="S219" s="230"/>
      <c r="T219" s="115">
        <f t="shared" si="275"/>
        <v>0</v>
      </c>
      <c r="U219" s="230"/>
      <c r="V219" s="115">
        <f t="shared" si="276"/>
        <v>0</v>
      </c>
      <c r="W219" s="230"/>
      <c r="X219" s="115">
        <f t="shared" si="277"/>
        <v>0</v>
      </c>
      <c r="Y219" s="116"/>
      <c r="Z219" s="99">
        <f t="shared" ref="Z219" si="297">SUM(L219:X219)-J219</f>
        <v>0</v>
      </c>
      <c r="AC219" s="120" t="s">
        <v>939</v>
      </c>
      <c r="AE219" s="154">
        <f t="shared" si="288"/>
        <v>15</v>
      </c>
      <c r="AF219" s="508"/>
      <c r="AG219" s="231">
        <f t="shared" si="294"/>
        <v>0</v>
      </c>
      <c r="AH219" s="108"/>
      <c r="AI219" s="115">
        <f t="shared" si="278"/>
        <v>0</v>
      </c>
      <c r="AJ219" s="230"/>
      <c r="AK219" s="115">
        <f t="shared" si="279"/>
        <v>0</v>
      </c>
      <c r="AL219" s="230"/>
      <c r="AM219" s="115">
        <f t="shared" si="280"/>
        <v>0</v>
      </c>
      <c r="AN219" s="230"/>
      <c r="AO219" s="115">
        <f t="shared" si="281"/>
        <v>0</v>
      </c>
      <c r="AP219" s="230"/>
      <c r="AQ219" s="115">
        <f t="shared" si="282"/>
        <v>0</v>
      </c>
      <c r="AR219" s="230"/>
      <c r="AS219" s="115">
        <f t="shared" si="283"/>
        <v>0</v>
      </c>
      <c r="AT219" s="230"/>
      <c r="AU219" s="115">
        <f t="shared" si="284"/>
        <v>0</v>
      </c>
      <c r="AV219" s="230"/>
      <c r="AW219" s="115">
        <f t="shared" si="285"/>
        <v>0</v>
      </c>
      <c r="AX219" s="230"/>
      <c r="AY219" s="115">
        <f t="shared" si="286"/>
        <v>0</v>
      </c>
      <c r="AZ219" s="508"/>
      <c r="BA219" s="99">
        <f t="shared" si="295"/>
        <v>0</v>
      </c>
      <c r="BB219" s="82"/>
      <c r="BC219" s="82"/>
      <c r="BD219" s="82"/>
    </row>
    <row r="220" spans="1:56" s="319" customFormat="1" x14ac:dyDescent="0.2">
      <c r="A220" s="314"/>
      <c r="B220" s="314"/>
      <c r="C220" s="404">
        <f>+Linkin!L494+Linkin!L495</f>
        <v>-829.1105</v>
      </c>
      <c r="D220" s="414"/>
      <c r="E220" s="404"/>
      <c r="F220" s="315" t="s">
        <v>634</v>
      </c>
      <c r="G220" s="316"/>
      <c r="H220" s="317">
        <v>15</v>
      </c>
      <c r="I220" s="318"/>
      <c r="J220" s="232">
        <f t="shared" si="249"/>
        <v>-829.1105</v>
      </c>
      <c r="K220" s="108"/>
      <c r="L220" s="115">
        <f t="shared" si="271"/>
        <v>-567.36031515000002</v>
      </c>
      <c r="M220" s="230"/>
      <c r="N220" s="115">
        <f t="shared" si="272"/>
        <v>-153.30253145</v>
      </c>
      <c r="O220" s="230"/>
      <c r="P220" s="115">
        <f t="shared" si="273"/>
        <v>-19.15245255</v>
      </c>
      <c r="Q220" s="230"/>
      <c r="R220" s="115">
        <f t="shared" si="274"/>
        <v>-41.621347100000001</v>
      </c>
      <c r="S220" s="230"/>
      <c r="T220" s="115">
        <f t="shared" si="275"/>
        <v>-10.7784365</v>
      </c>
      <c r="U220" s="230"/>
      <c r="V220" s="115">
        <f t="shared" si="276"/>
        <v>-13.348679049999999</v>
      </c>
      <c r="W220" s="230"/>
      <c r="X220" s="115">
        <f t="shared" si="277"/>
        <v>-23.5467382</v>
      </c>
      <c r="Y220" s="116"/>
      <c r="Z220" s="99">
        <f t="shared" si="268"/>
        <v>0</v>
      </c>
      <c r="AC220" s="315" t="s">
        <v>634</v>
      </c>
      <c r="AE220" s="154">
        <f t="shared" si="288"/>
        <v>15</v>
      </c>
      <c r="AF220" s="481"/>
      <c r="AG220" s="231">
        <f t="shared" si="292"/>
        <v>-829.1105</v>
      </c>
      <c r="AH220" s="108"/>
      <c r="AI220" s="115">
        <f t="shared" si="278"/>
        <v>-212.08646590000004</v>
      </c>
      <c r="AJ220" s="230"/>
      <c r="AK220" s="115">
        <f t="shared" si="279"/>
        <v>-125.0298634</v>
      </c>
      <c r="AL220" s="230"/>
      <c r="AM220" s="115">
        <f t="shared" si="280"/>
        <v>-26.697358099999999</v>
      </c>
      <c r="AN220" s="230"/>
      <c r="AO220" s="115">
        <f t="shared" si="281"/>
        <v>-136.80323250000001</v>
      </c>
      <c r="AP220" s="230"/>
      <c r="AQ220" s="115">
        <f t="shared" si="282"/>
        <v>-56.379514000000007</v>
      </c>
      <c r="AR220" s="230"/>
      <c r="AS220" s="115">
        <f t="shared" si="283"/>
        <v>-175.68851495000001</v>
      </c>
      <c r="AT220" s="230"/>
      <c r="AU220" s="115">
        <f t="shared" si="284"/>
        <v>-60.773799650000001</v>
      </c>
      <c r="AV220" s="230"/>
      <c r="AW220" s="115">
        <f t="shared" si="285"/>
        <v>-12.1050133</v>
      </c>
      <c r="AX220" s="230"/>
      <c r="AY220" s="115">
        <f t="shared" si="286"/>
        <v>-23.5467382</v>
      </c>
      <c r="AZ220" s="481"/>
      <c r="BA220" s="99">
        <f t="shared" si="293"/>
        <v>0</v>
      </c>
      <c r="BB220" s="82"/>
      <c r="BC220" s="82"/>
      <c r="BD220" s="82"/>
    </row>
    <row r="221" spans="1:56" x14ac:dyDescent="0.2">
      <c r="A221" s="300"/>
      <c r="B221" s="300"/>
      <c r="C221" s="116">
        <f>+Linkin!L496</f>
        <v>380.85622183333322</v>
      </c>
      <c r="F221" s="120" t="s">
        <v>635</v>
      </c>
      <c r="G221" s="180"/>
      <c r="H221" s="181">
        <v>15</v>
      </c>
      <c r="I221" s="62"/>
      <c r="J221" s="232">
        <f t="shared" si="249"/>
        <v>380.85622183333322</v>
      </c>
      <c r="K221" s="108"/>
      <c r="L221" s="115">
        <f t="shared" si="271"/>
        <v>260.61991260054992</v>
      </c>
      <c r="M221" s="230"/>
      <c r="N221" s="115">
        <f t="shared" si="272"/>
        <v>70.420315416983314</v>
      </c>
      <c r="O221" s="230"/>
      <c r="P221" s="115">
        <f t="shared" si="273"/>
        <v>8.7977787243499979</v>
      </c>
      <c r="Q221" s="230"/>
      <c r="R221" s="115">
        <f t="shared" si="274"/>
        <v>19.11898233603333</v>
      </c>
      <c r="S221" s="230"/>
      <c r="T221" s="115">
        <f t="shared" si="275"/>
        <v>4.9511308838333319</v>
      </c>
      <c r="U221" s="230"/>
      <c r="V221" s="115">
        <f t="shared" si="276"/>
        <v>6.1317851715166647</v>
      </c>
      <c r="W221" s="230"/>
      <c r="X221" s="115">
        <f t="shared" si="277"/>
        <v>10.816316700066665</v>
      </c>
      <c r="Y221" s="116"/>
      <c r="Z221" s="99">
        <f t="shared" si="268"/>
        <v>0</v>
      </c>
      <c r="AC221" s="120" t="s">
        <v>635</v>
      </c>
      <c r="AE221" s="154">
        <f t="shared" si="288"/>
        <v>15</v>
      </c>
      <c r="AF221" s="481"/>
      <c r="AG221" s="231">
        <f t="shared" si="292"/>
        <v>380.85622183333322</v>
      </c>
      <c r="AH221" s="108"/>
      <c r="AI221" s="115">
        <f t="shared" si="278"/>
        <v>97.423021544966645</v>
      </c>
      <c r="AJ221" s="230"/>
      <c r="AK221" s="115">
        <f t="shared" si="279"/>
        <v>57.433118252466649</v>
      </c>
      <c r="AL221" s="230"/>
      <c r="AM221" s="115">
        <f t="shared" si="280"/>
        <v>12.263570343033329</v>
      </c>
      <c r="AN221" s="230"/>
      <c r="AO221" s="115">
        <f t="shared" si="281"/>
        <v>62.841276602499981</v>
      </c>
      <c r="AP221" s="230"/>
      <c r="AQ221" s="115">
        <f t="shared" si="282"/>
        <v>25.898223084666661</v>
      </c>
      <c r="AR221" s="230"/>
      <c r="AS221" s="115">
        <f t="shared" si="283"/>
        <v>80.703433406483313</v>
      </c>
      <c r="AT221" s="230"/>
      <c r="AU221" s="115">
        <f t="shared" si="284"/>
        <v>27.916761060383326</v>
      </c>
      <c r="AV221" s="230"/>
      <c r="AW221" s="115">
        <f t="shared" si="285"/>
        <v>5.5605008387666652</v>
      </c>
      <c r="AX221" s="230"/>
      <c r="AY221" s="115">
        <f t="shared" si="286"/>
        <v>10.816316700066665</v>
      </c>
      <c r="AZ221" s="481"/>
      <c r="BA221" s="99">
        <f t="shared" si="293"/>
        <v>0</v>
      </c>
      <c r="BB221" s="82"/>
      <c r="BC221" s="82"/>
      <c r="BD221" s="82"/>
    </row>
    <row r="222" spans="1:56" x14ac:dyDescent="0.2">
      <c r="A222" s="300"/>
      <c r="B222" s="300"/>
      <c r="C222" s="116">
        <f>+Linkin!$L497</f>
        <v>159576.34242550004</v>
      </c>
      <c r="F222" s="120" t="s">
        <v>636</v>
      </c>
      <c r="G222" s="180"/>
      <c r="H222" s="181">
        <v>15</v>
      </c>
      <c r="I222" s="62"/>
      <c r="J222" s="232">
        <f t="shared" si="249"/>
        <v>159576.34242550004</v>
      </c>
      <c r="K222" s="108"/>
      <c r="L222" s="115">
        <f t="shared" si="271"/>
        <v>109198.09112176968</v>
      </c>
      <c r="M222" s="230"/>
      <c r="N222" s="115">
        <f t="shared" si="272"/>
        <v>29505.665714474959</v>
      </c>
      <c r="O222" s="230"/>
      <c r="P222" s="115">
        <f t="shared" si="273"/>
        <v>3686.2135100290507</v>
      </c>
      <c r="Q222" s="230"/>
      <c r="R222" s="115">
        <f t="shared" si="274"/>
        <v>8010.7323897601027</v>
      </c>
      <c r="S222" s="230"/>
      <c r="T222" s="115">
        <f t="shared" si="275"/>
        <v>2074.4924515315006</v>
      </c>
      <c r="U222" s="230"/>
      <c r="V222" s="115">
        <f t="shared" si="276"/>
        <v>2569.1791130505508</v>
      </c>
      <c r="W222" s="230"/>
      <c r="X222" s="115">
        <f t="shared" si="277"/>
        <v>4531.9681248842016</v>
      </c>
      <c r="Y222" s="116"/>
      <c r="Z222" s="99">
        <f t="shared" si="268"/>
        <v>0</v>
      </c>
      <c r="AC222" s="120" t="s">
        <v>636</v>
      </c>
      <c r="AE222" s="154">
        <f t="shared" si="288"/>
        <v>15</v>
      </c>
      <c r="AF222" s="481"/>
      <c r="AG222" s="231">
        <f t="shared" si="292"/>
        <v>159576.34242550004</v>
      </c>
      <c r="AH222" s="108"/>
      <c r="AI222" s="115">
        <f t="shared" si="278"/>
        <v>40819.628392442915</v>
      </c>
      <c r="AJ222" s="230"/>
      <c r="AK222" s="115">
        <f t="shared" si="279"/>
        <v>24064.112437765405</v>
      </c>
      <c r="AL222" s="230"/>
      <c r="AM222" s="115">
        <f t="shared" si="280"/>
        <v>5138.3582261011015</v>
      </c>
      <c r="AN222" s="230"/>
      <c r="AO222" s="115">
        <f t="shared" si="281"/>
        <v>26330.09650020751</v>
      </c>
      <c r="AP222" s="230"/>
      <c r="AQ222" s="115">
        <f t="shared" si="282"/>
        <v>10851.191284934004</v>
      </c>
      <c r="AR222" s="230"/>
      <c r="AS222" s="115">
        <f t="shared" si="283"/>
        <v>33814.22695996346</v>
      </c>
      <c r="AT222" s="230"/>
      <c r="AU222" s="115">
        <f t="shared" si="284"/>
        <v>11696.945899789154</v>
      </c>
      <c r="AV222" s="230"/>
      <c r="AW222" s="115">
        <f t="shared" si="285"/>
        <v>2329.8145994123006</v>
      </c>
      <c r="AX222" s="230"/>
      <c r="AY222" s="115">
        <f t="shared" si="286"/>
        <v>4531.9681248842016</v>
      </c>
      <c r="AZ222" s="481"/>
      <c r="BA222" s="99">
        <f t="shared" si="293"/>
        <v>0</v>
      </c>
      <c r="BB222" s="82"/>
      <c r="BC222" s="82"/>
      <c r="BD222" s="82"/>
    </row>
    <row r="223" spans="1:56" x14ac:dyDescent="0.2">
      <c r="A223" s="300"/>
      <c r="B223" s="300"/>
      <c r="C223" s="116">
        <f>+Linkin!$L498</f>
        <v>203463.55865383334</v>
      </c>
      <c r="F223" s="120" t="s">
        <v>637</v>
      </c>
      <c r="G223" s="180"/>
      <c r="H223" s="181">
        <v>15</v>
      </c>
      <c r="I223" s="62"/>
      <c r="J223" s="232">
        <f t="shared" si="249"/>
        <v>203463.55865383334</v>
      </c>
      <c r="K223" s="108"/>
      <c r="L223" s="115">
        <f t="shared" si="271"/>
        <v>139230.11318681817</v>
      </c>
      <c r="M223" s="230"/>
      <c r="N223" s="115">
        <f t="shared" si="272"/>
        <v>37620.411995093789</v>
      </c>
      <c r="O223" s="230"/>
      <c r="P223" s="115">
        <f t="shared" si="273"/>
        <v>4700.00820490355</v>
      </c>
      <c r="Q223" s="230"/>
      <c r="R223" s="115">
        <f t="shared" si="274"/>
        <v>10213.870644422434</v>
      </c>
      <c r="S223" s="230"/>
      <c r="T223" s="115">
        <f t="shared" si="275"/>
        <v>2645.0262624998331</v>
      </c>
      <c r="U223" s="230"/>
      <c r="V223" s="115">
        <f t="shared" si="276"/>
        <v>3275.7632943267167</v>
      </c>
      <c r="W223" s="230"/>
      <c r="X223" s="115">
        <f t="shared" si="277"/>
        <v>5778.3650657688677</v>
      </c>
      <c r="Y223" s="116"/>
      <c r="Z223" s="99">
        <f t="shared" si="268"/>
        <v>0</v>
      </c>
      <c r="AC223" s="120" t="s">
        <v>637</v>
      </c>
      <c r="AE223" s="154">
        <f t="shared" si="288"/>
        <v>15</v>
      </c>
      <c r="AF223" s="481"/>
      <c r="AG223" s="231">
        <f t="shared" si="292"/>
        <v>203463.55865383334</v>
      </c>
      <c r="AH223" s="108"/>
      <c r="AI223" s="115">
        <f t="shared" si="278"/>
        <v>52045.978303650576</v>
      </c>
      <c r="AJ223" s="230"/>
      <c r="AK223" s="115">
        <f t="shared" si="279"/>
        <v>30682.304644998065</v>
      </c>
      <c r="AL223" s="230"/>
      <c r="AM223" s="115">
        <f t="shared" si="280"/>
        <v>6551.5265886534335</v>
      </c>
      <c r="AN223" s="230"/>
      <c r="AO223" s="115">
        <f t="shared" si="281"/>
        <v>33571.487177882504</v>
      </c>
      <c r="AP223" s="230"/>
      <c r="AQ223" s="115">
        <f t="shared" si="282"/>
        <v>13835.521988460669</v>
      </c>
      <c r="AR223" s="230"/>
      <c r="AS223" s="115">
        <f t="shared" si="283"/>
        <v>43113.928078747289</v>
      </c>
      <c r="AT223" s="230"/>
      <c r="AU223" s="115">
        <f t="shared" si="284"/>
        <v>14913.878849325985</v>
      </c>
      <c r="AV223" s="230"/>
      <c r="AW223" s="115">
        <f t="shared" si="285"/>
        <v>2970.5679563459666</v>
      </c>
      <c r="AX223" s="230"/>
      <c r="AY223" s="115">
        <f t="shared" si="286"/>
        <v>5778.3650657688677</v>
      </c>
      <c r="AZ223" s="481"/>
      <c r="BA223" s="99">
        <f t="shared" si="293"/>
        <v>0</v>
      </c>
      <c r="BB223" s="82"/>
      <c r="BC223" s="82"/>
      <c r="BD223" s="82"/>
    </row>
    <row r="224" spans="1:56" x14ac:dyDescent="0.2">
      <c r="A224" s="300"/>
      <c r="B224" s="300"/>
      <c r="C224" s="116">
        <f>+Linkin!$L499</f>
        <v>32214.73210687501</v>
      </c>
      <c r="F224" s="120" t="s">
        <v>638</v>
      </c>
      <c r="G224" s="180"/>
      <c r="H224" s="181">
        <v>15</v>
      </c>
      <c r="I224" s="62"/>
      <c r="J224" s="232">
        <f t="shared" si="249"/>
        <v>32214.73210687501</v>
      </c>
      <c r="K224" s="108"/>
      <c r="L224" s="115">
        <f t="shared" si="271"/>
        <v>22044.54118073457</v>
      </c>
      <c r="M224" s="230"/>
      <c r="N224" s="115">
        <f t="shared" si="272"/>
        <v>5956.5039665611894</v>
      </c>
      <c r="O224" s="230"/>
      <c r="P224" s="115">
        <f t="shared" si="273"/>
        <v>744.16031166881271</v>
      </c>
      <c r="Q224" s="230"/>
      <c r="R224" s="115">
        <f t="shared" si="274"/>
        <v>1617.1795517651256</v>
      </c>
      <c r="S224" s="230"/>
      <c r="T224" s="115">
        <f t="shared" si="275"/>
        <v>418.79151738937509</v>
      </c>
      <c r="U224" s="230"/>
      <c r="V224" s="115">
        <f t="shared" si="276"/>
        <v>518.65718692068765</v>
      </c>
      <c r="W224" s="230"/>
      <c r="X224" s="115">
        <f t="shared" si="277"/>
        <v>914.89839183525032</v>
      </c>
      <c r="Y224" s="116"/>
      <c r="Z224" s="99">
        <f t="shared" si="268"/>
        <v>0</v>
      </c>
      <c r="AC224" s="120" t="s">
        <v>638</v>
      </c>
      <c r="AE224" s="154">
        <f t="shared" si="288"/>
        <v>15</v>
      </c>
      <c r="AF224" s="481"/>
      <c r="AG224" s="231">
        <f t="shared" si="292"/>
        <v>32214.73210687501</v>
      </c>
      <c r="AH224" s="108"/>
      <c r="AI224" s="115">
        <f t="shared" si="278"/>
        <v>8240.5284729386276</v>
      </c>
      <c r="AJ224" s="230"/>
      <c r="AK224" s="115">
        <f t="shared" si="279"/>
        <v>4857.9816017167514</v>
      </c>
      <c r="AL224" s="230"/>
      <c r="AM224" s="115">
        <f t="shared" si="280"/>
        <v>1037.3143738413753</v>
      </c>
      <c r="AN224" s="230"/>
      <c r="AO224" s="115">
        <f t="shared" si="281"/>
        <v>5315.4307976343771</v>
      </c>
      <c r="AP224" s="230"/>
      <c r="AQ224" s="115">
        <f t="shared" si="282"/>
        <v>2190.6017832675007</v>
      </c>
      <c r="AR224" s="230"/>
      <c r="AS224" s="115">
        <f t="shared" si="283"/>
        <v>6826.301733446815</v>
      </c>
      <c r="AT224" s="230"/>
      <c r="AU224" s="115">
        <f t="shared" si="284"/>
        <v>2361.3398634339383</v>
      </c>
      <c r="AV224" s="230"/>
      <c r="AW224" s="115">
        <f t="shared" si="285"/>
        <v>470.33508876037513</v>
      </c>
      <c r="AX224" s="230"/>
      <c r="AY224" s="115">
        <f t="shared" si="286"/>
        <v>914.89839183525032</v>
      </c>
      <c r="AZ224" s="481"/>
      <c r="BA224" s="99">
        <f t="shared" si="293"/>
        <v>0</v>
      </c>
      <c r="BB224" s="82"/>
      <c r="BC224" s="82"/>
      <c r="BD224" s="82"/>
    </row>
    <row r="225" spans="1:56" x14ac:dyDescent="0.2">
      <c r="A225" s="300"/>
      <c r="B225" s="300"/>
      <c r="C225" s="116">
        <f>+Linkin!$L500</f>
        <v>90576.175298916743</v>
      </c>
      <c r="F225" s="120" t="s">
        <v>639</v>
      </c>
      <c r="G225" s="180"/>
      <c r="H225" s="181">
        <v>15</v>
      </c>
      <c r="I225" s="62"/>
      <c r="J225" s="232">
        <f t="shared" si="249"/>
        <v>90576.175298916743</v>
      </c>
      <c r="K225" s="108"/>
      <c r="L225" s="115">
        <f t="shared" si="271"/>
        <v>61981.276757048727</v>
      </c>
      <c r="M225" s="230"/>
      <c r="N225" s="115">
        <f t="shared" si="272"/>
        <v>16747.534812769707</v>
      </c>
      <c r="O225" s="230"/>
      <c r="P225" s="115">
        <f t="shared" si="273"/>
        <v>2092.3096494049769</v>
      </c>
      <c r="Q225" s="230"/>
      <c r="R225" s="115">
        <f t="shared" si="274"/>
        <v>4546.9240000056207</v>
      </c>
      <c r="S225" s="230"/>
      <c r="T225" s="115">
        <f t="shared" si="275"/>
        <v>1177.4902788859176</v>
      </c>
      <c r="U225" s="230"/>
      <c r="V225" s="115">
        <f t="shared" si="276"/>
        <v>1458.2764223125596</v>
      </c>
      <c r="W225" s="230"/>
      <c r="X225" s="115">
        <f t="shared" si="277"/>
        <v>2572.3633784892359</v>
      </c>
      <c r="Y225" s="116"/>
      <c r="Z225" s="99">
        <f t="shared" si="268"/>
        <v>0</v>
      </c>
      <c r="AC225" s="120" t="s">
        <v>639</v>
      </c>
      <c r="AE225" s="154">
        <f t="shared" si="288"/>
        <v>15</v>
      </c>
      <c r="AF225" s="481"/>
      <c r="AG225" s="231">
        <f t="shared" si="292"/>
        <v>90576.175298916743</v>
      </c>
      <c r="AH225" s="108"/>
      <c r="AI225" s="115">
        <f t="shared" si="278"/>
        <v>23169.385641462904</v>
      </c>
      <c r="AJ225" s="230"/>
      <c r="AK225" s="115">
        <f t="shared" si="279"/>
        <v>13658.887235076643</v>
      </c>
      <c r="AL225" s="230"/>
      <c r="AM225" s="115">
        <f t="shared" si="280"/>
        <v>2916.5528446251192</v>
      </c>
      <c r="AN225" s="230"/>
      <c r="AO225" s="115">
        <f t="shared" si="281"/>
        <v>14945.068924321264</v>
      </c>
      <c r="AP225" s="230"/>
      <c r="AQ225" s="115">
        <f t="shared" si="282"/>
        <v>6159.179920326339</v>
      </c>
      <c r="AR225" s="230"/>
      <c r="AS225" s="115">
        <f t="shared" si="283"/>
        <v>19193.09154584046</v>
      </c>
      <c r="AT225" s="230"/>
      <c r="AU225" s="115">
        <f t="shared" si="284"/>
        <v>6639.2336494105975</v>
      </c>
      <c r="AV225" s="230"/>
      <c r="AW225" s="115">
        <f t="shared" si="285"/>
        <v>1322.4121593641844</v>
      </c>
      <c r="AX225" s="230"/>
      <c r="AY225" s="115">
        <f t="shared" si="286"/>
        <v>2572.3633784892359</v>
      </c>
      <c r="AZ225" s="481"/>
      <c r="BA225" s="99">
        <f t="shared" si="293"/>
        <v>0</v>
      </c>
      <c r="BB225" s="82"/>
      <c r="BC225" s="82"/>
      <c r="BD225" s="82"/>
    </row>
    <row r="226" spans="1:56" x14ac:dyDescent="0.2">
      <c r="A226" s="222"/>
      <c r="B226" s="223"/>
      <c r="C226" s="116">
        <f>+Linkin!$L501</f>
        <v>2591.5387499999983</v>
      </c>
      <c r="F226" s="120" t="s">
        <v>640</v>
      </c>
      <c r="G226" s="180"/>
      <c r="H226" s="181">
        <v>15</v>
      </c>
      <c r="I226" s="62"/>
      <c r="J226" s="232">
        <f t="shared" si="249"/>
        <v>2591.5387499999983</v>
      </c>
      <c r="K226" s="108"/>
      <c r="L226" s="115">
        <f t="shared" si="271"/>
        <v>1773.3899666249988</v>
      </c>
      <c r="M226" s="230"/>
      <c r="N226" s="115">
        <f t="shared" si="272"/>
        <v>479.17551487499969</v>
      </c>
      <c r="O226" s="230"/>
      <c r="P226" s="115">
        <f t="shared" si="273"/>
        <v>59.864545124999957</v>
      </c>
      <c r="Q226" s="230"/>
      <c r="R226" s="115">
        <f t="shared" si="274"/>
        <v>130.09524524999992</v>
      </c>
      <c r="S226" s="230"/>
      <c r="T226" s="115">
        <f t="shared" si="275"/>
        <v>33.690003749999974</v>
      </c>
      <c r="U226" s="230"/>
      <c r="V226" s="115">
        <f t="shared" si="276"/>
        <v>41.723773874999971</v>
      </c>
      <c r="W226" s="230"/>
      <c r="X226" s="115">
        <f t="shared" si="277"/>
        <v>73.599700499999955</v>
      </c>
      <c r="Y226" s="116"/>
      <c r="Z226" s="99">
        <f t="shared" si="268"/>
        <v>0</v>
      </c>
      <c r="AC226" s="120" t="s">
        <v>640</v>
      </c>
      <c r="AE226" s="154">
        <f t="shared" si="288"/>
        <v>15</v>
      </c>
      <c r="AF226" s="481"/>
      <c r="AG226" s="231">
        <f t="shared" si="292"/>
        <v>2591.5387499999983</v>
      </c>
      <c r="AH226" s="108"/>
      <c r="AI226" s="115">
        <f t="shared" si="278"/>
        <v>662.91561224999964</v>
      </c>
      <c r="AJ226" s="230"/>
      <c r="AK226" s="115">
        <f t="shared" si="279"/>
        <v>390.80404349999975</v>
      </c>
      <c r="AL226" s="230"/>
      <c r="AM226" s="115">
        <f t="shared" si="280"/>
        <v>83.447547749999941</v>
      </c>
      <c r="AN226" s="230"/>
      <c r="AO226" s="115">
        <f t="shared" si="281"/>
        <v>427.60389374999977</v>
      </c>
      <c r="AP226" s="230"/>
      <c r="AQ226" s="115">
        <f t="shared" si="282"/>
        <v>176.22463499999989</v>
      </c>
      <c r="AR226" s="230"/>
      <c r="AS226" s="115">
        <f t="shared" si="283"/>
        <v>549.14706112499971</v>
      </c>
      <c r="AT226" s="230"/>
      <c r="AU226" s="115">
        <f t="shared" si="284"/>
        <v>189.9597903749999</v>
      </c>
      <c r="AV226" s="230"/>
      <c r="AW226" s="115">
        <f t="shared" si="285"/>
        <v>37.836465749999974</v>
      </c>
      <c r="AX226" s="230"/>
      <c r="AY226" s="115">
        <f t="shared" si="286"/>
        <v>73.599700499999955</v>
      </c>
      <c r="AZ226" s="481"/>
      <c r="BA226" s="99">
        <f t="shared" si="293"/>
        <v>0</v>
      </c>
      <c r="BB226" s="82"/>
      <c r="BC226" s="82"/>
      <c r="BD226" s="82"/>
    </row>
    <row r="227" spans="1:56" x14ac:dyDescent="0.2">
      <c r="A227" s="300"/>
      <c r="B227" s="300"/>
      <c r="C227" s="116">
        <f>+Linkin!$L502</f>
        <v>133631.40937500016</v>
      </c>
      <c r="F227" s="120" t="s">
        <v>641</v>
      </c>
      <c r="G227" s="180"/>
      <c r="H227" s="181">
        <v>15</v>
      </c>
      <c r="I227" s="62"/>
      <c r="J227" s="232">
        <f t="shared" si="249"/>
        <v>133631.40937500016</v>
      </c>
      <c r="K227" s="108"/>
      <c r="L227" s="115">
        <f t="shared" si="271"/>
        <v>91443.973435312611</v>
      </c>
      <c r="M227" s="230"/>
      <c r="N227" s="115">
        <f t="shared" si="272"/>
        <v>24708.44759343753</v>
      </c>
      <c r="O227" s="230"/>
      <c r="P227" s="115">
        <f t="shared" si="273"/>
        <v>3086.8855565625036</v>
      </c>
      <c r="Q227" s="230"/>
      <c r="R227" s="115">
        <f t="shared" si="274"/>
        <v>6708.2967506250088</v>
      </c>
      <c r="S227" s="230"/>
      <c r="T227" s="115">
        <f t="shared" si="275"/>
        <v>1737.208321875002</v>
      </c>
      <c r="U227" s="230"/>
      <c r="V227" s="115">
        <f t="shared" si="276"/>
        <v>2151.4656909375026</v>
      </c>
      <c r="W227" s="230"/>
      <c r="X227" s="115">
        <f t="shared" si="277"/>
        <v>3795.1320262500049</v>
      </c>
      <c r="Y227" s="116"/>
      <c r="Z227" s="99">
        <f t="shared" si="268"/>
        <v>0</v>
      </c>
      <c r="AC227" s="120" t="s">
        <v>641</v>
      </c>
      <c r="AE227" s="154">
        <f t="shared" si="288"/>
        <v>15</v>
      </c>
      <c r="AF227" s="481"/>
      <c r="AG227" s="231">
        <f t="shared" si="292"/>
        <v>133631.40937500016</v>
      </c>
      <c r="AH227" s="108"/>
      <c r="AI227" s="115">
        <f t="shared" si="278"/>
        <v>34182.914518125042</v>
      </c>
      <c r="AJ227" s="230"/>
      <c r="AK227" s="115">
        <f t="shared" si="279"/>
        <v>20151.616533750024</v>
      </c>
      <c r="AL227" s="230"/>
      <c r="AM227" s="115">
        <f t="shared" si="280"/>
        <v>4302.9313818750052</v>
      </c>
      <c r="AN227" s="230"/>
      <c r="AO227" s="115">
        <f t="shared" si="281"/>
        <v>22049.182546875028</v>
      </c>
      <c r="AP227" s="230"/>
      <c r="AQ227" s="115">
        <f t="shared" si="282"/>
        <v>9086.935837500012</v>
      </c>
      <c r="AR227" s="230"/>
      <c r="AS227" s="115">
        <f t="shared" si="283"/>
        <v>28316.495646562536</v>
      </c>
      <c r="AT227" s="230"/>
      <c r="AU227" s="115">
        <f t="shared" si="284"/>
        <v>9795.1823071875133</v>
      </c>
      <c r="AV227" s="230"/>
      <c r="AW227" s="115">
        <f t="shared" si="285"/>
        <v>1951.0185768750025</v>
      </c>
      <c r="AX227" s="230"/>
      <c r="AY227" s="115">
        <f t="shared" si="286"/>
        <v>3795.1320262500049</v>
      </c>
      <c r="AZ227" s="481"/>
      <c r="BA227" s="99">
        <f t="shared" si="293"/>
        <v>0</v>
      </c>
      <c r="BB227" s="82"/>
      <c r="BC227" s="82"/>
      <c r="BD227" s="82"/>
    </row>
    <row r="228" spans="1:56" x14ac:dyDescent="0.2">
      <c r="A228" s="300"/>
      <c r="B228" s="300"/>
      <c r="C228" s="116">
        <f>+Linkin!$L503</f>
        <v>82695.456898250108</v>
      </c>
      <c r="F228" s="120" t="s">
        <v>642</v>
      </c>
      <c r="G228" s="180"/>
      <c r="H228" s="181">
        <v>2</v>
      </c>
      <c r="I228" s="62"/>
      <c r="J228" s="232">
        <f t="shared" si="249"/>
        <v>82695.456898250108</v>
      </c>
      <c r="K228" s="108"/>
      <c r="L228" s="115">
        <f t="shared" si="271"/>
        <v>42331.804386214229</v>
      </c>
      <c r="M228" s="230"/>
      <c r="N228" s="115">
        <f t="shared" si="272"/>
        <v>25313.079356554357</v>
      </c>
      <c r="O228" s="230"/>
      <c r="P228" s="115">
        <f t="shared" si="273"/>
        <v>4060.3469337040801</v>
      </c>
      <c r="Q228" s="230"/>
      <c r="R228" s="115">
        <f t="shared" si="274"/>
        <v>8054.5375018895593</v>
      </c>
      <c r="S228" s="230"/>
      <c r="T228" s="115">
        <f t="shared" si="275"/>
        <v>2646.2546207440037</v>
      </c>
      <c r="U228" s="230"/>
      <c r="V228" s="115">
        <f t="shared" si="276"/>
        <v>132.31273103720017</v>
      </c>
      <c r="W228" s="230"/>
      <c r="X228" s="115">
        <f t="shared" si="277"/>
        <v>157.12136810667519</v>
      </c>
      <c r="Y228" s="116"/>
      <c r="Z228" s="99">
        <f t="shared" si="268"/>
        <v>0</v>
      </c>
      <c r="AC228" s="120" t="s">
        <v>642</v>
      </c>
      <c r="AE228" s="154">
        <f t="shared" si="288"/>
        <v>2</v>
      </c>
      <c r="AF228" s="481"/>
      <c r="AG228" s="231">
        <f t="shared" si="292"/>
        <v>82695.456898250108</v>
      </c>
      <c r="AH228" s="108"/>
      <c r="AI228" s="115">
        <f t="shared" si="278"/>
        <v>46962.749972516234</v>
      </c>
      <c r="AJ228" s="230"/>
      <c r="AK228" s="115">
        <f t="shared" si="279"/>
        <v>35443.272826589993</v>
      </c>
      <c r="AL228" s="230"/>
      <c r="AM228" s="115">
        <f t="shared" si="280"/>
        <v>0</v>
      </c>
      <c r="AN228" s="230"/>
      <c r="AO228" s="115">
        <f t="shared" si="281"/>
        <v>0</v>
      </c>
      <c r="AP228" s="230"/>
      <c r="AQ228" s="115">
        <f t="shared" si="282"/>
        <v>0</v>
      </c>
      <c r="AR228" s="230"/>
      <c r="AS228" s="115">
        <f t="shared" si="283"/>
        <v>0</v>
      </c>
      <c r="AT228" s="230"/>
      <c r="AU228" s="115">
        <f t="shared" si="284"/>
        <v>0</v>
      </c>
      <c r="AV228" s="230"/>
      <c r="AW228" s="115">
        <f t="shared" si="285"/>
        <v>132.31273103720017</v>
      </c>
      <c r="AX228" s="230"/>
      <c r="AY228" s="115">
        <f t="shared" si="286"/>
        <v>157.12136810667519</v>
      </c>
      <c r="AZ228" s="481"/>
      <c r="BA228" s="99">
        <f t="shared" si="293"/>
        <v>0</v>
      </c>
      <c r="BB228" s="82"/>
      <c r="BC228" s="82"/>
      <c r="BD228" s="82"/>
    </row>
    <row r="229" spans="1:56" ht="11.25" customHeight="1" x14ac:dyDescent="0.2">
      <c r="A229" s="300"/>
      <c r="B229" s="300"/>
      <c r="C229" s="116">
        <f>+Linkin!$L504</f>
        <v>37291.034837875035</v>
      </c>
      <c r="F229" s="120" t="s">
        <v>643</v>
      </c>
      <c r="G229" s="180"/>
      <c r="H229" s="181">
        <v>15</v>
      </c>
      <c r="I229" s="62"/>
      <c r="J229" s="232">
        <f t="shared" si="249"/>
        <v>37291.034837875035</v>
      </c>
      <c r="K229" s="108"/>
      <c r="L229" s="115">
        <f t="shared" si="271"/>
        <v>25518.255139557888</v>
      </c>
      <c r="M229" s="230"/>
      <c r="N229" s="115">
        <f t="shared" si="272"/>
        <v>6895.1123415230941</v>
      </c>
      <c r="O229" s="230"/>
      <c r="P229" s="115">
        <f t="shared" si="273"/>
        <v>861.42290475491325</v>
      </c>
      <c r="Q229" s="230"/>
      <c r="R229" s="115">
        <f t="shared" si="274"/>
        <v>1872.0099488613268</v>
      </c>
      <c r="S229" s="230"/>
      <c r="T229" s="115">
        <f t="shared" si="275"/>
        <v>484.78345289237541</v>
      </c>
      <c r="U229" s="230"/>
      <c r="V229" s="115">
        <f t="shared" si="276"/>
        <v>600.38566088978803</v>
      </c>
      <c r="W229" s="230"/>
      <c r="X229" s="115">
        <f t="shared" si="277"/>
        <v>1059.065389395651</v>
      </c>
      <c r="Y229" s="116"/>
      <c r="Z229" s="99">
        <f t="shared" si="268"/>
        <v>0</v>
      </c>
      <c r="AC229" s="120" t="s">
        <v>643</v>
      </c>
      <c r="AE229" s="154">
        <f t="shared" si="288"/>
        <v>15</v>
      </c>
      <c r="AF229" s="481"/>
      <c r="AG229" s="231">
        <f t="shared" si="292"/>
        <v>37291.034837875035</v>
      </c>
      <c r="AH229" s="108"/>
      <c r="AI229" s="115">
        <f t="shared" si="278"/>
        <v>9539.0467115284355</v>
      </c>
      <c r="AJ229" s="230"/>
      <c r="AK229" s="115">
        <f t="shared" si="279"/>
        <v>5623.4880535515549</v>
      </c>
      <c r="AL229" s="230"/>
      <c r="AM229" s="115">
        <f t="shared" si="280"/>
        <v>1200.7713217795761</v>
      </c>
      <c r="AN229" s="230"/>
      <c r="AO229" s="115">
        <f t="shared" si="281"/>
        <v>6153.0207482493806</v>
      </c>
      <c r="AP229" s="230"/>
      <c r="AQ229" s="115">
        <f t="shared" si="282"/>
        <v>2535.7903689755026</v>
      </c>
      <c r="AR229" s="230"/>
      <c r="AS229" s="115">
        <f t="shared" si="283"/>
        <v>7901.9702821457204</v>
      </c>
      <c r="AT229" s="230"/>
      <c r="AU229" s="115">
        <f t="shared" si="284"/>
        <v>2733.4328536162402</v>
      </c>
      <c r="AV229" s="230"/>
      <c r="AW229" s="115">
        <f t="shared" si="285"/>
        <v>544.44910863297548</v>
      </c>
      <c r="AX229" s="230"/>
      <c r="AY229" s="115">
        <f t="shared" si="286"/>
        <v>1059.065389395651</v>
      </c>
      <c r="AZ229" s="481"/>
      <c r="BA229" s="99">
        <f t="shared" si="293"/>
        <v>0</v>
      </c>
      <c r="BB229" s="82"/>
      <c r="BC229" s="82"/>
      <c r="BD229" s="82"/>
    </row>
    <row r="230" spans="1:56" x14ac:dyDescent="0.2">
      <c r="A230" s="300"/>
      <c r="B230" s="300"/>
      <c r="C230" s="116">
        <f>+Linkin!$L505</f>
        <v>16650.226313791678</v>
      </c>
      <c r="F230" s="120" t="s">
        <v>879</v>
      </c>
      <c r="G230" s="180"/>
      <c r="H230" s="181">
        <v>15</v>
      </c>
      <c r="I230" s="62"/>
      <c r="J230" s="232">
        <f t="shared" si="249"/>
        <v>16650.226313791678</v>
      </c>
      <c r="K230" s="108"/>
      <c r="L230" s="115">
        <f t="shared" si="271"/>
        <v>11393.749866527645</v>
      </c>
      <c r="M230" s="230"/>
      <c r="N230" s="115">
        <f t="shared" si="272"/>
        <v>3078.6268454200813</v>
      </c>
      <c r="O230" s="230"/>
      <c r="P230" s="115">
        <f t="shared" si="273"/>
        <v>384.62022784858772</v>
      </c>
      <c r="Q230" s="230"/>
      <c r="R230" s="115">
        <f t="shared" si="274"/>
        <v>835.84136095234226</v>
      </c>
      <c r="S230" s="230"/>
      <c r="T230" s="115">
        <f t="shared" si="275"/>
        <v>216.4529420792918</v>
      </c>
      <c r="U230" s="230"/>
      <c r="V230" s="115">
        <f t="shared" si="276"/>
        <v>268.06864365204603</v>
      </c>
      <c r="W230" s="230"/>
      <c r="X230" s="115">
        <f t="shared" si="277"/>
        <v>472.86642731168371</v>
      </c>
      <c r="Y230" s="116"/>
      <c r="Z230" s="99">
        <f t="shared" si="268"/>
        <v>0</v>
      </c>
      <c r="AC230" s="120" t="s">
        <v>879</v>
      </c>
      <c r="AE230" s="154">
        <f t="shared" si="288"/>
        <v>15</v>
      </c>
      <c r="AF230" s="481"/>
      <c r="AG230" s="231">
        <f t="shared" si="292"/>
        <v>16650.226313791678</v>
      </c>
      <c r="AH230" s="108"/>
      <c r="AI230" s="115">
        <f t="shared" si="278"/>
        <v>4259.1278910679121</v>
      </c>
      <c r="AJ230" s="230"/>
      <c r="AK230" s="115">
        <f t="shared" si="279"/>
        <v>2510.8541281197849</v>
      </c>
      <c r="AL230" s="230"/>
      <c r="AM230" s="115">
        <f t="shared" si="280"/>
        <v>536.13728730409207</v>
      </c>
      <c r="AN230" s="230"/>
      <c r="AO230" s="115">
        <f t="shared" si="281"/>
        <v>2747.2873417756268</v>
      </c>
      <c r="AP230" s="230"/>
      <c r="AQ230" s="115">
        <f t="shared" si="282"/>
        <v>1132.2153893378343</v>
      </c>
      <c r="AR230" s="230"/>
      <c r="AS230" s="115">
        <f t="shared" si="283"/>
        <v>3528.1829558924564</v>
      </c>
      <c r="AT230" s="230"/>
      <c r="AU230" s="115">
        <f t="shared" si="284"/>
        <v>1220.46158880093</v>
      </c>
      <c r="AV230" s="230"/>
      <c r="AW230" s="115">
        <f t="shared" si="285"/>
        <v>243.09330418135849</v>
      </c>
      <c r="AX230" s="230"/>
      <c r="AY230" s="115">
        <f t="shared" si="286"/>
        <v>472.86642731168371</v>
      </c>
      <c r="AZ230" s="481"/>
      <c r="BA230" s="99">
        <f t="shared" si="293"/>
        <v>0</v>
      </c>
      <c r="BB230" s="82"/>
      <c r="BC230" s="82"/>
      <c r="BD230" s="82"/>
    </row>
    <row r="231" spans="1:56" s="478" customFormat="1" x14ac:dyDescent="0.2">
      <c r="A231" s="300"/>
      <c r="B231" s="300"/>
      <c r="C231" s="116">
        <f>+Linkin!$L506</f>
        <v>247479.83866362495</v>
      </c>
      <c r="D231" s="412"/>
      <c r="E231" s="116"/>
      <c r="F231" s="120" t="s">
        <v>880</v>
      </c>
      <c r="G231" s="180"/>
      <c r="H231" s="181">
        <v>15</v>
      </c>
      <c r="I231" s="62"/>
      <c r="J231" s="232">
        <f t="shared" si="249"/>
        <v>247479.83866362495</v>
      </c>
      <c r="K231" s="108"/>
      <c r="L231" s="115">
        <f t="shared" si="271"/>
        <v>169350.45359751856</v>
      </c>
      <c r="M231" s="230"/>
      <c r="N231" s="115">
        <f t="shared" si="272"/>
        <v>45759.022168904252</v>
      </c>
      <c r="O231" s="230"/>
      <c r="P231" s="115">
        <f t="shared" si="273"/>
        <v>5716.784273129736</v>
      </c>
      <c r="Q231" s="230"/>
      <c r="R231" s="115">
        <f t="shared" si="274"/>
        <v>12423.487900913973</v>
      </c>
      <c r="S231" s="230"/>
      <c r="T231" s="115">
        <f t="shared" si="275"/>
        <v>3217.2379026271242</v>
      </c>
      <c r="U231" s="230"/>
      <c r="V231" s="115">
        <f t="shared" si="276"/>
        <v>3984.4254024843617</v>
      </c>
      <c r="W231" s="230"/>
      <c r="X231" s="115">
        <f t="shared" si="277"/>
        <v>7028.4274180469492</v>
      </c>
      <c r="Y231" s="116"/>
      <c r="Z231" s="99">
        <f t="shared" si="268"/>
        <v>0</v>
      </c>
      <c r="AC231" s="120" t="s">
        <v>880</v>
      </c>
      <c r="AE231" s="154">
        <f t="shared" si="288"/>
        <v>15</v>
      </c>
      <c r="AF231" s="481"/>
      <c r="AG231" s="231">
        <f t="shared" si="292"/>
        <v>247479.83866362495</v>
      </c>
      <c r="AH231" s="108"/>
      <c r="AI231" s="115">
        <f t="shared" si="278"/>
        <v>63305.342730155266</v>
      </c>
      <c r="AJ231" s="230"/>
      <c r="AK231" s="115">
        <f t="shared" si="279"/>
        <v>37319.959670474636</v>
      </c>
      <c r="AL231" s="230"/>
      <c r="AM231" s="115">
        <f t="shared" si="280"/>
        <v>7968.8508049687234</v>
      </c>
      <c r="AN231" s="230"/>
      <c r="AO231" s="115">
        <f t="shared" si="281"/>
        <v>40834.173379498119</v>
      </c>
      <c r="AP231" s="230"/>
      <c r="AQ231" s="115">
        <f t="shared" si="282"/>
        <v>16828.6290291265</v>
      </c>
      <c r="AR231" s="230"/>
      <c r="AS231" s="115">
        <f t="shared" si="283"/>
        <v>52440.97781282213</v>
      </c>
      <c r="AT231" s="230"/>
      <c r="AU231" s="115">
        <f t="shared" si="284"/>
        <v>18140.272174043708</v>
      </c>
      <c r="AV231" s="230"/>
      <c r="AW231" s="115">
        <f t="shared" si="285"/>
        <v>3613.2056444889245</v>
      </c>
      <c r="AX231" s="230"/>
      <c r="AY231" s="115">
        <f t="shared" si="286"/>
        <v>7028.4274180469492</v>
      </c>
      <c r="AZ231" s="481"/>
      <c r="BA231" s="99">
        <f t="shared" si="293"/>
        <v>0</v>
      </c>
      <c r="BB231" s="82"/>
      <c r="BC231" s="82"/>
      <c r="BD231" s="82"/>
    </row>
    <row r="232" spans="1:56" s="478" customFormat="1" x14ac:dyDescent="0.2">
      <c r="A232" s="300"/>
      <c r="B232" s="300"/>
      <c r="C232" s="116">
        <f>+Linkin!$L507</f>
        <v>5871.0075645416664</v>
      </c>
      <c r="D232" s="412"/>
      <c r="E232" s="116"/>
      <c r="F232" s="120" t="s">
        <v>881</v>
      </c>
      <c r="G232" s="180"/>
      <c r="H232" s="181">
        <v>15</v>
      </c>
      <c r="I232" s="62"/>
      <c r="J232" s="232">
        <f t="shared" si="249"/>
        <v>5871.0075645416664</v>
      </c>
      <c r="K232" s="108"/>
      <c r="L232" s="115">
        <f t="shared" si="271"/>
        <v>4017.5304764158623</v>
      </c>
      <c r="M232" s="230"/>
      <c r="N232" s="115">
        <f t="shared" si="272"/>
        <v>1085.5492986837542</v>
      </c>
      <c r="O232" s="230"/>
      <c r="P232" s="115">
        <f t="shared" si="273"/>
        <v>135.62027474091249</v>
      </c>
      <c r="Q232" s="230"/>
      <c r="R232" s="115">
        <f t="shared" si="274"/>
        <v>294.72457973999167</v>
      </c>
      <c r="S232" s="230"/>
      <c r="T232" s="115">
        <f t="shared" si="275"/>
        <v>76.323098339041664</v>
      </c>
      <c r="U232" s="230"/>
      <c r="V232" s="115">
        <f t="shared" si="276"/>
        <v>94.523221789120825</v>
      </c>
      <c r="W232" s="230"/>
      <c r="X232" s="115">
        <f t="shared" si="277"/>
        <v>166.73661483298335</v>
      </c>
      <c r="Y232" s="116"/>
      <c r="Z232" s="99">
        <f t="shared" si="268"/>
        <v>0</v>
      </c>
      <c r="AC232" s="120" t="s">
        <v>881</v>
      </c>
      <c r="AE232" s="154">
        <f t="shared" si="288"/>
        <v>15</v>
      </c>
      <c r="AF232" s="481"/>
      <c r="AG232" s="231">
        <f t="shared" si="292"/>
        <v>5871.0075645416664</v>
      </c>
      <c r="AH232" s="108"/>
      <c r="AI232" s="115">
        <f t="shared" si="278"/>
        <v>1501.8037350097584</v>
      </c>
      <c r="AJ232" s="230"/>
      <c r="AK232" s="115">
        <f t="shared" si="279"/>
        <v>885.34794073288322</v>
      </c>
      <c r="AL232" s="230"/>
      <c r="AM232" s="115">
        <f t="shared" si="280"/>
        <v>189.04644357824165</v>
      </c>
      <c r="AN232" s="230"/>
      <c r="AO232" s="115">
        <f t="shared" si="281"/>
        <v>968.71624814937502</v>
      </c>
      <c r="AP232" s="230"/>
      <c r="AQ232" s="115">
        <f t="shared" si="282"/>
        <v>399.22851438883333</v>
      </c>
      <c r="AR232" s="230"/>
      <c r="AS232" s="115">
        <f t="shared" si="283"/>
        <v>1244.0665029263791</v>
      </c>
      <c r="AT232" s="230"/>
      <c r="AU232" s="115">
        <f t="shared" si="284"/>
        <v>430.34485448090419</v>
      </c>
      <c r="AV232" s="230"/>
      <c r="AW232" s="115">
        <f t="shared" si="285"/>
        <v>85.716710442308326</v>
      </c>
      <c r="AX232" s="230"/>
      <c r="AY232" s="115">
        <f t="shared" si="286"/>
        <v>166.73661483298335</v>
      </c>
      <c r="AZ232" s="481"/>
      <c r="BA232" s="99">
        <f t="shared" si="293"/>
        <v>0</v>
      </c>
      <c r="BB232" s="82"/>
      <c r="BC232" s="82"/>
      <c r="BD232" s="82"/>
    </row>
    <row r="233" spans="1:56" ht="15" customHeight="1" x14ac:dyDescent="0.2">
      <c r="A233" s="300"/>
      <c r="B233" s="300"/>
      <c r="C233" s="116">
        <f>+Linkin!$L508</f>
        <v>84630.986625000034</v>
      </c>
      <c r="F233" s="120" t="s">
        <v>645</v>
      </c>
      <c r="G233" s="180"/>
      <c r="H233" s="181">
        <v>15</v>
      </c>
      <c r="I233" s="62"/>
      <c r="J233" s="232">
        <f t="shared" si="249"/>
        <v>84630.986625000034</v>
      </c>
      <c r="K233" s="108"/>
      <c r="L233" s="115">
        <f t="shared" si="271"/>
        <v>57912.984147487528</v>
      </c>
      <c r="M233" s="230"/>
      <c r="N233" s="115">
        <f t="shared" si="272"/>
        <v>15648.269426962506</v>
      </c>
      <c r="O233" s="230"/>
      <c r="P233" s="115">
        <f t="shared" si="273"/>
        <v>1954.9757910375008</v>
      </c>
      <c r="Q233" s="230"/>
      <c r="R233" s="115">
        <f t="shared" si="274"/>
        <v>4248.4755285750016</v>
      </c>
      <c r="S233" s="230"/>
      <c r="T233" s="115">
        <f t="shared" si="275"/>
        <v>1100.2028261250005</v>
      </c>
      <c r="U233" s="230"/>
      <c r="V233" s="115">
        <f t="shared" si="276"/>
        <v>1362.5588846625005</v>
      </c>
      <c r="W233" s="230"/>
      <c r="X233" s="115">
        <f t="shared" si="277"/>
        <v>2403.5200201500011</v>
      </c>
      <c r="Y233" s="116"/>
      <c r="Z233" s="99">
        <f t="shared" si="268"/>
        <v>0</v>
      </c>
      <c r="AC233" s="120" t="s">
        <v>645</v>
      </c>
      <c r="AE233" s="154">
        <f t="shared" si="288"/>
        <v>15</v>
      </c>
      <c r="AF233" s="481"/>
      <c r="AG233" s="231">
        <f t="shared" si="292"/>
        <v>84630.986625000034</v>
      </c>
      <c r="AH233" s="108"/>
      <c r="AI233" s="115">
        <f t="shared" si="278"/>
        <v>21648.606378675013</v>
      </c>
      <c r="AJ233" s="230"/>
      <c r="AK233" s="115">
        <f t="shared" si="279"/>
        <v>12762.352783050004</v>
      </c>
      <c r="AL233" s="230"/>
      <c r="AM233" s="115">
        <f t="shared" si="280"/>
        <v>2725.1177693250011</v>
      </c>
      <c r="AN233" s="230"/>
      <c r="AO233" s="115">
        <f t="shared" si="281"/>
        <v>13964.112793125007</v>
      </c>
      <c r="AP233" s="230"/>
      <c r="AQ233" s="115">
        <f t="shared" si="282"/>
        <v>5754.9070905000026</v>
      </c>
      <c r="AR233" s="230"/>
      <c r="AS233" s="115">
        <f t="shared" si="283"/>
        <v>17933.306065837507</v>
      </c>
      <c r="AT233" s="230"/>
      <c r="AU233" s="115">
        <f t="shared" si="284"/>
        <v>6203.4513196125026</v>
      </c>
      <c r="AV233" s="230"/>
      <c r="AW233" s="115">
        <f t="shared" si="285"/>
        <v>1235.6124047250005</v>
      </c>
      <c r="AX233" s="230"/>
      <c r="AY233" s="115">
        <f t="shared" si="286"/>
        <v>2403.5200201500011</v>
      </c>
      <c r="AZ233" s="481"/>
      <c r="BA233" s="99">
        <f t="shared" si="293"/>
        <v>0</v>
      </c>
      <c r="BB233" s="82"/>
      <c r="BC233" s="82"/>
      <c r="BD233" s="82"/>
    </row>
    <row r="234" spans="1:56" s="177" customFormat="1" x14ac:dyDescent="0.2">
      <c r="A234" s="185"/>
      <c r="B234" s="185"/>
      <c r="C234" s="116">
        <f>+Linkin!$L509</f>
        <v>6748.2442499999988</v>
      </c>
      <c r="D234" s="412"/>
      <c r="E234" s="116"/>
      <c r="F234" s="120" t="s">
        <v>646</v>
      </c>
      <c r="G234" s="180"/>
      <c r="H234" s="181">
        <v>15</v>
      </c>
      <c r="I234" s="108"/>
      <c r="J234" s="305">
        <f t="shared" si="249"/>
        <v>6748.2442499999988</v>
      </c>
      <c r="K234" s="108"/>
      <c r="L234" s="304">
        <f t="shared" si="271"/>
        <v>4617.8235402749997</v>
      </c>
      <c r="M234" s="108"/>
      <c r="N234" s="304">
        <f t="shared" si="272"/>
        <v>1247.7503618249998</v>
      </c>
      <c r="O234" s="108"/>
      <c r="P234" s="304">
        <f t="shared" si="273"/>
        <v>155.88444217499998</v>
      </c>
      <c r="Q234" s="108"/>
      <c r="R234" s="304">
        <f t="shared" si="274"/>
        <v>338.76186134999995</v>
      </c>
      <c r="S234" s="108"/>
      <c r="T234" s="304">
        <f t="shared" si="275"/>
        <v>87.727175249999988</v>
      </c>
      <c r="U234" s="108"/>
      <c r="V234" s="304">
        <f t="shared" si="276"/>
        <v>108.64673242499998</v>
      </c>
      <c r="W234" s="108"/>
      <c r="X234" s="304">
        <f t="shared" si="277"/>
        <v>191.65013669999999</v>
      </c>
      <c r="Y234" s="116"/>
      <c r="Z234" s="99">
        <f t="shared" ref="Z234:Z270" si="298">SUM(L234:X234)-J234</f>
        <v>0</v>
      </c>
      <c r="AC234" s="120" t="s">
        <v>646</v>
      </c>
      <c r="AE234" s="154">
        <f t="shared" si="257"/>
        <v>15</v>
      </c>
      <c r="AF234"/>
      <c r="AG234" s="305">
        <f t="shared" si="258"/>
        <v>6748.2442499999988</v>
      </c>
      <c r="AH234" s="108"/>
      <c r="AI234" s="304">
        <f t="shared" si="278"/>
        <v>1726.20087915</v>
      </c>
      <c r="AJ234" s="108"/>
      <c r="AK234" s="304">
        <f t="shared" si="279"/>
        <v>1017.6352328999998</v>
      </c>
      <c r="AL234" s="108"/>
      <c r="AM234" s="304">
        <f t="shared" si="280"/>
        <v>217.29346484999996</v>
      </c>
      <c r="AN234" s="108"/>
      <c r="AO234" s="304">
        <f t="shared" si="281"/>
        <v>1113.4603012499999</v>
      </c>
      <c r="AP234" s="108"/>
      <c r="AQ234" s="304">
        <f t="shared" si="282"/>
        <v>458.88060899999994</v>
      </c>
      <c r="AR234" s="108"/>
      <c r="AS234" s="304">
        <f t="shared" si="283"/>
        <v>1429.9529565749997</v>
      </c>
      <c r="AT234" s="108"/>
      <c r="AU234" s="304">
        <f t="shared" si="284"/>
        <v>494.64630352499995</v>
      </c>
      <c r="AV234" s="108"/>
      <c r="AW234" s="304">
        <f t="shared" si="285"/>
        <v>98.524366049999983</v>
      </c>
      <c r="AX234" s="108"/>
      <c r="AY234" s="304">
        <f t="shared" si="286"/>
        <v>191.65013669999999</v>
      </c>
      <c r="AZ234"/>
      <c r="BA234" s="99">
        <f t="shared" ref="BA234:BA259" si="299">SUM(AI234:AY234)-AG234</f>
        <v>0</v>
      </c>
      <c r="BB234" s="82"/>
      <c r="BC234" s="82"/>
      <c r="BD234" s="82"/>
    </row>
    <row r="235" spans="1:56" s="177" customFormat="1" x14ac:dyDescent="0.2">
      <c r="A235" s="185"/>
      <c r="B235" s="167"/>
      <c r="C235" s="370"/>
      <c r="D235" s="412"/>
      <c r="E235" s="116"/>
      <c r="F235" s="120"/>
      <c r="G235" s="180"/>
      <c r="H235" s="181"/>
      <c r="I235" s="108"/>
      <c r="J235" s="461"/>
      <c r="K235" s="108"/>
      <c r="L235" s="83"/>
      <c r="M235" s="108"/>
      <c r="N235" s="83"/>
      <c r="O235" s="108"/>
      <c r="P235" s="83"/>
      <c r="Q235" s="108"/>
      <c r="R235" s="83"/>
      <c r="S235" s="108"/>
      <c r="T235" s="83"/>
      <c r="U235" s="108"/>
      <c r="V235" s="83"/>
      <c r="W235" s="108"/>
      <c r="X235" s="83"/>
      <c r="Z235" s="99">
        <f t="shared" si="298"/>
        <v>0</v>
      </c>
      <c r="AC235" s="120"/>
      <c r="AE235" s="233"/>
      <c r="AG235" s="296"/>
      <c r="AH235" s="108"/>
      <c r="AI235" s="83"/>
      <c r="AJ235" s="108"/>
      <c r="AK235" s="83"/>
      <c r="AL235" s="108"/>
      <c r="AM235" s="83"/>
      <c r="AN235" s="108"/>
      <c r="AO235" s="83"/>
      <c r="AP235" s="108"/>
      <c r="AQ235" s="83"/>
      <c r="AR235" s="108"/>
      <c r="AS235" s="83"/>
      <c r="AT235" s="108"/>
      <c r="AU235" s="83"/>
      <c r="AV235" s="108"/>
      <c r="AW235" s="83"/>
      <c r="AX235" s="108"/>
      <c r="AY235" s="83"/>
      <c r="BA235" s="99">
        <f t="shared" si="299"/>
        <v>0</v>
      </c>
      <c r="BB235" s="82"/>
      <c r="BC235" s="82"/>
      <c r="BD235" s="82"/>
    </row>
    <row r="236" spans="1:56" s="177" customFormat="1" x14ac:dyDescent="0.2">
      <c r="A236" s="301"/>
      <c r="B236" s="302"/>
      <c r="C236" s="116">
        <f>SUM(C177:C234)</f>
        <v>14948095.233087743</v>
      </c>
      <c r="D236" s="412"/>
      <c r="E236" s="116"/>
      <c r="F236" s="120" t="s">
        <v>114</v>
      </c>
      <c r="G236" s="180"/>
      <c r="H236" s="181"/>
      <c r="I236" s="108"/>
      <c r="J236" s="83">
        <f t="shared" ref="J236" si="300">SUM(J177:J235)</f>
        <v>14948096.727912644</v>
      </c>
      <c r="K236" s="83"/>
      <c r="L236" s="83">
        <f>SUM(L177:L235)</f>
        <v>8614952.2276760396</v>
      </c>
      <c r="M236" s="108"/>
      <c r="N236" s="83">
        <f>SUM(N177:N235)</f>
        <v>3462539.3013006253</v>
      </c>
      <c r="O236" s="108"/>
      <c r="P236" s="83">
        <f>SUM(P177:P235)</f>
        <v>479179.62428951933</v>
      </c>
      <c r="Q236" s="108"/>
      <c r="R236" s="83">
        <f>SUM(R177:R235)</f>
        <v>991701.60329017555</v>
      </c>
      <c r="S236" s="108"/>
      <c r="T236" s="83">
        <f>SUM(T177:T235)</f>
        <v>263886.48565179424</v>
      </c>
      <c r="U236" s="108"/>
      <c r="V236" s="83">
        <f>SUM(V177:V235)</f>
        <v>384049.97990010813</v>
      </c>
      <c r="W236" s="108"/>
      <c r="X236" s="83">
        <f>SUM(X177:X235)</f>
        <v>751787.50580438063</v>
      </c>
      <c r="Z236" s="99">
        <f t="shared" si="298"/>
        <v>0</v>
      </c>
      <c r="AC236" s="120" t="s">
        <v>114</v>
      </c>
      <c r="AD236" s="180"/>
      <c r="AE236" s="181"/>
      <c r="AF236" s="108"/>
      <c r="AG236" s="296">
        <f>SUM(AG177:AG235)</f>
        <v>14948096.727912644</v>
      </c>
      <c r="AH236" s="108"/>
      <c r="AI236" s="83">
        <f>SUM(AI177:AI235)</f>
        <v>5240743.0525550945</v>
      </c>
      <c r="AJ236" s="108"/>
      <c r="AK236" s="83">
        <f>SUM(AK177:AK235)</f>
        <v>3301501.0838028747</v>
      </c>
      <c r="AL236" s="108"/>
      <c r="AM236" s="83">
        <f>SUM(AM177:AM235)</f>
        <v>1100309.9760100329</v>
      </c>
      <c r="AN236" s="108"/>
      <c r="AO236" s="83">
        <f>SUM(AO177:AO235)</f>
        <v>1789424.6467124706</v>
      </c>
      <c r="AP236" s="108"/>
      <c r="AQ236" s="83">
        <f>SUM(AQ177:AQ235)</f>
        <v>1443081.3866216908</v>
      </c>
      <c r="AR236" s="108"/>
      <c r="AS236" s="83">
        <f>SUM(AS177:AS235)</f>
        <v>706031.50177123956</v>
      </c>
      <c r="AT236" s="108"/>
      <c r="AU236" s="83">
        <f>SUM(AU177:AU235)</f>
        <v>244109.33382753958</v>
      </c>
      <c r="AV236" s="108"/>
      <c r="AW236" s="83">
        <f t="shared" ref="AW236" si="301">SUM(AW177:AW235)</f>
        <v>375292.66104006831</v>
      </c>
      <c r="AX236" s="108"/>
      <c r="AY236" s="83">
        <f t="shared" ref="AY236" si="302">SUM(AY177:AY235)</f>
        <v>747603.08557163505</v>
      </c>
      <c r="BA236" s="99">
        <f t="shared" si="299"/>
        <v>0</v>
      </c>
      <c r="BB236" s="82"/>
      <c r="BC236" s="82"/>
      <c r="BD236" s="82"/>
    </row>
    <row r="237" spans="1:56" s="59" customFormat="1" ht="7.9" customHeight="1" x14ac:dyDescent="0.2">
      <c r="A237" s="300"/>
      <c r="B237" s="300"/>
      <c r="C237" s="370"/>
      <c r="D237" s="412"/>
      <c r="E237" s="116"/>
      <c r="F237" s="120"/>
      <c r="G237" s="180"/>
      <c r="H237" s="181"/>
      <c r="I237" s="62"/>
      <c r="J237" s="83"/>
      <c r="K237" s="108"/>
      <c r="L237" s="83"/>
      <c r="M237" s="109"/>
      <c r="N237" s="83"/>
      <c r="O237" s="109"/>
      <c r="P237" s="83"/>
      <c r="Q237" s="109"/>
      <c r="R237" s="83"/>
      <c r="S237" s="109"/>
      <c r="T237" s="83"/>
      <c r="U237" s="109"/>
      <c r="V237" s="83"/>
      <c r="W237" s="109"/>
      <c r="X237" s="83"/>
      <c r="Z237" s="99">
        <f t="shared" si="298"/>
        <v>0</v>
      </c>
      <c r="AC237" s="120"/>
      <c r="AG237" s="83"/>
      <c r="AH237" s="108"/>
      <c r="AI237" s="83"/>
      <c r="AJ237" s="109"/>
      <c r="AK237" s="83"/>
      <c r="AL237" s="109"/>
      <c r="AM237" s="83"/>
      <c r="AN237" s="109"/>
      <c r="AO237" s="83"/>
      <c r="AP237" s="109"/>
      <c r="AQ237" s="83"/>
      <c r="AR237" s="109"/>
      <c r="AS237" s="83"/>
      <c r="AT237" s="109"/>
      <c r="AU237" s="83"/>
      <c r="AV237" s="109"/>
      <c r="AW237" s="83"/>
      <c r="AX237" s="109"/>
      <c r="AY237" s="83"/>
      <c r="BA237" s="99">
        <f t="shared" si="299"/>
        <v>0</v>
      </c>
      <c r="BB237" s="82"/>
      <c r="BC237" s="82"/>
      <c r="BD237" s="82"/>
    </row>
    <row r="238" spans="1:56" s="59" customFormat="1" x14ac:dyDescent="0.2">
      <c r="A238" s="300"/>
      <c r="B238" s="525"/>
      <c r="C238" s="370"/>
      <c r="D238" s="412"/>
      <c r="E238" s="116"/>
      <c r="F238" s="306" t="s">
        <v>647</v>
      </c>
      <c r="G238" s="180"/>
      <c r="H238" s="181"/>
      <c r="I238" s="62"/>
      <c r="J238" s="83"/>
      <c r="K238" s="108"/>
      <c r="L238" s="83"/>
      <c r="M238" s="109"/>
      <c r="N238" s="83"/>
      <c r="O238" s="109"/>
      <c r="P238" s="83"/>
      <c r="Q238" s="109"/>
      <c r="R238" s="83"/>
      <c r="S238" s="109"/>
      <c r="T238" s="83"/>
      <c r="U238" s="109"/>
      <c r="V238" s="83"/>
      <c r="W238" s="109"/>
      <c r="X238" s="83"/>
      <c r="Z238" s="99">
        <f t="shared" si="298"/>
        <v>0</v>
      </c>
      <c r="AC238" s="306" t="s">
        <v>647</v>
      </c>
      <c r="AG238" s="83"/>
      <c r="AH238" s="108"/>
      <c r="AI238" s="83"/>
      <c r="AJ238" s="109"/>
      <c r="AK238" s="83"/>
      <c r="AL238" s="109"/>
      <c r="AM238" s="83"/>
      <c r="AN238" s="109"/>
      <c r="AO238" s="83"/>
      <c r="AP238" s="109"/>
      <c r="AQ238" s="83"/>
      <c r="AR238" s="109"/>
      <c r="AS238" s="83"/>
      <c r="AT238" s="109"/>
      <c r="AU238" s="83"/>
      <c r="AV238" s="109"/>
      <c r="AW238" s="83"/>
      <c r="AX238" s="109"/>
      <c r="AY238" s="83"/>
      <c r="BA238" s="99">
        <f t="shared" si="299"/>
        <v>0</v>
      </c>
      <c r="BB238" s="82"/>
      <c r="BC238" s="82"/>
      <c r="BD238" s="82"/>
    </row>
    <row r="239" spans="1:56" s="59" customFormat="1" x14ac:dyDescent="0.2">
      <c r="A239" s="185"/>
      <c r="B239" s="526"/>
      <c r="C239" s="116">
        <f>+Linkin!L390</f>
        <v>170039</v>
      </c>
      <c r="D239" s="412"/>
      <c r="E239" s="116"/>
      <c r="F239" s="120" t="s">
        <v>119</v>
      </c>
      <c r="G239" s="180"/>
      <c r="H239" s="181">
        <v>18</v>
      </c>
      <c r="I239" s="120"/>
      <c r="J239" s="231">
        <f>+C239</f>
        <v>170039</v>
      </c>
      <c r="K239" s="108"/>
      <c r="L239" s="115">
        <f ca="1">(VLOOKUP($H239,Factors,L$381))*$J239</f>
        <v>86753.897799999992</v>
      </c>
      <c r="M239" s="230"/>
      <c r="N239" s="115">
        <f ca="1">(VLOOKUP($H239,Factors,N$381))*$J239</f>
        <v>44295.159500000002</v>
      </c>
      <c r="O239" s="230"/>
      <c r="P239" s="115">
        <f ca="1">(VLOOKUP($H239,Factors,P$381))*$J239</f>
        <v>6580.5092999999997</v>
      </c>
      <c r="Q239" s="230"/>
      <c r="R239" s="115">
        <f ca="1">(VLOOKUP($H239,Factors,R$381))*$J239</f>
        <v>13144.0147</v>
      </c>
      <c r="S239" s="230"/>
      <c r="T239" s="115">
        <f ca="1">(VLOOKUP($H239,Factors,T$381))*$J239</f>
        <v>3485.7995000000001</v>
      </c>
      <c r="U239" s="230"/>
      <c r="V239" s="115">
        <f ca="1">(VLOOKUP($H239,Factors,V$381))*$J239</f>
        <v>5356.2285000000002</v>
      </c>
      <c r="W239" s="230"/>
      <c r="X239" s="115">
        <f ca="1">(VLOOKUP($H239,Factors,X$381))*$J239</f>
        <v>10423.3907</v>
      </c>
      <c r="Y239" s="116"/>
      <c r="Z239" s="99">
        <f t="shared" ca="1" si="298"/>
        <v>0</v>
      </c>
      <c r="AC239" s="120" t="s">
        <v>119</v>
      </c>
      <c r="AE239" s="154">
        <f>+H239</f>
        <v>18</v>
      </c>
      <c r="AF239"/>
      <c r="AG239" s="231">
        <f>+J239</f>
        <v>170039</v>
      </c>
      <c r="AH239" s="108"/>
      <c r="AI239" s="115">
        <f ca="1">(VLOOKUP($AE239,func,AI$381))*$AG239</f>
        <v>71943.500899999999</v>
      </c>
      <c r="AJ239" s="230"/>
      <c r="AK239" s="115">
        <f ca="1">(VLOOKUP($AE239,func,AK$381))*$AG239</f>
        <v>43291.929400000001</v>
      </c>
      <c r="AL239" s="230"/>
      <c r="AM239" s="115">
        <f ca="1">(VLOOKUP($AE239,func,AM$381))*$AG239</f>
        <v>20013.5903</v>
      </c>
      <c r="AN239" s="230"/>
      <c r="AO239" s="115">
        <f ca="1">(VLOOKUP($AE239,func,AO$381))*$AG239</f>
        <v>10780.472599999999</v>
      </c>
      <c r="AP239" s="230"/>
      <c r="AQ239" s="115">
        <f ca="1">(VLOOKUP($AE239,func,AQ$381))*$AG239</f>
        <v>3808.8735999999999</v>
      </c>
      <c r="AR239" s="230"/>
      <c r="AS239" s="115">
        <f ca="1">(VLOOKUP($AE239,func,AS$381))*$AG239</f>
        <v>3655.8384999999998</v>
      </c>
      <c r="AT239" s="230"/>
      <c r="AU239" s="115">
        <f ca="1">(VLOOKUP($AE239,func,AU$381))*$AG239</f>
        <v>952.21839999999997</v>
      </c>
      <c r="AV239" s="230"/>
      <c r="AW239" s="115">
        <f ca="1">(VLOOKUP($AE239,func,AW$381))*$AG239</f>
        <v>5254.2051000000001</v>
      </c>
      <c r="AX239" s="230"/>
      <c r="AY239" s="115">
        <f ca="1">(VLOOKUP($AE239,func,AY$381))*$AG239</f>
        <v>10338.3712</v>
      </c>
      <c r="AZ239"/>
      <c r="BA239" s="99">
        <f t="shared" ca="1" si="299"/>
        <v>0</v>
      </c>
      <c r="BB239" s="82"/>
      <c r="BC239" s="82"/>
      <c r="BD239" s="82"/>
    </row>
    <row r="240" spans="1:56" s="59" customFormat="1" x14ac:dyDescent="0.2">
      <c r="A240" s="185"/>
      <c r="B240" s="167"/>
      <c r="C240" s="116"/>
      <c r="D240" s="412"/>
      <c r="E240" s="116"/>
      <c r="F240" s="120" t="s">
        <v>120</v>
      </c>
      <c r="G240" s="180"/>
      <c r="H240" s="181">
        <v>18</v>
      </c>
      <c r="I240" s="120"/>
      <c r="J240" s="231">
        <f>+C240</f>
        <v>0</v>
      </c>
      <c r="K240" s="108"/>
      <c r="L240" s="115">
        <f ca="1">(VLOOKUP($H240,Factors,L$381))*$J240</f>
        <v>0</v>
      </c>
      <c r="M240" s="230"/>
      <c r="N240" s="115">
        <f ca="1">(VLOOKUP($H240,Factors,N$381))*$J240</f>
        <v>0</v>
      </c>
      <c r="O240" s="230"/>
      <c r="P240" s="115">
        <f ca="1">(VLOOKUP($H240,Factors,P$381))*$J240</f>
        <v>0</v>
      </c>
      <c r="Q240" s="230"/>
      <c r="R240" s="115">
        <f ca="1">(VLOOKUP($H240,Factors,R$381))*$J240</f>
        <v>0</v>
      </c>
      <c r="S240" s="230"/>
      <c r="T240" s="115">
        <f ca="1">(VLOOKUP($H240,Factors,T$381))*$J240</f>
        <v>0</v>
      </c>
      <c r="U240" s="230"/>
      <c r="V240" s="115">
        <f ca="1">(VLOOKUP($H240,Factors,V$381))*$J240</f>
        <v>0</v>
      </c>
      <c r="W240" s="230"/>
      <c r="X240" s="115">
        <f ca="1">(VLOOKUP($H240,Factors,X$381))*$J240</f>
        <v>0</v>
      </c>
      <c r="Y240" s="116"/>
      <c r="Z240" s="99">
        <f t="shared" ca="1" si="298"/>
        <v>0</v>
      </c>
      <c r="AC240" s="120" t="s">
        <v>120</v>
      </c>
      <c r="AE240" s="154">
        <f>+H240</f>
        <v>18</v>
      </c>
      <c r="AF240" s="459"/>
      <c r="AG240" s="231">
        <f>+J240</f>
        <v>0</v>
      </c>
      <c r="AH240" s="108"/>
      <c r="AI240" s="115">
        <f ca="1">(VLOOKUP($AE240,func,AI$381))*$AG240</f>
        <v>0</v>
      </c>
      <c r="AJ240" s="230"/>
      <c r="AK240" s="115">
        <f ca="1">(VLOOKUP($AE240,func,AK$381))*$AG240</f>
        <v>0</v>
      </c>
      <c r="AL240" s="230"/>
      <c r="AM240" s="115">
        <f ca="1">(VLOOKUP($AE240,func,AM$381))*$AG240</f>
        <v>0</v>
      </c>
      <c r="AN240" s="230"/>
      <c r="AO240" s="115">
        <f ca="1">(VLOOKUP($AE240,func,AO$381))*$AG240</f>
        <v>0</v>
      </c>
      <c r="AP240" s="230"/>
      <c r="AQ240" s="115">
        <f ca="1">(VLOOKUP($AE240,func,AQ$381))*$AG240</f>
        <v>0</v>
      </c>
      <c r="AR240" s="230"/>
      <c r="AS240" s="115">
        <f ca="1">(VLOOKUP($AE240,func,AS$381))*$AG240</f>
        <v>0</v>
      </c>
      <c r="AT240" s="230"/>
      <c r="AU240" s="115">
        <f ca="1">(VLOOKUP($AE240,func,AU$381))*$AG240</f>
        <v>0</v>
      </c>
      <c r="AV240" s="230"/>
      <c r="AW240" s="115">
        <f ca="1">(VLOOKUP($AE240,func,AW$381))*$AG240</f>
        <v>0</v>
      </c>
      <c r="AX240" s="230"/>
      <c r="AY240" s="115">
        <f ca="1">(VLOOKUP($AE240,func,AY$381))*$AG240</f>
        <v>0</v>
      </c>
      <c r="AZ240" s="459"/>
      <c r="BA240" s="99">
        <f t="shared" ca="1" si="299"/>
        <v>0</v>
      </c>
      <c r="BB240" s="82"/>
      <c r="BC240" s="82"/>
      <c r="BD240" s="82"/>
    </row>
    <row r="241" spans="1:56" s="59" customFormat="1" x14ac:dyDescent="0.2">
      <c r="A241" s="185"/>
      <c r="B241" s="167"/>
      <c r="C241" s="116">
        <f>+Linkin!L392</f>
        <v>57088</v>
      </c>
      <c r="D241" s="412"/>
      <c r="E241" s="116"/>
      <c r="F241" s="120" t="s">
        <v>121</v>
      </c>
      <c r="G241" s="180"/>
      <c r="H241" s="181">
        <v>2</v>
      </c>
      <c r="I241" s="120"/>
      <c r="J241" s="305">
        <f>+C241</f>
        <v>57088</v>
      </c>
      <c r="K241" s="108"/>
      <c r="L241" s="304">
        <f>(VLOOKUP($H241,Factors,L$381))*$J241</f>
        <v>29223.3472</v>
      </c>
      <c r="M241" s="108"/>
      <c r="N241" s="304">
        <f>(VLOOKUP($H241,Factors,N$381))*$J241</f>
        <v>17474.6368</v>
      </c>
      <c r="O241" s="108"/>
      <c r="P241" s="304">
        <f>(VLOOKUP($H241,Factors,P$381))*$J241</f>
        <v>2803.0207999999998</v>
      </c>
      <c r="Q241" s="108"/>
      <c r="R241" s="304">
        <f>(VLOOKUP($H241,Factors,R$381))*$J241</f>
        <v>5560.3711999999996</v>
      </c>
      <c r="S241" s="108"/>
      <c r="T241" s="304">
        <f>(VLOOKUP($H241,Factors,T$381))*$J241</f>
        <v>1826.816</v>
      </c>
      <c r="U241" s="108"/>
      <c r="V241" s="304">
        <f>(VLOOKUP($H241,Factors,V$381))*$J241</f>
        <v>91.340800000000002</v>
      </c>
      <c r="W241" s="108"/>
      <c r="X241" s="304">
        <f>(VLOOKUP($H241,Factors,X$381))*$J241</f>
        <v>108.46720000000001</v>
      </c>
      <c r="Y241" s="116"/>
      <c r="Z241" s="99">
        <f t="shared" si="298"/>
        <v>0</v>
      </c>
      <c r="AC241" s="120" t="s">
        <v>121</v>
      </c>
      <c r="AE241" s="154">
        <f>+H241</f>
        <v>2</v>
      </c>
      <c r="AF241"/>
      <c r="AG241" s="305">
        <f>+J241</f>
        <v>57088</v>
      </c>
      <c r="AH241" s="108"/>
      <c r="AI241" s="304">
        <f>(VLOOKUP($AE241,func,AI$381))*$AG241</f>
        <v>32420.275199999996</v>
      </c>
      <c r="AJ241" s="108"/>
      <c r="AK241" s="304">
        <f>(VLOOKUP($AE241,func,AK$381))*$AG241</f>
        <v>24467.916799999999</v>
      </c>
      <c r="AL241" s="108"/>
      <c r="AM241" s="304">
        <f>(VLOOKUP($AE241,func,AM$381))*$AG241</f>
        <v>0</v>
      </c>
      <c r="AN241" s="108"/>
      <c r="AO241" s="304">
        <f>(VLOOKUP($AE241,func,AO$381))*$AG241</f>
        <v>0</v>
      </c>
      <c r="AP241" s="108"/>
      <c r="AQ241" s="304">
        <f>(VLOOKUP($AE241,func,AQ$381))*$AG241</f>
        <v>0</v>
      </c>
      <c r="AR241" s="108"/>
      <c r="AS241" s="304">
        <f>(VLOOKUP($AE241,func,AS$381))*$AG241</f>
        <v>0</v>
      </c>
      <c r="AT241" s="108"/>
      <c r="AU241" s="304">
        <f>(VLOOKUP($AE241,func,AU$381))*$AG241</f>
        <v>0</v>
      </c>
      <c r="AV241" s="108"/>
      <c r="AW241" s="304">
        <f>(VLOOKUP($AE241,func,AW$381))*$AG241</f>
        <v>91.340800000000002</v>
      </c>
      <c r="AX241" s="108"/>
      <c r="AY241" s="304">
        <f>(VLOOKUP($AE241,func,AY$381))*$AG241</f>
        <v>108.46720000000001</v>
      </c>
      <c r="AZ241"/>
      <c r="BA241" s="99">
        <f t="shared" si="299"/>
        <v>0</v>
      </c>
      <c r="BB241" s="82"/>
      <c r="BC241" s="82"/>
      <c r="BD241" s="82"/>
    </row>
    <row r="242" spans="1:56" s="59" customFormat="1" x14ac:dyDescent="0.2">
      <c r="A242" s="185"/>
      <c r="B242" s="167"/>
      <c r="C242" s="370"/>
      <c r="D242" s="412"/>
      <c r="E242" s="116"/>
      <c r="F242" s="120"/>
      <c r="G242" s="180"/>
      <c r="H242" s="181"/>
      <c r="I242" s="120"/>
      <c r="J242" s="231"/>
      <c r="K242" s="108"/>
      <c r="L242" s="83"/>
      <c r="M242" s="108"/>
      <c r="N242" s="83"/>
      <c r="O242" s="108"/>
      <c r="P242" s="83"/>
      <c r="Q242" s="108"/>
      <c r="R242" s="83"/>
      <c r="S242" s="108"/>
      <c r="T242" s="83"/>
      <c r="U242" s="108"/>
      <c r="V242" s="83"/>
      <c r="W242" s="108"/>
      <c r="X242" s="83"/>
      <c r="Z242" s="99">
        <f t="shared" si="298"/>
        <v>0</v>
      </c>
      <c r="AC242" s="120"/>
      <c r="AE242" s="183"/>
      <c r="AG242" s="231"/>
      <c r="AH242" s="108"/>
      <c r="AI242" s="83"/>
      <c r="AJ242" s="108"/>
      <c r="AK242" s="83"/>
      <c r="AL242" s="108"/>
      <c r="AM242" s="83"/>
      <c r="AN242" s="108"/>
      <c r="AO242" s="83"/>
      <c r="AP242" s="108"/>
      <c r="AQ242" s="83"/>
      <c r="AR242" s="108"/>
      <c r="AS242" s="83"/>
      <c r="AT242" s="108"/>
      <c r="AU242" s="83"/>
      <c r="AV242" s="108"/>
      <c r="AW242" s="83"/>
      <c r="AX242" s="108"/>
      <c r="AY242" s="83"/>
      <c r="BA242" s="99">
        <f t="shared" si="299"/>
        <v>0</v>
      </c>
      <c r="BB242" s="82"/>
      <c r="BC242" s="82"/>
      <c r="BD242" s="82"/>
    </row>
    <row r="243" spans="1:56" s="59" customFormat="1" x14ac:dyDescent="0.2">
      <c r="A243" s="185"/>
      <c r="B243" s="167"/>
      <c r="C243" s="370"/>
      <c r="D243" s="412"/>
      <c r="E243" s="116"/>
      <c r="F243" s="120" t="s">
        <v>122</v>
      </c>
      <c r="G243" s="180"/>
      <c r="H243" s="181"/>
      <c r="I243" s="120"/>
      <c r="J243" s="231">
        <f>SUM(J239:J242)</f>
        <v>227127</v>
      </c>
      <c r="K243" s="120"/>
      <c r="L243" s="231">
        <f ca="1">SUM(L239:L242)</f>
        <v>115977.245</v>
      </c>
      <c r="M243" s="120"/>
      <c r="N243" s="231">
        <f ca="1">SUM(N239:N242)</f>
        <v>61769.796300000002</v>
      </c>
      <c r="O243" s="120"/>
      <c r="P243" s="231">
        <f ca="1">SUM(P239:P242)</f>
        <v>9383.5300999999999</v>
      </c>
      <c r="Q243" s="120"/>
      <c r="R243" s="231">
        <f ca="1">SUM(R239:R242)</f>
        <v>18704.385900000001</v>
      </c>
      <c r="S243" s="120"/>
      <c r="T243" s="231">
        <f ca="1">SUM(T239:T242)</f>
        <v>5312.6154999999999</v>
      </c>
      <c r="U243" s="120"/>
      <c r="V243" s="231">
        <f ca="1">SUM(V239:V242)</f>
        <v>5447.5693000000001</v>
      </c>
      <c r="W243" s="120"/>
      <c r="X243" s="231">
        <f ca="1">SUM(X239:X242)</f>
        <v>10531.857899999999</v>
      </c>
      <c r="Z243" s="99">
        <f t="shared" ca="1" si="298"/>
        <v>0</v>
      </c>
      <c r="AC243" s="120" t="s">
        <v>122</v>
      </c>
      <c r="AE243" s="183"/>
      <c r="AG243" s="231">
        <f>SUM(AG239:AG242)</f>
        <v>227127</v>
      </c>
      <c r="AH243" s="120"/>
      <c r="AI243" s="231">
        <f ca="1">SUM(AI239:AI242)</f>
        <v>104363.77609999999</v>
      </c>
      <c r="AJ243" s="120"/>
      <c r="AK243" s="231">
        <f ca="1">SUM(AK239:AK242)</f>
        <v>67759.8462</v>
      </c>
      <c r="AL243" s="120"/>
      <c r="AM243" s="231">
        <f ca="1">SUM(AM239:AM242)</f>
        <v>20013.5903</v>
      </c>
      <c r="AN243" s="120"/>
      <c r="AO243" s="231">
        <f ca="1">SUM(AO239:AO242)</f>
        <v>10780.472599999999</v>
      </c>
      <c r="AP243" s="120"/>
      <c r="AQ243" s="231">
        <f ca="1">SUM(AQ239:AQ242)</f>
        <v>3808.8735999999999</v>
      </c>
      <c r="AR243" s="120"/>
      <c r="AS243" s="231">
        <f ca="1">SUM(AS239:AS242)</f>
        <v>3655.8384999999998</v>
      </c>
      <c r="AT243" s="120"/>
      <c r="AU243" s="231">
        <f ca="1">SUM(AU239:AU242)</f>
        <v>952.21839999999997</v>
      </c>
      <c r="AV243" s="120"/>
      <c r="AW243" s="231">
        <f ca="1">SUM(AW239:AW242)</f>
        <v>5345.5459000000001</v>
      </c>
      <c r="AX243" s="120"/>
      <c r="AY243" s="231">
        <f ca="1">SUM(AY239:AY242)</f>
        <v>10446.838399999999</v>
      </c>
      <c r="BA243" s="99">
        <f t="shared" ca="1" si="299"/>
        <v>0</v>
      </c>
      <c r="BB243" s="82"/>
      <c r="BC243" s="82"/>
      <c r="BD243" s="82"/>
    </row>
    <row r="244" spans="1:56" s="59" customFormat="1" x14ac:dyDescent="0.2">
      <c r="A244" s="185"/>
      <c r="B244" s="167"/>
      <c r="C244" s="370"/>
      <c r="D244" s="412"/>
      <c r="E244" s="116"/>
      <c r="F244" s="120"/>
      <c r="G244" s="180"/>
      <c r="H244" s="181"/>
      <c r="I244" s="120"/>
      <c r="J244" s="231"/>
      <c r="K244" s="108"/>
      <c r="L244" s="83"/>
      <c r="M244" s="109"/>
      <c r="N244" s="83"/>
      <c r="O244" s="109"/>
      <c r="P244" s="83"/>
      <c r="Q244" s="109"/>
      <c r="R244" s="83"/>
      <c r="S244" s="109"/>
      <c r="T244" s="83"/>
      <c r="U244" s="109"/>
      <c r="V244" s="83"/>
      <c r="W244" s="109"/>
      <c r="X244" s="83"/>
      <c r="Z244" s="99">
        <f t="shared" si="298"/>
        <v>0</v>
      </c>
      <c r="AC244" s="120"/>
      <c r="AE244" s="183"/>
      <c r="AG244" s="231"/>
      <c r="AH244" s="108"/>
      <c r="AI244" s="83"/>
      <c r="AJ244" s="109"/>
      <c r="AK244" s="83"/>
      <c r="AL244" s="109"/>
      <c r="AM244" s="83"/>
      <c r="AN244" s="109"/>
      <c r="AO244" s="83"/>
      <c r="AP244" s="109"/>
      <c r="AQ244" s="83"/>
      <c r="AR244" s="109"/>
      <c r="AS244" s="83"/>
      <c r="AT244" s="109"/>
      <c r="AU244" s="83"/>
      <c r="AV244" s="109"/>
      <c r="AW244" s="83"/>
      <c r="AX244" s="109"/>
      <c r="AY244" s="83"/>
      <c r="BA244" s="99">
        <f t="shared" si="299"/>
        <v>0</v>
      </c>
      <c r="BB244" s="82"/>
      <c r="BC244" s="82"/>
      <c r="BD244" s="82"/>
    </row>
    <row r="245" spans="1:56" s="59" customFormat="1" x14ac:dyDescent="0.2">
      <c r="A245" s="185"/>
      <c r="B245" s="829" t="s">
        <v>532</v>
      </c>
      <c r="C245" s="830" t="s">
        <v>533</v>
      </c>
      <c r="D245" s="412"/>
      <c r="E245" s="116"/>
      <c r="F245" s="306" t="s">
        <v>648</v>
      </c>
      <c r="G245" s="180"/>
      <c r="H245" s="181"/>
      <c r="I245" s="120"/>
      <c r="J245" s="231"/>
      <c r="K245" s="108"/>
      <c r="L245" s="83"/>
      <c r="M245" s="109"/>
      <c r="N245" s="83"/>
      <c r="O245" s="109"/>
      <c r="P245" s="83"/>
      <c r="Q245" s="109"/>
      <c r="R245" s="83"/>
      <c r="S245" s="109"/>
      <c r="T245" s="83"/>
      <c r="U245" s="109"/>
      <c r="V245" s="83"/>
      <c r="W245" s="109"/>
      <c r="X245" s="83"/>
      <c r="Z245" s="99">
        <f t="shared" si="298"/>
        <v>0</v>
      </c>
      <c r="AC245" s="306" t="s">
        <v>648</v>
      </c>
      <c r="AE245" s="183"/>
      <c r="AG245" s="231"/>
      <c r="AH245" s="108"/>
      <c r="AI245" s="83"/>
      <c r="AJ245" s="109"/>
      <c r="AK245" s="83"/>
      <c r="AL245" s="109"/>
      <c r="AM245" s="83"/>
      <c r="AN245" s="109"/>
      <c r="AO245" s="83"/>
      <c r="AP245" s="109"/>
      <c r="AQ245" s="83"/>
      <c r="AR245" s="109"/>
      <c r="AS245" s="83"/>
      <c r="AT245" s="109"/>
      <c r="AU245" s="83"/>
      <c r="AV245" s="109"/>
      <c r="AW245" s="83"/>
      <c r="AX245" s="109"/>
      <c r="AY245" s="83"/>
      <c r="BA245" s="99">
        <f t="shared" si="299"/>
        <v>0</v>
      </c>
      <c r="BB245" s="82"/>
      <c r="BC245" s="82"/>
      <c r="BD245" s="82"/>
    </row>
    <row r="246" spans="1:56" s="59" customFormat="1" ht="14.25" customHeight="1" x14ac:dyDescent="0.2">
      <c r="A246" s="177"/>
      <c r="B246" s="109">
        <f>+'[6]Exhibit - General Tax'!$I$32</f>
        <v>576224.64613545826</v>
      </c>
      <c r="C246" s="116">
        <f>+B246</f>
        <v>576224.64613545826</v>
      </c>
      <c r="D246" s="412">
        <v>408.1</v>
      </c>
      <c r="E246" s="116"/>
      <c r="F246" s="120" t="s">
        <v>123</v>
      </c>
      <c r="G246" s="180"/>
      <c r="H246" s="181">
        <v>16</v>
      </c>
      <c r="I246" s="120"/>
      <c r="J246" s="231">
        <f>+C246</f>
        <v>576224.64613545826</v>
      </c>
      <c r="K246" s="108"/>
      <c r="L246" s="115">
        <f>(VLOOKUP($H246,Factors,L$381))*$J246</f>
        <v>374546.01998804789</v>
      </c>
      <c r="M246" s="230"/>
      <c r="N246" s="115">
        <f>(VLOOKUP($H246,Factors,N$381))*$J246</f>
        <v>118875.14449774504</v>
      </c>
      <c r="O246" s="230"/>
      <c r="P246" s="115">
        <f>(VLOOKUP($H246,Factors,P$381))*$J246</f>
        <v>14981.840799521913</v>
      </c>
      <c r="Q246" s="230"/>
      <c r="R246" s="115">
        <f>(VLOOKUP($H246,Factors,R$381))*$J246</f>
        <v>32614.314971266936</v>
      </c>
      <c r="S246" s="230"/>
      <c r="T246" s="115">
        <f>(VLOOKUP($H246,Factors,T$381))*$J246</f>
        <v>8816.2370858725117</v>
      </c>
      <c r="U246" s="230"/>
      <c r="V246" s="115">
        <f>(VLOOKUP($H246,Factors,V$381))*$J246</f>
        <v>8182.3899751235076</v>
      </c>
      <c r="W246" s="230"/>
      <c r="X246" s="115">
        <f>(VLOOKUP($H246,Factors,X$381))*$J246</f>
        <v>18208.698817880482</v>
      </c>
      <c r="Y246" s="116"/>
      <c r="Z246" s="99">
        <f t="shared" si="298"/>
        <v>0</v>
      </c>
      <c r="AC246" s="120" t="s">
        <v>123</v>
      </c>
      <c r="AE246" s="154">
        <f>+H246</f>
        <v>16</v>
      </c>
      <c r="AF246"/>
      <c r="AG246" s="231">
        <f>+J246</f>
        <v>576224.64613545826</v>
      </c>
      <c r="AH246" s="108"/>
      <c r="AI246" s="115">
        <f>(VLOOKUP($AE246,func,AI$381))*$AG246</f>
        <v>162495.35021019922</v>
      </c>
      <c r="AJ246" s="230"/>
      <c r="AK246" s="115">
        <f>(VLOOKUP($AE246,func,AK$381))*$AG246</f>
        <v>111211.35670414344</v>
      </c>
      <c r="AL246" s="230"/>
      <c r="AM246" s="115">
        <f>(VLOOKUP($AE246,func,AM$381))*$AG246</f>
        <v>17747.719100972114</v>
      </c>
      <c r="AN246" s="230"/>
      <c r="AO246" s="115">
        <f>(VLOOKUP($AE246,func,AO$381))*$AG246</f>
        <v>139734.47668784863</v>
      </c>
      <c r="AP246" s="230"/>
      <c r="AQ246" s="115">
        <f>(VLOOKUP($AE246,func,AQ$381))*$AG246</f>
        <v>45176.012257019924</v>
      </c>
      <c r="AR246" s="230"/>
      <c r="AS246" s="115">
        <f>(VLOOKUP($AE246,func,AS$381))*$AG246</f>
        <v>66784.436487099607</v>
      </c>
      <c r="AT246" s="230"/>
      <c r="AU246" s="115">
        <f>(VLOOKUP($AE246,func,AU$381))*$AG246</f>
        <v>7145.185612079682</v>
      </c>
      <c r="AV246" s="230"/>
      <c r="AW246" s="115">
        <f>(VLOOKUP($AE246,func,AW$381))*$AG246</f>
        <v>7721.4102582151409</v>
      </c>
      <c r="AX246" s="230"/>
      <c r="AY246" s="115">
        <f>(VLOOKUP($AE246,func,AY$381))*$AG246</f>
        <v>18208.698817880482</v>
      </c>
      <c r="AZ246"/>
      <c r="BA246" s="99">
        <f t="shared" si="299"/>
        <v>0</v>
      </c>
      <c r="BB246" s="82"/>
      <c r="BC246" s="82"/>
      <c r="BD246" s="82"/>
    </row>
    <row r="247" spans="1:56" s="59" customFormat="1" ht="15" customHeight="1" x14ac:dyDescent="0.2">
      <c r="A247" s="177"/>
      <c r="B247" s="109">
        <f>+'[6]Exhibit - General Tax'!$I$31</f>
        <v>5440026.5431322297</v>
      </c>
      <c r="C247" s="116">
        <f>+B247</f>
        <v>5440026.5431322297</v>
      </c>
      <c r="D247" s="412">
        <v>408.1</v>
      </c>
      <c r="E247" s="116"/>
      <c r="F247" s="120" t="s">
        <v>124</v>
      </c>
      <c r="G247" s="180"/>
      <c r="H247" s="181">
        <v>18</v>
      </c>
      <c r="I247" s="120"/>
      <c r="J247" s="231">
        <f>+C247</f>
        <v>5440026.5431322297</v>
      </c>
      <c r="K247" s="108"/>
      <c r="L247" s="115">
        <f ca="1">(VLOOKUP($H247,Factors,L$381))*$J247</f>
        <v>2775501.5423060637</v>
      </c>
      <c r="M247" s="230"/>
      <c r="N247" s="115">
        <f ca="1">(VLOOKUP($H247,Factors,N$381))*$J247</f>
        <v>1417126.9144859458</v>
      </c>
      <c r="O247" s="230"/>
      <c r="P247" s="115">
        <f ca="1">(VLOOKUP($H247,Factors,P$381))*$J247</f>
        <v>210529.02721921727</v>
      </c>
      <c r="Q247" s="230"/>
      <c r="R247" s="115">
        <f ca="1">(VLOOKUP($H247,Factors,R$381))*$J247</f>
        <v>420514.05178412131</v>
      </c>
      <c r="S247" s="230"/>
      <c r="T247" s="115">
        <f ca="1">(VLOOKUP($H247,Factors,T$381))*$J247</f>
        <v>111520.54413421071</v>
      </c>
      <c r="U247" s="230"/>
      <c r="V247" s="115">
        <f ca="1">(VLOOKUP($H247,Factors,V$381))*$J247</f>
        <v>171360.83610866524</v>
      </c>
      <c r="W247" s="230"/>
      <c r="X247" s="115">
        <f ca="1">(VLOOKUP($H247,Factors,X$381))*$J247</f>
        <v>333473.6270940057</v>
      </c>
      <c r="Y247" s="116"/>
      <c r="Z247" s="99">
        <f t="shared" ca="1" si="298"/>
        <v>0</v>
      </c>
      <c r="AC247" s="120" t="s">
        <v>124</v>
      </c>
      <c r="AE247" s="154">
        <f t="shared" ref="AE247:AE250" si="303">+H247</f>
        <v>18</v>
      </c>
      <c r="AF247" s="459"/>
      <c r="AG247" s="231">
        <f t="shared" ref="AG247:AG250" si="304">+J247</f>
        <v>5440026.5431322297</v>
      </c>
      <c r="AH247" s="108"/>
      <c r="AI247" s="115">
        <f ca="1">(VLOOKUP($AE247,func,AI$381))*$AG247</f>
        <v>2301675.2303992463</v>
      </c>
      <c r="AJ247" s="230"/>
      <c r="AK247" s="115">
        <f ca="1">(VLOOKUP($AE247,func,AK$381))*$AG247</f>
        <v>1385030.7578814656</v>
      </c>
      <c r="AL247" s="230"/>
      <c r="AM247" s="115">
        <f ca="1">(VLOOKUP($AE247,func,AM$381))*$AG247</f>
        <v>640291.12412666343</v>
      </c>
      <c r="AN247" s="230"/>
      <c r="AO247" s="115">
        <f ca="1">(VLOOKUP($AE247,func,AO$381))*$AG247</f>
        <v>344897.68283458333</v>
      </c>
      <c r="AP247" s="230"/>
      <c r="AQ247" s="115">
        <f ca="1">(VLOOKUP($AE247,func,AQ$381))*$AG247</f>
        <v>121856.59456616195</v>
      </c>
      <c r="AR247" s="230"/>
      <c r="AS247" s="115">
        <f ca="1">(VLOOKUP($AE247,func,AS$381))*$AG247</f>
        <v>116960.57067734293</v>
      </c>
      <c r="AT247" s="230"/>
      <c r="AU247" s="115">
        <f ca="1">(VLOOKUP($AE247,func,AU$381))*$AG247</f>
        <v>30464.148641540487</v>
      </c>
      <c r="AV247" s="230"/>
      <c r="AW247" s="115">
        <f ca="1">(VLOOKUP($AE247,func,AW$381))*$AG247</f>
        <v>168096.82018278589</v>
      </c>
      <c r="AX247" s="230"/>
      <c r="AY247" s="115">
        <f ca="1">(VLOOKUP($AE247,func,AY$381))*$AG247</f>
        <v>330753.61382243957</v>
      </c>
      <c r="AZ247" s="459"/>
      <c r="BA247" s="99">
        <f t="shared" ca="1" si="299"/>
        <v>0</v>
      </c>
      <c r="BB247" s="82"/>
      <c r="BC247" s="82"/>
      <c r="BD247" s="82"/>
    </row>
    <row r="248" spans="1:56" s="59" customFormat="1" ht="15" customHeight="1" x14ac:dyDescent="0.2">
      <c r="A248" s="177"/>
      <c r="B248" s="109">
        <f>+'[6]Exhibit - General Tax'!$I$34</f>
        <v>9690.84</v>
      </c>
      <c r="C248" s="116">
        <f>+B248</f>
        <v>9690.84</v>
      </c>
      <c r="D248" s="412">
        <v>408.1</v>
      </c>
      <c r="E248" s="116"/>
      <c r="F248" s="120" t="s">
        <v>928</v>
      </c>
      <c r="G248" s="180"/>
      <c r="H248" s="181">
        <v>18</v>
      </c>
      <c r="I248" s="120"/>
      <c r="J248" s="231">
        <f>+C248</f>
        <v>9690.84</v>
      </c>
      <c r="K248" s="108"/>
      <c r="L248" s="115">
        <f ca="1">(VLOOKUP($H248,Factors,L$381))*$J248</f>
        <v>4944.266568</v>
      </c>
      <c r="M248" s="230"/>
      <c r="N248" s="115">
        <f ca="1">(VLOOKUP($H248,Factors,N$381))*$J248</f>
        <v>2524.4638199999999</v>
      </c>
      <c r="O248" s="230"/>
      <c r="P248" s="115">
        <f ca="1">(VLOOKUP($H248,Factors,P$381))*$J248</f>
        <v>375.03550799999999</v>
      </c>
      <c r="Q248" s="230"/>
      <c r="R248" s="115">
        <f ca="1">(VLOOKUP($H248,Factors,R$381))*$J248</f>
        <v>749.10193199999992</v>
      </c>
      <c r="S248" s="230"/>
      <c r="T248" s="115">
        <f ca="1">(VLOOKUP($H248,Factors,T$381))*$J248</f>
        <v>198.66222000000002</v>
      </c>
      <c r="U248" s="230"/>
      <c r="V248" s="115">
        <f ca="1">(VLOOKUP($H248,Factors,V$381))*$J248</f>
        <v>305.26146</v>
      </c>
      <c r="W248" s="230"/>
      <c r="X248" s="115">
        <f ca="1">(VLOOKUP($H248,Factors,X$381))*$J248</f>
        <v>594.04849200000001</v>
      </c>
      <c r="Y248" s="116"/>
      <c r="Z248" s="99">
        <f t="shared" ref="Z248" ca="1" si="305">SUM(L248:X248)-J248</f>
        <v>0</v>
      </c>
      <c r="AC248" s="120" t="s">
        <v>928</v>
      </c>
      <c r="AE248" s="154">
        <f t="shared" ref="AE248" si="306">+H248</f>
        <v>18</v>
      </c>
      <c r="AF248" s="481"/>
      <c r="AG248" s="231">
        <f t="shared" ref="AG248" si="307">+J248</f>
        <v>9690.84</v>
      </c>
      <c r="AH248" s="108"/>
      <c r="AI248" s="115">
        <f ca="1">(VLOOKUP($AE248,func,AI$381))*$AG248</f>
        <v>4100.1944039999998</v>
      </c>
      <c r="AJ248" s="230"/>
      <c r="AK248" s="115">
        <f ca="1">(VLOOKUP($AE248,func,AK$381))*$AG248</f>
        <v>2467.2878639999999</v>
      </c>
      <c r="AL248" s="230"/>
      <c r="AM248" s="115">
        <f ca="1">(VLOOKUP($AE248,func,AM$381))*$AG248</f>
        <v>1140.611868</v>
      </c>
      <c r="AN248" s="230"/>
      <c r="AO248" s="115">
        <f ca="1">(VLOOKUP($AE248,func,AO$381))*$AG248</f>
        <v>614.39925600000004</v>
      </c>
      <c r="AP248" s="230"/>
      <c r="AQ248" s="115">
        <f ca="1">(VLOOKUP($AE248,func,AQ$381))*$AG248</f>
        <v>217.074816</v>
      </c>
      <c r="AR248" s="230"/>
      <c r="AS248" s="115">
        <f ca="1">(VLOOKUP($AE248,func,AS$381))*$AG248</f>
        <v>208.35306</v>
      </c>
      <c r="AT248" s="230"/>
      <c r="AU248" s="115">
        <f ca="1">(VLOOKUP($AE248,func,AU$381))*$AG248</f>
        <v>54.268704</v>
      </c>
      <c r="AV248" s="230"/>
      <c r="AW248" s="115">
        <f ca="1">(VLOOKUP($AE248,func,AW$381))*$AG248</f>
        <v>299.446956</v>
      </c>
      <c r="AX248" s="230"/>
      <c r="AY248" s="115">
        <f ca="1">(VLOOKUP($AE248,func,AY$381))*$AG248</f>
        <v>589.20307200000002</v>
      </c>
      <c r="AZ248" s="481"/>
      <c r="BA248" s="99">
        <f t="shared" ref="BA248" ca="1" si="308">SUM(AI248:AY248)-AG248</f>
        <v>0</v>
      </c>
      <c r="BB248" s="82"/>
      <c r="BC248" s="82"/>
      <c r="BD248" s="82"/>
    </row>
    <row r="249" spans="1:56" ht="14.25" customHeight="1" x14ac:dyDescent="0.2">
      <c r="A249" s="177"/>
      <c r="B249" s="737">
        <f>+Linkin!L430</f>
        <v>167669.01510866775</v>
      </c>
      <c r="C249" s="116">
        <f>+B249+'[2]Inc Statment - SCH C.1'!$O$62</f>
        <v>193241.81652797142</v>
      </c>
      <c r="D249" s="412">
        <v>408.1</v>
      </c>
      <c r="F249" s="120" t="s">
        <v>652</v>
      </c>
      <c r="G249" s="180"/>
      <c r="H249" s="181">
        <v>19</v>
      </c>
      <c r="I249" s="120"/>
      <c r="J249" s="231">
        <f>+C249</f>
        <v>193241.81652797142</v>
      </c>
      <c r="K249" s="108"/>
      <c r="L249" s="115">
        <f ca="1">(VLOOKUP($H249,Factors,L$381))*$J249</f>
        <v>110128.51123929091</v>
      </c>
      <c r="M249" s="230"/>
      <c r="N249" s="115">
        <f ca="1">(VLOOKUP($H249,Factors,N$381))*$J249</f>
        <v>45778.986335476431</v>
      </c>
      <c r="O249" s="230"/>
      <c r="P249" s="115">
        <f ca="1">(VLOOKUP($H249,Factors,P$381))*$J249</f>
        <v>6589.5459436038245</v>
      </c>
      <c r="Q249" s="230"/>
      <c r="R249" s="115">
        <f ca="1">(VLOOKUP($H249,Factors,R$381))*$J249</f>
        <v>13391.657885388418</v>
      </c>
      <c r="S249" s="230"/>
      <c r="T249" s="115">
        <f ca="1">(VLOOKUP($H249,Factors,T$381))*$J249</f>
        <v>3632.9461507258629</v>
      </c>
      <c r="U249" s="230"/>
      <c r="V249" s="115">
        <f ca="1">(VLOOKUP($H249,Factors,V$381))*$J249</f>
        <v>4734.4245049353003</v>
      </c>
      <c r="W249" s="230"/>
      <c r="X249" s="115">
        <f ca="1">(VLOOKUP($H249,Factors,X$381))*$J249</f>
        <v>8985.7444685506707</v>
      </c>
      <c r="Y249" s="116"/>
      <c r="Z249" s="99">
        <f t="shared" ca="1" si="298"/>
        <v>0</v>
      </c>
      <c r="AC249" s="120" t="s">
        <v>652</v>
      </c>
      <c r="AE249" s="154">
        <f t="shared" si="303"/>
        <v>19</v>
      </c>
      <c r="AF249" s="459"/>
      <c r="AG249" s="231">
        <f t="shared" si="304"/>
        <v>193241.81652797142</v>
      </c>
      <c r="AH249" s="108"/>
      <c r="AI249" s="115">
        <f ca="1">(VLOOKUP($AE249,func,AI$381))*$AG249</f>
        <v>76813.622069868637</v>
      </c>
      <c r="AJ249" s="230"/>
      <c r="AK249" s="115">
        <f ca="1">(VLOOKUP($AE249,func,AK$381))*$AG249</f>
        <v>39440.654753358969</v>
      </c>
      <c r="AL249" s="230"/>
      <c r="AM249" s="115">
        <f ca="1">(VLOOKUP($AE249,func,AM$381))*$AG249</f>
        <v>15304.751869015337</v>
      </c>
      <c r="AN249" s="230"/>
      <c r="AO249" s="115">
        <f ca="1">(VLOOKUP($AE249,func,AO$381))*$AG249</f>
        <v>18705.807839907633</v>
      </c>
      <c r="AP249" s="230"/>
      <c r="AQ249" s="115">
        <f ca="1">(VLOOKUP($AE249,func,AQ$381))*$AG249</f>
        <v>8483.3157455779456</v>
      </c>
      <c r="AR249" s="230"/>
      <c r="AS249" s="115">
        <f ca="1">(VLOOKUP($AE249,func,AS$381))*$AG249</f>
        <v>16812.038037933511</v>
      </c>
      <c r="AT249" s="230"/>
      <c r="AU249" s="115">
        <f ca="1">(VLOOKUP($AE249,func,AU$381))*$AG249</f>
        <v>4154.6990553513851</v>
      </c>
      <c r="AV249" s="230"/>
      <c r="AW249" s="115">
        <f ca="1">(VLOOKUP($AE249,func,AW$381))*$AG249</f>
        <v>4599.1552333657201</v>
      </c>
      <c r="AX249" s="230"/>
      <c r="AY249" s="115">
        <f ca="1">(VLOOKUP($AE249,func,AY$381))*$AG249</f>
        <v>8927.7719235922796</v>
      </c>
      <c r="AZ249" s="459"/>
      <c r="BA249" s="99">
        <f t="shared" ca="1" si="299"/>
        <v>0</v>
      </c>
      <c r="BB249" s="82"/>
      <c r="BC249" s="82"/>
      <c r="BD249" s="82"/>
    </row>
    <row r="250" spans="1:56" s="417" customFormat="1" ht="14.25" customHeight="1" x14ac:dyDescent="0.2">
      <c r="A250" s="177"/>
      <c r="B250" s="177"/>
      <c r="C250" s="116"/>
      <c r="D250" s="412">
        <v>412</v>
      </c>
      <c r="E250" s="116"/>
      <c r="F250" s="120" t="s">
        <v>717</v>
      </c>
      <c r="G250" s="180"/>
      <c r="H250" s="181">
        <v>18</v>
      </c>
      <c r="I250" s="120"/>
      <c r="J250" s="231">
        <f>+C250</f>
        <v>0</v>
      </c>
      <c r="K250" s="108"/>
      <c r="L250" s="115">
        <f ca="1">(VLOOKUP($H250,Factors,L$381))*$J250</f>
        <v>0</v>
      </c>
      <c r="M250" s="230"/>
      <c r="N250" s="115">
        <f ca="1">(VLOOKUP($H250,Factors,N$381))*$J250</f>
        <v>0</v>
      </c>
      <c r="O250" s="230"/>
      <c r="P250" s="115">
        <f ca="1">(VLOOKUP($H250,Factors,P$381))*$J250</f>
        <v>0</v>
      </c>
      <c r="Q250" s="230"/>
      <c r="R250" s="115">
        <f ca="1">(VLOOKUP($H250,Factors,R$381))*$J250</f>
        <v>0</v>
      </c>
      <c r="S250" s="230"/>
      <c r="T250" s="115">
        <f ca="1">(VLOOKUP($H250,Factors,T$381))*$J250</f>
        <v>0</v>
      </c>
      <c r="U250" s="230"/>
      <c r="V250" s="115">
        <f ca="1">(VLOOKUP($H250,Factors,V$381))*$J250</f>
        <v>0</v>
      </c>
      <c r="W250" s="230"/>
      <c r="X250" s="115">
        <f ca="1">(VLOOKUP($H250,Factors,X$381))*$J250</f>
        <v>0</v>
      </c>
      <c r="Y250" s="116"/>
      <c r="Z250" s="99">
        <f t="shared" ref="Z250" ca="1" si="309">SUM(L250:X250)-J250</f>
        <v>0</v>
      </c>
      <c r="AC250" s="120" t="s">
        <v>717</v>
      </c>
      <c r="AE250" s="154">
        <f t="shared" si="303"/>
        <v>18</v>
      </c>
      <c r="AF250" s="459"/>
      <c r="AG250" s="231">
        <f t="shared" si="304"/>
        <v>0</v>
      </c>
      <c r="AH250" s="108"/>
      <c r="AI250" s="115">
        <f ca="1">(VLOOKUP($AE250,func,AI$381))*$AG250</f>
        <v>0</v>
      </c>
      <c r="AJ250" s="230"/>
      <c r="AK250" s="115">
        <f ca="1">(VLOOKUP($AE250,func,AK$381))*$AG250</f>
        <v>0</v>
      </c>
      <c r="AL250" s="230"/>
      <c r="AM250" s="115">
        <f ca="1">(VLOOKUP($AE250,func,AM$381))*$AG250</f>
        <v>0</v>
      </c>
      <c r="AN250" s="230"/>
      <c r="AO250" s="115">
        <f ca="1">(VLOOKUP($AE250,func,AO$381))*$AG250</f>
        <v>0</v>
      </c>
      <c r="AP250" s="230"/>
      <c r="AQ250" s="115">
        <f ca="1">(VLOOKUP($AE250,func,AQ$381))*$AG250</f>
        <v>0</v>
      </c>
      <c r="AR250" s="230"/>
      <c r="AS250" s="115">
        <f ca="1">(VLOOKUP($AE250,func,AS$381))*$AG250</f>
        <v>0</v>
      </c>
      <c r="AT250" s="230"/>
      <c r="AU250" s="115">
        <f ca="1">(VLOOKUP($AE250,func,AU$381))*$AG250</f>
        <v>0</v>
      </c>
      <c r="AV250" s="230"/>
      <c r="AW250" s="115">
        <f ca="1">(VLOOKUP($AE250,func,AW$381))*$AG250</f>
        <v>0</v>
      </c>
      <c r="AX250" s="230"/>
      <c r="AY250" s="115">
        <f ca="1">(VLOOKUP($AE250,func,AY$381))*$AG250</f>
        <v>0</v>
      </c>
      <c r="AZ250" s="459"/>
      <c r="BA250" s="99">
        <f t="shared" ca="1" si="299"/>
        <v>0</v>
      </c>
      <c r="BB250" s="82"/>
      <c r="BC250" s="82"/>
      <c r="BD250" s="82"/>
    </row>
    <row r="251" spans="1:56" ht="3" customHeight="1" x14ac:dyDescent="0.2">
      <c r="A251" s="185"/>
      <c r="B251" s="167">
        <f>+SUM(C246:C249)</f>
        <v>6219183.8457956584</v>
      </c>
      <c r="F251" s="120"/>
      <c r="G251" s="180"/>
      <c r="H251" s="181"/>
      <c r="I251" s="120"/>
      <c r="J251" s="305"/>
      <c r="K251" s="108"/>
      <c r="L251" s="304"/>
      <c r="M251" s="108"/>
      <c r="N251" s="304"/>
      <c r="O251" s="108"/>
      <c r="P251" s="304"/>
      <c r="Q251" s="108"/>
      <c r="R251" s="304"/>
      <c r="S251" s="108"/>
      <c r="T251" s="304"/>
      <c r="U251" s="108"/>
      <c r="V251" s="304"/>
      <c r="W251" s="108"/>
      <c r="X251" s="304"/>
      <c r="Y251" s="116"/>
      <c r="Z251" s="99">
        <f t="shared" si="298"/>
        <v>0</v>
      </c>
      <c r="AC251" s="120"/>
      <c r="AE251" s="154"/>
      <c r="AG251" s="305"/>
      <c r="AH251" s="108"/>
      <c r="AI251" s="304"/>
      <c r="AJ251" s="108"/>
      <c r="AK251" s="304"/>
      <c r="AL251" s="108"/>
      <c r="AM251" s="304"/>
      <c r="AN251" s="108"/>
      <c r="AO251" s="304"/>
      <c r="AP251" s="108"/>
      <c r="AQ251" s="304"/>
      <c r="AR251" s="108"/>
      <c r="AS251" s="304"/>
      <c r="AT251" s="108"/>
      <c r="AU251" s="304"/>
      <c r="AV251" s="108"/>
      <c r="AW251" s="304"/>
      <c r="AX251" s="108"/>
      <c r="AY251" s="304"/>
      <c r="BA251" s="99">
        <f t="shared" si="299"/>
        <v>0</v>
      </c>
      <c r="BB251" s="82"/>
      <c r="BC251" s="82"/>
      <c r="BD251" s="82"/>
    </row>
    <row r="252" spans="1:56" x14ac:dyDescent="0.2">
      <c r="A252" s="177"/>
      <c r="B252" s="497">
        <f>SUM(B246:B249)</f>
        <v>6193611.0443763547</v>
      </c>
      <c r="C252" s="497">
        <f>SUM(C246:C249)</f>
        <v>6219183.8457956584</v>
      </c>
      <c r="F252" s="120"/>
      <c r="G252" s="180"/>
      <c r="H252" s="181"/>
      <c r="I252" s="120"/>
      <c r="J252" s="231"/>
      <c r="K252" s="108"/>
      <c r="L252" s="83"/>
      <c r="M252" s="108"/>
      <c r="N252" s="83"/>
      <c r="O252" s="108"/>
      <c r="P252" s="83"/>
      <c r="Q252" s="108"/>
      <c r="R252" s="83"/>
      <c r="S252" s="108"/>
      <c r="T252" s="83"/>
      <c r="U252" s="108"/>
      <c r="V252" s="83"/>
      <c r="W252" s="108"/>
      <c r="X252" s="83"/>
      <c r="Z252" s="99">
        <f t="shared" si="298"/>
        <v>0</v>
      </c>
      <c r="AC252" s="120"/>
      <c r="AG252" s="231"/>
      <c r="AH252" s="108"/>
      <c r="AI252" s="83"/>
      <c r="AJ252" s="108"/>
      <c r="AK252" s="83"/>
      <c r="AL252" s="108"/>
      <c r="AM252" s="83"/>
      <c r="AN252" s="108"/>
      <c r="AO252" s="83"/>
      <c r="AP252" s="108"/>
      <c r="AQ252" s="83"/>
      <c r="AR252" s="108"/>
      <c r="AS252" s="83"/>
      <c r="AT252" s="108"/>
      <c r="AU252" s="83"/>
      <c r="AV252" s="108"/>
      <c r="AW252" s="83"/>
      <c r="AX252" s="108"/>
      <c r="AY252" s="83"/>
      <c r="BA252" s="99">
        <f t="shared" si="299"/>
        <v>0</v>
      </c>
      <c r="BB252" s="82"/>
      <c r="BC252" s="82"/>
      <c r="BD252" s="82"/>
    </row>
    <row r="253" spans="1:56" x14ac:dyDescent="0.2">
      <c r="A253" s="177"/>
      <c r="B253" s="109">
        <f>+'[2]Inc Statment - SCH C.1'!$M$62</f>
        <v>6193611.0443763556</v>
      </c>
      <c r="C253" s="116">
        <f>+'[2]Inc Statment - SCH C.1'!$Q$62</f>
        <v>6219183.8457956593</v>
      </c>
      <c r="F253" s="120" t="s">
        <v>420</v>
      </c>
      <c r="G253" s="180"/>
      <c r="H253" s="181"/>
      <c r="I253" s="120"/>
      <c r="J253" s="231">
        <f>SUM(J246:J252)</f>
        <v>6219183.8457956584</v>
      </c>
      <c r="K253" s="120"/>
      <c r="L253" s="231">
        <f ca="1">SUM(L246:L252)</f>
        <v>3265120.3401014023</v>
      </c>
      <c r="M253" s="120"/>
      <c r="N253" s="231">
        <f ca="1">SUM(N246:N252)</f>
        <v>1584305.5091391671</v>
      </c>
      <c r="O253" s="120"/>
      <c r="P253" s="231">
        <f ca="1">SUM(P246:P252)</f>
        <v>232475.44947034301</v>
      </c>
      <c r="Q253" s="120"/>
      <c r="R253" s="231">
        <f ca="1">SUM(R246:R252)</f>
        <v>467269.1265727767</v>
      </c>
      <c r="S253" s="120"/>
      <c r="T253" s="231">
        <f ca="1">SUM(T246:T252)</f>
        <v>124168.38959080908</v>
      </c>
      <c r="U253" s="120"/>
      <c r="V253" s="231">
        <f ca="1">SUM(V246:V252)</f>
        <v>184582.91204872407</v>
      </c>
      <c r="W253" s="120"/>
      <c r="X253" s="231">
        <f ca="1">SUM(X246:X252)</f>
        <v>361262.11887243681</v>
      </c>
      <c r="Z253" s="99">
        <f t="shared" ca="1" si="298"/>
        <v>0</v>
      </c>
      <c r="AC253" s="120" t="s">
        <v>420</v>
      </c>
      <c r="AE253" s="154"/>
      <c r="AG253" s="231">
        <f>SUM(AG246:AG252)</f>
        <v>6219183.8457956584</v>
      </c>
      <c r="AH253" s="120"/>
      <c r="AI253" s="231">
        <f ca="1">SUM(AI246:AI252)</f>
        <v>2545084.3970833141</v>
      </c>
      <c r="AJ253" s="120"/>
      <c r="AK253" s="231">
        <f ca="1">SUM(AK246:AK252)</f>
        <v>1538150.057202968</v>
      </c>
      <c r="AL253" s="120"/>
      <c r="AM253" s="231">
        <f ca="1">SUM(AM246:AM252)</f>
        <v>674484.20696465089</v>
      </c>
      <c r="AN253" s="120"/>
      <c r="AO253" s="231">
        <f ca="1">SUM(AO246:AO252)</f>
        <v>503952.36661833961</v>
      </c>
      <c r="AP253" s="120"/>
      <c r="AQ253" s="231">
        <f ca="1">SUM(AQ246:AQ252)</f>
        <v>175732.99738475983</v>
      </c>
      <c r="AR253" s="120"/>
      <c r="AS253" s="231">
        <f ca="1">SUM(AS246:AS252)</f>
        <v>200765.39826237602</v>
      </c>
      <c r="AT253" s="120"/>
      <c r="AU253" s="231">
        <f ca="1">SUM(AU246:AU252)</f>
        <v>41818.302012971551</v>
      </c>
      <c r="AW253" s="231">
        <f ca="1">SUM(AW246:AW252)</f>
        <v>180716.83263036676</v>
      </c>
      <c r="AY253" s="231">
        <f ca="1">SUM(AY246:AY252)</f>
        <v>358479.2876359123</v>
      </c>
      <c r="BA253" s="99">
        <f t="shared" ca="1" si="299"/>
        <v>0</v>
      </c>
      <c r="BB253" s="82"/>
      <c r="BC253" s="82"/>
      <c r="BD253" s="82"/>
    </row>
    <row r="254" spans="1:56" ht="14.25" customHeight="1" x14ac:dyDescent="0.2">
      <c r="A254" s="177"/>
      <c r="B254" s="738" t="s">
        <v>532</v>
      </c>
      <c r="C254" s="401" t="s">
        <v>533</v>
      </c>
      <c r="F254" s="120"/>
      <c r="G254" s="180"/>
      <c r="H254" s="181"/>
      <c r="I254" s="120"/>
      <c r="J254" s="231"/>
      <c r="K254" s="108"/>
      <c r="L254" s="83"/>
      <c r="M254" s="109"/>
      <c r="N254" s="109"/>
      <c r="O254" s="109"/>
      <c r="P254" s="109"/>
      <c r="Q254" s="109"/>
      <c r="R254" s="109"/>
      <c r="S254" s="109"/>
      <c r="T254" s="109"/>
      <c r="U254" s="109"/>
      <c r="V254" s="109"/>
      <c r="W254" s="109"/>
      <c r="X254" s="109"/>
      <c r="Z254" s="99">
        <f t="shared" si="298"/>
        <v>0</v>
      </c>
      <c r="AC254" s="120"/>
      <c r="AG254" s="231"/>
      <c r="AH254" s="108"/>
      <c r="AI254" s="83"/>
      <c r="AJ254" s="109"/>
      <c r="AK254" s="109"/>
      <c r="AL254" s="109"/>
      <c r="AM254" s="109"/>
      <c r="AN254" s="109"/>
      <c r="AO254" s="109"/>
      <c r="AP254" s="109"/>
      <c r="AQ254" s="109"/>
      <c r="AR254" s="109"/>
      <c r="AS254" s="109"/>
      <c r="AT254" s="109"/>
      <c r="AU254" s="109"/>
      <c r="AV254" s="84"/>
      <c r="AW254" s="84"/>
      <c r="AX254" s="84"/>
      <c r="AY254" s="84"/>
      <c r="BA254" s="99">
        <f t="shared" si="299"/>
        <v>0</v>
      </c>
      <c r="BB254" s="82"/>
      <c r="BC254" s="82"/>
      <c r="BD254" s="82"/>
    </row>
    <row r="255" spans="1:56" ht="13.5" customHeight="1" x14ac:dyDescent="0.2">
      <c r="A255" s="177"/>
      <c r="B255" s="109">
        <f>+'[2]Inc Statment - SCH C.1'!$M$56+'[2]Inc Statment - SCH C.1'!$M$57+'[2]Inc Statment - SCH C.1'!$M$59+'[2]Inc Statment - SCH C.1'!$M$60+'[2]Inc Statment - SCH C.1'!$M$61</f>
        <v>7647970.5379352197</v>
      </c>
      <c r="C255" s="179">
        <f>+'[2]Inc Statment - SCH C.1'!$Q$56+'[2]Inc Statment - SCH C.1'!$Q$57+'[2]Inc Statment - SCH C.1'!$Q$59+'[2]Inc Statment - SCH C.1'!$Q$60+'[2]Inc Statment - SCH C.1'!$Q$61</f>
        <v>12830535.452040223</v>
      </c>
      <c r="D255" s="415"/>
      <c r="E255" s="179"/>
      <c r="F255" s="307" t="s">
        <v>649</v>
      </c>
      <c r="G255" s="180"/>
      <c r="H255" s="181">
        <v>18</v>
      </c>
      <c r="I255" s="120"/>
      <c r="J255" s="231">
        <f>+C255</f>
        <v>12830535.452040223</v>
      </c>
      <c r="K255" s="84"/>
      <c r="L255" s="115">
        <f ca="1">(VLOOKUP($H255,Factors,L$381))*$J255</f>
        <v>6546139.1876309216</v>
      </c>
      <c r="M255" s="230"/>
      <c r="N255" s="115">
        <f ca="1">(VLOOKUP($H255,Factors,N$381))*$J255</f>
        <v>3342354.4852564782</v>
      </c>
      <c r="O255" s="230"/>
      <c r="P255" s="115">
        <f ca="1">(VLOOKUP($H255,Factors,P$381))*$J255</f>
        <v>496541.7219939566</v>
      </c>
      <c r="Q255" s="230"/>
      <c r="R255" s="115">
        <f ca="1">(VLOOKUP($H255,Factors,R$381))*$J255</f>
        <v>991800.39044270921</v>
      </c>
      <c r="S255" s="230"/>
      <c r="T255" s="115">
        <f ca="1">(VLOOKUP($H255,Factors,T$381))*$J255</f>
        <v>263025.97676682461</v>
      </c>
      <c r="U255" s="230"/>
      <c r="V255" s="115">
        <f ca="1">(VLOOKUP($H255,Factors,V$381))*$J255</f>
        <v>404161.86673926702</v>
      </c>
      <c r="W255" s="230"/>
      <c r="X255" s="115">
        <f ca="1">(VLOOKUP($H255,Factors,X$381))*$J255</f>
        <v>786511.82321006572</v>
      </c>
      <c r="Y255" s="116"/>
      <c r="Z255" s="99">
        <f t="shared" ca="1" si="298"/>
        <v>0</v>
      </c>
      <c r="AC255" s="307" t="s">
        <v>649</v>
      </c>
      <c r="AE255" s="154">
        <f>+H255</f>
        <v>18</v>
      </c>
      <c r="AG255" s="231">
        <f>+J255</f>
        <v>12830535.452040223</v>
      </c>
      <c r="AH255" s="84"/>
      <c r="AI255" s="115">
        <f ca="1">(VLOOKUP($AE255,func,AI$381))*$AG255</f>
        <v>5428599.5497582182</v>
      </c>
      <c r="AJ255" s="230"/>
      <c r="AK255" s="115">
        <f ca="1">(VLOOKUP($AE255,func,AK$381))*$AG255</f>
        <v>3266654.3260894408</v>
      </c>
      <c r="AL255" s="230"/>
      <c r="AM255" s="115">
        <f ca="1">(VLOOKUP($AE255,func,AM$381))*$AG255</f>
        <v>1510154.0227051342</v>
      </c>
      <c r="AN255" s="230"/>
      <c r="AO255" s="115">
        <f ca="1">(VLOOKUP($AE255,func,AO$381))*$AG255</f>
        <v>813455.94765935012</v>
      </c>
      <c r="AP255" s="230"/>
      <c r="AQ255" s="115">
        <f ca="1">(VLOOKUP($AE255,func,AQ$381))*$AG255</f>
        <v>287403.99412570102</v>
      </c>
      <c r="AR255" s="230"/>
      <c r="AS255" s="115">
        <f ca="1">(VLOOKUP($AE255,func,AS$381))*$AG255</f>
        <v>275856.51221886481</v>
      </c>
      <c r="AT255" s="230"/>
      <c r="AU255" s="115">
        <f ca="1">(VLOOKUP($AE255,func,AU$381))*$AG255</f>
        <v>71850.998531425255</v>
      </c>
      <c r="AV255" s="69"/>
      <c r="AW255" s="69">
        <f ca="1">(VLOOKUP($AE255,func,AW$381))*$AG255</f>
        <v>396463.5454680429</v>
      </c>
      <c r="AX255" s="69"/>
      <c r="AY255" s="69">
        <f ca="1">(VLOOKUP($AE255,func,AY$381))*$AG255</f>
        <v>780096.55548404553</v>
      </c>
      <c r="BA255" s="99">
        <f t="shared" ca="1" si="299"/>
        <v>0</v>
      </c>
      <c r="BB255" s="82"/>
      <c r="BC255" s="82"/>
      <c r="BD255" s="82"/>
    </row>
    <row r="256" spans="1:56" ht="11.85" customHeight="1" x14ac:dyDescent="0.2">
      <c r="A256" s="177"/>
      <c r="B256" s="177"/>
      <c r="C256" s="372"/>
      <c r="D256" s="415"/>
      <c r="E256" s="179"/>
      <c r="F256" s="120"/>
      <c r="G256" s="180"/>
      <c r="H256" s="181"/>
      <c r="I256" s="120"/>
      <c r="J256" s="231"/>
      <c r="K256" s="84"/>
      <c r="L256" s="296"/>
      <c r="M256" s="297"/>
      <c r="N256" s="296"/>
      <c r="O256" s="297"/>
      <c r="P256" s="296"/>
      <c r="Q256" s="297"/>
      <c r="R256" s="296"/>
      <c r="S256" s="297"/>
      <c r="T256" s="296"/>
      <c r="U256" s="297"/>
      <c r="V256" s="296"/>
      <c r="W256" s="297"/>
      <c r="X256" s="296"/>
      <c r="Z256" s="99">
        <f t="shared" si="298"/>
        <v>0</v>
      </c>
      <c r="AC256" s="120"/>
      <c r="AE256" s="154"/>
      <c r="AG256" s="231"/>
      <c r="AH256" s="84"/>
      <c r="AI256" s="296"/>
      <c r="AJ256" s="297"/>
      <c r="AK256" s="296"/>
      <c r="AL256" s="297"/>
      <c r="AM256" s="296"/>
      <c r="AN256" s="297"/>
      <c r="AO256" s="296"/>
      <c r="AP256" s="297"/>
      <c r="AQ256" s="296"/>
      <c r="AR256" s="297"/>
      <c r="AS256" s="296"/>
      <c r="AT256" s="297"/>
      <c r="AU256" s="296"/>
      <c r="AV256" s="296"/>
      <c r="AW256" s="296"/>
      <c r="AX256" s="296"/>
      <c r="AY256" s="296"/>
      <c r="BA256" s="99">
        <f t="shared" si="299"/>
        <v>0</v>
      </c>
      <c r="BB256" s="82"/>
      <c r="BC256" s="82"/>
      <c r="BD256" s="82"/>
    </row>
    <row r="257" spans="1:56" ht="12.2" customHeight="1" x14ac:dyDescent="0.2">
      <c r="A257" s="177"/>
      <c r="B257" s="177"/>
      <c r="C257" s="370"/>
      <c r="F257" s="307" t="s">
        <v>125</v>
      </c>
      <c r="G257" s="180"/>
      <c r="H257" s="181"/>
      <c r="I257" s="120"/>
      <c r="J257" s="231"/>
      <c r="K257" s="84"/>
      <c r="L257" s="83"/>
      <c r="M257" s="84"/>
      <c r="N257" s="109"/>
      <c r="O257" s="84"/>
      <c r="P257" s="109"/>
      <c r="Q257" s="84"/>
      <c r="R257" s="109"/>
      <c r="S257" s="84"/>
      <c r="T257" s="109"/>
      <c r="U257" s="84"/>
      <c r="V257" s="109"/>
      <c r="W257" s="84"/>
      <c r="X257" s="109"/>
      <c r="Z257" s="99">
        <f t="shared" si="298"/>
        <v>0</v>
      </c>
      <c r="AC257" s="307" t="s">
        <v>125</v>
      </c>
      <c r="AG257" s="231"/>
      <c r="AH257" s="84"/>
      <c r="AI257" s="83"/>
      <c r="AJ257" s="84"/>
      <c r="AK257" s="109"/>
      <c r="AL257" s="84"/>
      <c r="AM257" s="109"/>
      <c r="AN257" s="84"/>
      <c r="AO257" s="109"/>
      <c r="AP257" s="84"/>
      <c r="AQ257" s="109"/>
      <c r="AR257" s="84"/>
      <c r="AS257" s="109"/>
      <c r="AT257" s="84"/>
      <c r="AU257" s="109"/>
      <c r="AV257" s="84"/>
      <c r="AW257" s="109"/>
      <c r="AX257" s="84"/>
      <c r="AY257" s="109"/>
      <c r="BA257" s="99">
        <f t="shared" si="299"/>
        <v>0</v>
      </c>
      <c r="BB257" s="82"/>
      <c r="BC257" s="82"/>
      <c r="BD257" s="82"/>
    </row>
    <row r="258" spans="1:56" x14ac:dyDescent="0.2">
      <c r="A258" s="177"/>
      <c r="B258" s="831">
        <f>+'[2]Inc Statment - SCH C.1'!$M$67-155</f>
        <v>25057411.632516682</v>
      </c>
      <c r="C258" s="303">
        <f>+'[2]Inc Statment - SCH C.1'!$Q$67-155</f>
        <v>33197647.215127155</v>
      </c>
      <c r="D258" s="416"/>
      <c r="E258" s="405"/>
      <c r="F258" s="307" t="s">
        <v>126</v>
      </c>
      <c r="G258" s="180"/>
      <c r="H258" s="181">
        <v>18</v>
      </c>
      <c r="I258" s="120"/>
      <c r="J258" s="305">
        <f>+C258</f>
        <v>33197647.215127155</v>
      </c>
      <c r="K258" s="84"/>
      <c r="L258" s="304">
        <f ca="1">(VLOOKUP($H258,Factors,L$381))*$J258</f>
        <v>16937439.609157875</v>
      </c>
      <c r="M258" s="84"/>
      <c r="N258" s="304">
        <f ca="1">(VLOOKUP($H258,Factors,N$381))*$J258</f>
        <v>8647987.0995406248</v>
      </c>
      <c r="O258" s="84"/>
      <c r="P258" s="304">
        <f ca="1">(VLOOKUP($H258,Factors,P$381))*$J258</f>
        <v>1284748.9472254207</v>
      </c>
      <c r="Q258" s="84"/>
      <c r="R258" s="304">
        <f ca="1">(VLOOKUP($H258,Factors,R$381))*$J258</f>
        <v>2566178.1297293287</v>
      </c>
      <c r="S258" s="84"/>
      <c r="T258" s="304">
        <f ca="1">(VLOOKUP($H258,Factors,T$381))*$J258</f>
        <v>680551.76791010669</v>
      </c>
      <c r="U258" s="84"/>
      <c r="V258" s="304">
        <f ca="1">(VLOOKUP($H258,Factors,V$381))*$J258</f>
        <v>1045725.8872765054</v>
      </c>
      <c r="W258" s="84"/>
      <c r="X258" s="304">
        <f ca="1">(VLOOKUP($H258,Factors,X$381))*$J258</f>
        <v>2035015.7742872946</v>
      </c>
      <c r="Y258" s="116"/>
      <c r="Z258" s="99">
        <f t="shared" ca="1" si="298"/>
        <v>0</v>
      </c>
      <c r="AC258" s="307" t="s">
        <v>126</v>
      </c>
      <c r="AE258" s="154">
        <f>+H258</f>
        <v>18</v>
      </c>
      <c r="AG258" s="305">
        <f>+J258</f>
        <v>33197647.215127155</v>
      </c>
      <c r="AH258" s="84"/>
      <c r="AI258" s="304">
        <f ca="1">(VLOOKUP($AE258,func,AI$381))*$AG258</f>
        <v>14045924.536720298</v>
      </c>
      <c r="AJ258" s="84"/>
      <c r="AK258" s="304">
        <f ca="1">(VLOOKUP($AE258,func,AK$381))*$AG258</f>
        <v>8452120.9809713736</v>
      </c>
      <c r="AL258" s="84"/>
      <c r="AM258" s="304">
        <f ca="1">(VLOOKUP($AE258,func,AM$381))*$AG258</f>
        <v>3907363.077220466</v>
      </c>
      <c r="AN258" s="84"/>
      <c r="AO258" s="304">
        <f ca="1">(VLOOKUP($AE258,func,AO$381))*$AG258</f>
        <v>2104730.8334390614</v>
      </c>
      <c r="AP258" s="84"/>
      <c r="AQ258" s="304">
        <f ca="1">(VLOOKUP($AE258,func,AQ$381))*$AG258</f>
        <v>743627.29761884827</v>
      </c>
      <c r="AR258" s="84"/>
      <c r="AS258" s="304">
        <f ca="1">(VLOOKUP($AE258,func,AS$381))*$AG258</f>
        <v>713749.41512523382</v>
      </c>
      <c r="AT258" s="84"/>
      <c r="AU258" s="304">
        <f ca="1">(VLOOKUP($AE258,func,AU$381))*$AG258</f>
        <v>185906.82440471207</v>
      </c>
      <c r="AW258" s="70">
        <f ca="1">(VLOOKUP($AE258,func,AW$381))*$AG258</f>
        <v>1025807.2989474291</v>
      </c>
      <c r="AY258" s="70">
        <f ca="1">(VLOOKUP($AE258,func,AY$381))*$AG258</f>
        <v>2018416.9506797311</v>
      </c>
      <c r="BA258" s="99">
        <f t="shared" ca="1" si="299"/>
        <v>0</v>
      </c>
      <c r="BB258" s="82"/>
      <c r="BC258" s="82"/>
      <c r="BD258" s="82"/>
    </row>
    <row r="259" spans="1:56" x14ac:dyDescent="0.2">
      <c r="A259" s="177"/>
      <c r="B259" s="177"/>
      <c r="C259" s="370"/>
      <c r="F259" s="307"/>
      <c r="G259" s="180"/>
      <c r="H259" s="181"/>
      <c r="I259" s="120"/>
      <c r="J259" s="231"/>
      <c r="K259" s="108"/>
      <c r="L259" s="110"/>
      <c r="M259" s="108"/>
      <c r="N259" s="110"/>
      <c r="O259" s="108"/>
      <c r="P259" s="110"/>
      <c r="Q259" s="108"/>
      <c r="R259" s="110"/>
      <c r="S259" s="108"/>
      <c r="T259" s="110"/>
      <c r="U259" s="108"/>
      <c r="V259" s="110"/>
      <c r="W259" s="108"/>
      <c r="X259" s="110"/>
      <c r="Z259" s="99">
        <f t="shared" si="298"/>
        <v>0</v>
      </c>
      <c r="AC259" s="307"/>
      <c r="AE259" s="113"/>
      <c r="AG259" s="231"/>
      <c r="AH259" s="108"/>
      <c r="AI259" s="110"/>
      <c r="AJ259" s="108"/>
      <c r="AK259" s="110"/>
      <c r="AL259" s="108"/>
      <c r="AM259" s="110"/>
      <c r="AN259" s="108"/>
      <c r="AO259" s="110"/>
      <c r="AP259" s="108"/>
      <c r="AQ259" s="110"/>
      <c r="AR259" s="108"/>
      <c r="AS259" s="110"/>
      <c r="AT259" s="108"/>
      <c r="AU259" s="110"/>
      <c r="AV259" s="84"/>
      <c r="AW259" s="83"/>
      <c r="AX259" s="84"/>
      <c r="AY259" s="83"/>
      <c r="BA259" s="99">
        <f t="shared" si="299"/>
        <v>0</v>
      </c>
      <c r="BB259" s="82"/>
      <c r="BC259" s="82"/>
      <c r="BD259" s="82"/>
    </row>
    <row r="260" spans="1:56" ht="12" customHeight="1" x14ac:dyDescent="0.2">
      <c r="A260" s="177"/>
      <c r="B260" s="177"/>
      <c r="C260" s="116">
        <f>+'[2]Inc Statment - SCH C.1'!$Q$20</f>
        <v>101804658.10692011</v>
      </c>
      <c r="F260" s="307" t="s">
        <v>419</v>
      </c>
      <c r="G260" s="180"/>
      <c r="H260" s="181"/>
      <c r="I260" s="120"/>
      <c r="J260" s="231">
        <f>J173+J236+J253+J255+J258+J243</f>
        <v>101804505.38809247</v>
      </c>
      <c r="K260" s="120"/>
      <c r="L260" s="231">
        <f ca="1">L173+L236+L253+L255+L258+L243</f>
        <v>58027784.787477233</v>
      </c>
      <c r="M260" s="120"/>
      <c r="N260" s="231">
        <f ca="1">N173+N236+N253+N255+N258+N243</f>
        <v>24113678.564359874</v>
      </c>
      <c r="O260" s="120"/>
      <c r="P260" s="231">
        <f ca="1">P173+P236+P253+P255+P258+P243</f>
        <v>3466863.4890818722</v>
      </c>
      <c r="Q260" s="120"/>
      <c r="R260" s="231">
        <f ca="1">R173+R236+R253+R255+R258+R243</f>
        <v>7056895.9739095317</v>
      </c>
      <c r="S260" s="120"/>
      <c r="T260" s="231">
        <f ca="1">T173+T236+T253+T255+T258+T243</f>
        <v>1912366.0385502607</v>
      </c>
      <c r="U260" s="120"/>
      <c r="V260" s="231">
        <f ca="1">V173+V236+V253+V255+V258+V243</f>
        <v>2497908.7371201483</v>
      </c>
      <c r="W260" s="120"/>
      <c r="X260" s="231">
        <f ca="1">X173+X236+X253+X255+X258+X243</f>
        <v>4729007.797593548</v>
      </c>
      <c r="Y260" s="82"/>
      <c r="Z260" s="99">
        <f t="shared" ca="1" si="298"/>
        <v>0</v>
      </c>
      <c r="AC260" s="307" t="s">
        <v>419</v>
      </c>
      <c r="AG260" s="231">
        <f>AG173+AG236+AG253+AG255+AG258+AG243</f>
        <v>101804505.38809247</v>
      </c>
      <c r="AH260" s="120"/>
      <c r="AI260" s="231">
        <f ca="1">AI173+AI236+AI253+AI255+AI258+AI243</f>
        <v>40472660.409688592</v>
      </c>
      <c r="AJ260" s="120"/>
      <c r="AK260" s="231">
        <f ca="1">AK173+AK236+AK253+AK255+AK258+AK243</f>
        <v>20773576.753308225</v>
      </c>
      <c r="AL260" s="120"/>
      <c r="AM260" s="231">
        <f ca="1">AM173+AM236+AM253+AM255+AM258+AM243</f>
        <v>8063284.3272820413</v>
      </c>
      <c r="AN260" s="120"/>
      <c r="AO260" s="231">
        <f ca="1">AO173+AO236+AO253+AO255+AO258+AO243</f>
        <v>9857508.3706154414</v>
      </c>
      <c r="AP260" s="120"/>
      <c r="AQ260" s="231">
        <f ca="1">AQ173+AQ236+AQ253+AQ255+AQ258+AQ243</f>
        <v>4472212.034796319</v>
      </c>
      <c r="AR260" s="120"/>
      <c r="AS260" s="231">
        <f ca="1">AS173+AS236+AS253+AS255+AS258+AS243</f>
        <v>8856527.2427596115</v>
      </c>
      <c r="AT260" s="120"/>
      <c r="AU260" s="231">
        <f ca="1">AU173+AU236+AU253+AU255+AU258+AU243</f>
        <v>2188254.148734597</v>
      </c>
      <c r="AW260" s="231">
        <f ca="1">AW173+AW236+AW253+AW255+AW258+AW243</f>
        <v>2421627.8226169553</v>
      </c>
      <c r="AY260" s="231">
        <f ca="1">AY173+AY236+AY253+AY255+AY258+AY243</f>
        <v>4698854.2782906936</v>
      </c>
      <c r="BA260" s="99">
        <f t="shared" ref="BA260" ca="1" si="310">SUM(AI260:AY260)-AG260</f>
        <v>0</v>
      </c>
      <c r="BB260" s="82"/>
      <c r="BC260" s="82"/>
      <c r="BD260" s="82"/>
    </row>
    <row r="261" spans="1:56" ht="12" customHeight="1" x14ac:dyDescent="0.2">
      <c r="A261" s="177"/>
      <c r="B261" s="177"/>
      <c r="C261" s="116">
        <f>+C260-J260</f>
        <v>152.71882763504982</v>
      </c>
      <c r="F261" s="120"/>
      <c r="G261" s="180"/>
      <c r="H261" s="181"/>
      <c r="I261" s="120"/>
      <c r="J261" s="231"/>
      <c r="K261" s="84"/>
      <c r="L261" s="83"/>
      <c r="M261" s="84"/>
      <c r="N261" s="109"/>
      <c r="O261" s="84"/>
      <c r="P261" s="109"/>
      <c r="Q261" s="84"/>
      <c r="R261" s="109"/>
      <c r="S261" s="84"/>
      <c r="T261" s="109"/>
      <c r="U261" s="84"/>
      <c r="V261" s="109"/>
      <c r="W261" s="84"/>
      <c r="X261" s="109"/>
      <c r="Y261" s="82"/>
      <c r="Z261" s="99">
        <f t="shared" si="298"/>
        <v>0</v>
      </c>
      <c r="AC261" s="120"/>
      <c r="AG261" s="231"/>
      <c r="AH261" s="84"/>
      <c r="AI261" s="83"/>
      <c r="AJ261" s="84"/>
      <c r="AK261" s="109"/>
      <c r="AL261" s="84"/>
      <c r="AM261" s="109"/>
      <c r="AN261" s="84"/>
      <c r="AO261" s="109"/>
      <c r="AP261" s="84"/>
      <c r="AQ261" s="109"/>
      <c r="AR261" s="84"/>
      <c r="AS261" s="109"/>
      <c r="AT261" s="84"/>
      <c r="AU261" s="109"/>
      <c r="AV261" s="84"/>
      <c r="AW261" s="84"/>
      <c r="AX261" s="84"/>
      <c r="AY261" s="84"/>
      <c r="BA261" s="99">
        <f t="shared" ref="BA261:BA332" si="311">SUM(AI261:AY261)-AG261</f>
        <v>0</v>
      </c>
      <c r="BB261" s="82"/>
      <c r="BC261" s="82"/>
      <c r="BD261" s="82"/>
    </row>
    <row r="262" spans="1:56" x14ac:dyDescent="0.2">
      <c r="A262" s="177"/>
      <c r="B262" s="177"/>
      <c r="C262" s="116">
        <f>+'[7]Sch M'!$V$34</f>
        <v>59000</v>
      </c>
      <c r="F262" s="120" t="s">
        <v>932</v>
      </c>
      <c r="G262" s="180"/>
      <c r="H262" s="181">
        <v>19</v>
      </c>
      <c r="I262" s="120"/>
      <c r="J262" s="231">
        <f>+C262</f>
        <v>59000</v>
      </c>
      <c r="K262" s="84"/>
      <c r="L262" s="115">
        <f t="shared" ref="L262:L270" ca="1" si="312">(VLOOKUP($H262,Factors,L$381))*$J262</f>
        <v>33624.1</v>
      </c>
      <c r="M262" s="230"/>
      <c r="N262" s="115">
        <f t="shared" ref="N262:N270" ca="1" si="313">(VLOOKUP($H262,Factors,N$381))*$J262</f>
        <v>13977.1</v>
      </c>
      <c r="O262" s="230"/>
      <c r="P262" s="115">
        <f t="shared" ref="P262:P270" ca="1" si="314">(VLOOKUP($H262,Factors,P$381))*$J262</f>
        <v>2011.8999999999999</v>
      </c>
      <c r="Q262" s="230"/>
      <c r="R262" s="115">
        <f t="shared" ref="R262:R270" ca="1" si="315">(VLOOKUP($H262,Factors,R$381))*$J262</f>
        <v>4088.7</v>
      </c>
      <c r="S262" s="230"/>
      <c r="T262" s="115">
        <f t="shared" ref="T262:T270" ca="1" si="316">(VLOOKUP($H262,Factors,T$381))*$J262</f>
        <v>1109.2</v>
      </c>
      <c r="U262" s="230"/>
      <c r="V262" s="115">
        <f t="shared" ref="V262:V270" ca="1" si="317">(VLOOKUP($H262,Factors,V$381))*$J262</f>
        <v>1445.5</v>
      </c>
      <c r="W262" s="230"/>
      <c r="X262" s="115">
        <f t="shared" ref="X262:X270" ca="1" si="318">(VLOOKUP($H262,Factors,X$381))*$J262</f>
        <v>2743.5</v>
      </c>
      <c r="Y262" s="116"/>
      <c r="Z262" s="99">
        <f t="shared" ca="1" si="298"/>
        <v>0</v>
      </c>
      <c r="AC262" s="120" t="s">
        <v>932</v>
      </c>
      <c r="AE262" s="154">
        <f t="shared" ref="AE262:AE270" si="319">+H262</f>
        <v>19</v>
      </c>
      <c r="AG262" s="231">
        <f t="shared" ref="AG262:AG270" si="320">+J262</f>
        <v>59000</v>
      </c>
      <c r="AH262" s="84"/>
      <c r="AI262" s="115">
        <f t="shared" ref="AI262:AI270" ca="1" si="321">(VLOOKUP($AE262,func,AI$381))*$AG262</f>
        <v>23452.5</v>
      </c>
      <c r="AJ262" s="230"/>
      <c r="AK262" s="115">
        <f t="shared" ref="AK262:AK270" ca="1" si="322">(VLOOKUP($AE262,func,AK$381))*$AG262</f>
        <v>12041.9</v>
      </c>
      <c r="AL262" s="230"/>
      <c r="AM262" s="115">
        <f t="shared" ref="AM262:AM270" ca="1" si="323">(VLOOKUP($AE262,func,AM$381))*$AG262</f>
        <v>4672.8</v>
      </c>
      <c r="AN262" s="230"/>
      <c r="AO262" s="115">
        <f t="shared" ref="AO262:AO270" ca="1" si="324">(VLOOKUP($AE262,func,AO$381))*$AG262</f>
        <v>5711.2</v>
      </c>
      <c r="AP262" s="230"/>
      <c r="AQ262" s="115">
        <f t="shared" ref="AQ262:AQ270" ca="1" si="325">(VLOOKUP($AE262,func,AQ$381))*$AG262</f>
        <v>2590.1</v>
      </c>
      <c r="AR262" s="230"/>
      <c r="AS262" s="115">
        <f t="shared" ref="AS262:AS270" ca="1" si="326">(VLOOKUP($AE262,func,AS$381))*$AG262</f>
        <v>5133</v>
      </c>
      <c r="AT262" s="230"/>
      <c r="AU262" s="115">
        <f t="shared" ref="AU262:AU270" ca="1" si="327">(VLOOKUP($AE262,func,AU$381))*$AG262</f>
        <v>1268.5</v>
      </c>
      <c r="AV262" s="69"/>
      <c r="AW262" s="69">
        <f t="shared" ref="AW262:AW270" ca="1" si="328">(VLOOKUP($AE262,func,AW$381))*$AG262</f>
        <v>1404.2</v>
      </c>
      <c r="AX262" s="69"/>
      <c r="AY262" s="69">
        <f t="shared" ref="AY262:AY270" ca="1" si="329">(VLOOKUP($AE262,func,AY$381))*$AG262</f>
        <v>2725.7999999999997</v>
      </c>
      <c r="BA262" s="99">
        <f t="shared" ca="1" si="311"/>
        <v>0</v>
      </c>
      <c r="BB262" s="82"/>
      <c r="BC262" s="82"/>
      <c r="BD262" s="82"/>
    </row>
    <row r="263" spans="1:56" s="504" customFormat="1" x14ac:dyDescent="0.2">
      <c r="A263" s="177"/>
      <c r="B263" s="177"/>
      <c r="C263" s="116">
        <f>+'[7]Sch M'!$V$27</f>
        <v>69684</v>
      </c>
      <c r="D263" s="412"/>
      <c r="E263" s="116"/>
      <c r="F263" s="120" t="s">
        <v>933</v>
      </c>
      <c r="G263" s="180"/>
      <c r="H263" s="181">
        <v>19</v>
      </c>
      <c r="I263" s="120"/>
      <c r="J263" s="231">
        <f t="shared" ref="J263:J266" si="330">+C263</f>
        <v>69684</v>
      </c>
      <c r="K263" s="84"/>
      <c r="L263" s="115">
        <f t="shared" ca="1" si="312"/>
        <v>39712.911599999999</v>
      </c>
      <c r="M263" s="230"/>
      <c r="N263" s="115">
        <f t="shared" ca="1" si="313"/>
        <v>16508.139599999999</v>
      </c>
      <c r="O263" s="230"/>
      <c r="P263" s="115">
        <f t="shared" ca="1" si="314"/>
        <v>2376.2244000000001</v>
      </c>
      <c r="Q263" s="230"/>
      <c r="R263" s="115">
        <f t="shared" ca="1" si="315"/>
        <v>4829.1012000000001</v>
      </c>
      <c r="S263" s="230"/>
      <c r="T263" s="115">
        <f t="shared" ca="1" si="316"/>
        <v>1310.0592000000001</v>
      </c>
      <c r="U263" s="230"/>
      <c r="V263" s="115">
        <f t="shared" ca="1" si="317"/>
        <v>1707.258</v>
      </c>
      <c r="W263" s="230"/>
      <c r="X263" s="115">
        <f t="shared" ca="1" si="318"/>
        <v>3240.306</v>
      </c>
      <c r="Y263" s="116"/>
      <c r="Z263" s="99">
        <f t="shared" ref="Z263:Z267" ca="1" si="331">SUM(L263:X263)-J263</f>
        <v>0</v>
      </c>
      <c r="AC263" s="120" t="s">
        <v>933</v>
      </c>
      <c r="AE263" s="154">
        <f t="shared" ref="AE263:AE266" si="332">+H263</f>
        <v>19</v>
      </c>
      <c r="AG263" s="231">
        <f t="shared" ref="AG263:AG266" si="333">+J263</f>
        <v>69684</v>
      </c>
      <c r="AH263" s="84"/>
      <c r="AI263" s="115">
        <f t="shared" ca="1" si="321"/>
        <v>27699.390000000003</v>
      </c>
      <c r="AJ263" s="230"/>
      <c r="AK263" s="115">
        <f t="shared" ca="1" si="322"/>
        <v>14222.5044</v>
      </c>
      <c r="AL263" s="230"/>
      <c r="AM263" s="115">
        <f t="shared" ca="1" si="323"/>
        <v>5518.9728000000005</v>
      </c>
      <c r="AN263" s="230"/>
      <c r="AO263" s="115">
        <f t="shared" ca="1" si="324"/>
        <v>6745.4111999999996</v>
      </c>
      <c r="AP263" s="230"/>
      <c r="AQ263" s="115">
        <f t="shared" ca="1" si="325"/>
        <v>3059.1276000000003</v>
      </c>
      <c r="AR263" s="230"/>
      <c r="AS263" s="115">
        <f t="shared" ca="1" si="326"/>
        <v>6062.5079999999998</v>
      </c>
      <c r="AT263" s="230"/>
      <c r="AU263" s="115">
        <f t="shared" ca="1" si="327"/>
        <v>1498.2059999999999</v>
      </c>
      <c r="AV263" s="69"/>
      <c r="AW263" s="69">
        <f t="shared" ca="1" si="328"/>
        <v>1658.4792000000002</v>
      </c>
      <c r="AX263" s="69"/>
      <c r="AY263" s="69">
        <f t="shared" ca="1" si="329"/>
        <v>3219.4007999999999</v>
      </c>
      <c r="BA263" s="99">
        <f t="shared" ref="BA263:BA266" ca="1" si="334">SUM(AI263:AY263)-AG263</f>
        <v>0</v>
      </c>
      <c r="BB263" s="82"/>
      <c r="BC263" s="82"/>
      <c r="BD263" s="82"/>
    </row>
    <row r="264" spans="1:56" s="504" customFormat="1" x14ac:dyDescent="0.2">
      <c r="A264" s="177"/>
      <c r="B264" s="177"/>
      <c r="C264" s="116">
        <f>+'[7]Sch M'!$V$28</f>
        <v>65400</v>
      </c>
      <c r="D264" s="412"/>
      <c r="E264" s="116"/>
      <c r="F264" s="120" t="s">
        <v>934</v>
      </c>
      <c r="G264" s="180"/>
      <c r="H264" s="181">
        <v>19</v>
      </c>
      <c r="I264" s="120"/>
      <c r="J264" s="231">
        <f t="shared" si="330"/>
        <v>65400</v>
      </c>
      <c r="K264" s="84"/>
      <c r="L264" s="115">
        <f t="shared" ca="1" si="312"/>
        <v>37271.46</v>
      </c>
      <c r="M264" s="230"/>
      <c r="N264" s="115">
        <f t="shared" ca="1" si="313"/>
        <v>15493.26</v>
      </c>
      <c r="O264" s="230"/>
      <c r="P264" s="115">
        <f t="shared" ca="1" si="314"/>
        <v>2230.14</v>
      </c>
      <c r="Q264" s="230"/>
      <c r="R264" s="115">
        <f t="shared" ca="1" si="315"/>
        <v>4532.22</v>
      </c>
      <c r="S264" s="230"/>
      <c r="T264" s="115">
        <f t="shared" ca="1" si="316"/>
        <v>1229.52</v>
      </c>
      <c r="U264" s="230"/>
      <c r="V264" s="115">
        <f t="shared" ca="1" si="317"/>
        <v>1602.3</v>
      </c>
      <c r="W264" s="230"/>
      <c r="X264" s="115">
        <f t="shared" ca="1" si="318"/>
        <v>3041.1</v>
      </c>
      <c r="Y264" s="116"/>
      <c r="Z264" s="99">
        <f t="shared" ca="1" si="331"/>
        <v>0</v>
      </c>
      <c r="AC264" s="120" t="s">
        <v>934</v>
      </c>
      <c r="AE264" s="154">
        <f t="shared" si="332"/>
        <v>19</v>
      </c>
      <c r="AG264" s="231">
        <f t="shared" si="333"/>
        <v>65400</v>
      </c>
      <c r="AH264" s="84"/>
      <c r="AI264" s="115">
        <f t="shared" ca="1" si="321"/>
        <v>25996.5</v>
      </c>
      <c r="AJ264" s="230"/>
      <c r="AK264" s="115">
        <f t="shared" ca="1" si="322"/>
        <v>13348.14</v>
      </c>
      <c r="AL264" s="230"/>
      <c r="AM264" s="115">
        <f t="shared" ca="1" si="323"/>
        <v>5179.68</v>
      </c>
      <c r="AN264" s="230"/>
      <c r="AO264" s="115">
        <f t="shared" ca="1" si="324"/>
        <v>6330.72</v>
      </c>
      <c r="AP264" s="230"/>
      <c r="AQ264" s="115">
        <f t="shared" ca="1" si="325"/>
        <v>2871.06</v>
      </c>
      <c r="AR264" s="230"/>
      <c r="AS264" s="115">
        <f t="shared" ca="1" si="326"/>
        <v>5689.7999999999993</v>
      </c>
      <c r="AT264" s="230"/>
      <c r="AU264" s="115">
        <f t="shared" ca="1" si="327"/>
        <v>1406.1</v>
      </c>
      <c r="AV264" s="69"/>
      <c r="AW264" s="69">
        <f t="shared" ca="1" si="328"/>
        <v>1556.5200000000002</v>
      </c>
      <c r="AX264" s="69"/>
      <c r="AY264" s="69">
        <f t="shared" ca="1" si="329"/>
        <v>3021.48</v>
      </c>
      <c r="BA264" s="99">
        <f t="shared" ca="1" si="334"/>
        <v>0</v>
      </c>
      <c r="BB264" s="82"/>
      <c r="BC264" s="82"/>
      <c r="BD264" s="82"/>
    </row>
    <row r="265" spans="1:56" s="504" customFormat="1" x14ac:dyDescent="0.2">
      <c r="A265" s="177"/>
      <c r="B265" s="177"/>
      <c r="C265" s="116">
        <f>+'[7]Sch M'!$V$30</f>
        <v>32142</v>
      </c>
      <c r="D265" s="412"/>
      <c r="E265" s="116"/>
      <c r="F265" s="120" t="s">
        <v>935</v>
      </c>
      <c r="G265" s="180"/>
      <c r="H265" s="181">
        <v>13</v>
      </c>
      <c r="I265" s="120"/>
      <c r="J265" s="231">
        <f t="shared" si="330"/>
        <v>32142</v>
      </c>
      <c r="K265" s="84"/>
      <c r="L265" s="115">
        <f t="shared" si="312"/>
        <v>28953.513600000002</v>
      </c>
      <c r="M265" s="230"/>
      <c r="N265" s="115">
        <f t="shared" si="313"/>
        <v>2266.011</v>
      </c>
      <c r="O265" s="230"/>
      <c r="P265" s="115">
        <f t="shared" si="314"/>
        <v>12.8568</v>
      </c>
      <c r="Q265" s="230"/>
      <c r="R265" s="115">
        <f t="shared" si="315"/>
        <v>189.6378</v>
      </c>
      <c r="S265" s="230"/>
      <c r="T265" s="115">
        <f t="shared" si="316"/>
        <v>6.4283999999999999</v>
      </c>
      <c r="U265" s="230"/>
      <c r="V265" s="115">
        <f t="shared" si="317"/>
        <v>703.90980000000002</v>
      </c>
      <c r="W265" s="230"/>
      <c r="X265" s="115">
        <f t="shared" si="318"/>
        <v>9.6425999999999998</v>
      </c>
      <c r="Y265" s="116"/>
      <c r="Z265" s="99">
        <f t="shared" si="331"/>
        <v>0</v>
      </c>
      <c r="AC265" s="120" t="s">
        <v>935</v>
      </c>
      <c r="AE265" s="154">
        <f t="shared" si="332"/>
        <v>13</v>
      </c>
      <c r="AG265" s="231">
        <f t="shared" si="333"/>
        <v>32142</v>
      </c>
      <c r="AH265" s="84"/>
      <c r="AI265" s="115">
        <f t="shared" si="321"/>
        <v>0</v>
      </c>
      <c r="AJ265" s="230"/>
      <c r="AK265" s="115">
        <f t="shared" si="322"/>
        <v>0</v>
      </c>
      <c r="AL265" s="230"/>
      <c r="AM265" s="115">
        <f t="shared" si="323"/>
        <v>0</v>
      </c>
      <c r="AN265" s="230"/>
      <c r="AO265" s="115">
        <f t="shared" si="324"/>
        <v>0</v>
      </c>
      <c r="AP265" s="230"/>
      <c r="AQ265" s="115">
        <f t="shared" si="325"/>
        <v>0</v>
      </c>
      <c r="AR265" s="230"/>
      <c r="AS265" s="115">
        <f t="shared" si="326"/>
        <v>31428.4476</v>
      </c>
      <c r="AT265" s="230"/>
      <c r="AU265" s="115">
        <f t="shared" si="327"/>
        <v>0</v>
      </c>
      <c r="AV265" s="69"/>
      <c r="AW265" s="69">
        <f t="shared" si="328"/>
        <v>703.90980000000002</v>
      </c>
      <c r="AX265" s="69"/>
      <c r="AY265" s="69">
        <f t="shared" si="329"/>
        <v>9.6425999999999998</v>
      </c>
      <c r="BA265" s="99">
        <f t="shared" si="334"/>
        <v>0</v>
      </c>
      <c r="BB265" s="82"/>
      <c r="BC265" s="82"/>
      <c r="BD265" s="82"/>
    </row>
    <row r="266" spans="1:56" s="504" customFormat="1" x14ac:dyDescent="0.2">
      <c r="A266" s="177"/>
      <c r="B266" s="177"/>
      <c r="C266" s="116">
        <f>+'[7]Sch M'!$V$26</f>
        <v>852640</v>
      </c>
      <c r="D266" s="412"/>
      <c r="E266" s="116"/>
      <c r="F266" s="120" t="s">
        <v>936</v>
      </c>
      <c r="G266" s="180"/>
      <c r="H266" s="181">
        <v>13</v>
      </c>
      <c r="I266" s="120"/>
      <c r="J266" s="231">
        <f t="shared" si="330"/>
        <v>852640</v>
      </c>
      <c r="K266" s="84"/>
      <c r="L266" s="115">
        <f t="shared" si="312"/>
        <v>768058.11200000008</v>
      </c>
      <c r="M266" s="230"/>
      <c r="N266" s="115">
        <f t="shared" si="313"/>
        <v>60111.119999999995</v>
      </c>
      <c r="O266" s="230"/>
      <c r="P266" s="115">
        <f t="shared" si="314"/>
        <v>341.05600000000004</v>
      </c>
      <c r="Q266" s="230"/>
      <c r="R266" s="115">
        <f t="shared" si="315"/>
        <v>5030.576</v>
      </c>
      <c r="S266" s="230"/>
      <c r="T266" s="115">
        <f t="shared" si="316"/>
        <v>170.52800000000002</v>
      </c>
      <c r="U266" s="230"/>
      <c r="V266" s="115">
        <f t="shared" si="317"/>
        <v>18672.815999999999</v>
      </c>
      <c r="W266" s="230"/>
      <c r="X266" s="115">
        <f t="shared" si="318"/>
        <v>255.79199999999997</v>
      </c>
      <c r="Y266" s="116"/>
      <c r="Z266" s="99">
        <f t="shared" si="331"/>
        <v>0</v>
      </c>
      <c r="AC266" s="120" t="s">
        <v>936</v>
      </c>
      <c r="AE266" s="154">
        <f t="shared" si="332"/>
        <v>13</v>
      </c>
      <c r="AG266" s="231">
        <f t="shared" si="333"/>
        <v>852640</v>
      </c>
      <c r="AH266" s="84"/>
      <c r="AI266" s="115">
        <f t="shared" si="321"/>
        <v>0</v>
      </c>
      <c r="AJ266" s="230"/>
      <c r="AK266" s="115">
        <f t="shared" si="322"/>
        <v>0</v>
      </c>
      <c r="AL266" s="230"/>
      <c r="AM266" s="115">
        <f t="shared" si="323"/>
        <v>0</v>
      </c>
      <c r="AN266" s="230"/>
      <c r="AO266" s="115">
        <f t="shared" si="324"/>
        <v>0</v>
      </c>
      <c r="AP266" s="230"/>
      <c r="AQ266" s="115">
        <f t="shared" si="325"/>
        <v>0</v>
      </c>
      <c r="AR266" s="230"/>
      <c r="AS266" s="115">
        <f t="shared" si="326"/>
        <v>833711.39199999999</v>
      </c>
      <c r="AT266" s="230"/>
      <c r="AU266" s="115">
        <f t="shared" si="327"/>
        <v>0</v>
      </c>
      <c r="AV266" s="69"/>
      <c r="AW266" s="69">
        <f t="shared" si="328"/>
        <v>18672.815999999999</v>
      </c>
      <c r="AX266" s="69"/>
      <c r="AY266" s="69">
        <f t="shared" si="329"/>
        <v>255.79199999999997</v>
      </c>
      <c r="BA266" s="99">
        <f t="shared" si="334"/>
        <v>0</v>
      </c>
      <c r="BB266" s="82"/>
      <c r="BC266" s="82"/>
      <c r="BD266" s="82"/>
    </row>
    <row r="267" spans="1:56" s="516" customFormat="1" ht="14.25" customHeight="1" x14ac:dyDescent="0.2">
      <c r="A267" s="84"/>
      <c r="B267" s="84"/>
      <c r="C267" s="116">
        <f>+'[7]Sch M'!$V$33</f>
        <v>299605</v>
      </c>
      <c r="D267" s="412"/>
      <c r="E267" s="116"/>
      <c r="F267" s="120" t="s">
        <v>529</v>
      </c>
      <c r="G267" s="61"/>
      <c r="H267" s="181">
        <v>7</v>
      </c>
      <c r="I267" s="120"/>
      <c r="J267" s="231">
        <f t="shared" ref="J267:J268" si="335">+C267</f>
        <v>299605</v>
      </c>
      <c r="K267" s="84"/>
      <c r="L267" s="179">
        <f t="shared" si="312"/>
        <v>140634.587</v>
      </c>
      <c r="M267" s="116"/>
      <c r="N267" s="179">
        <f t="shared" si="313"/>
        <v>84938.017499999987</v>
      </c>
      <c r="O267" s="116"/>
      <c r="P267" s="179">
        <f t="shared" si="314"/>
        <v>12104.042000000001</v>
      </c>
      <c r="Q267" s="116"/>
      <c r="R267" s="179">
        <f t="shared" si="315"/>
        <v>23189.427</v>
      </c>
      <c r="S267" s="116"/>
      <c r="T267" s="179">
        <f t="shared" si="316"/>
        <v>1767.6695</v>
      </c>
      <c r="U267" s="116"/>
      <c r="V267" s="179">
        <f t="shared" si="317"/>
        <v>17077.485000000001</v>
      </c>
      <c r="W267" s="116"/>
      <c r="X267" s="179">
        <f t="shared" si="318"/>
        <v>19893.772000000001</v>
      </c>
      <c r="Y267" s="116"/>
      <c r="Z267" s="99">
        <f t="shared" si="331"/>
        <v>0</v>
      </c>
      <c r="AC267" s="120" t="s">
        <v>529</v>
      </c>
      <c r="AE267" s="154">
        <f t="shared" si="319"/>
        <v>7</v>
      </c>
      <c r="AG267" s="231">
        <f t="shared" si="320"/>
        <v>299605</v>
      </c>
      <c r="AH267" s="84"/>
      <c r="AI267" s="179">
        <f t="shared" si="321"/>
        <v>114209.42599999999</v>
      </c>
      <c r="AJ267" s="116"/>
      <c r="AK267" s="179">
        <f t="shared" si="322"/>
        <v>23848.558000000001</v>
      </c>
      <c r="AL267" s="116"/>
      <c r="AM267" s="179">
        <f t="shared" si="323"/>
        <v>124575.75900000001</v>
      </c>
      <c r="AN267" s="116"/>
      <c r="AO267" s="179">
        <f t="shared" si="324"/>
        <v>0</v>
      </c>
      <c r="AP267" s="116"/>
      <c r="AQ267" s="179">
        <f t="shared" si="325"/>
        <v>0</v>
      </c>
      <c r="AR267" s="116"/>
      <c r="AS267" s="179">
        <f t="shared" si="326"/>
        <v>0</v>
      </c>
      <c r="AT267" s="116"/>
      <c r="AU267" s="179">
        <f t="shared" si="327"/>
        <v>0</v>
      </c>
      <c r="AV267" s="182"/>
      <c r="AW267" s="182">
        <f t="shared" si="328"/>
        <v>17077.485000000001</v>
      </c>
      <c r="AX267" s="182"/>
      <c r="AY267" s="182">
        <f t="shared" si="329"/>
        <v>19893.772000000001</v>
      </c>
      <c r="BA267" s="99">
        <f t="shared" si="311"/>
        <v>0</v>
      </c>
      <c r="BB267" s="82"/>
      <c r="BC267" s="82"/>
      <c r="BD267" s="82"/>
    </row>
    <row r="268" spans="1:56" s="399" customFormat="1" ht="14.25" customHeight="1" x14ac:dyDescent="0.2">
      <c r="A268" s="177"/>
      <c r="B268" s="177"/>
      <c r="C268" s="116">
        <f>+'[7]Sch M'!$V$31</f>
        <v>743543</v>
      </c>
      <c r="D268" s="412"/>
      <c r="E268" s="116"/>
      <c r="F268" s="120" t="s">
        <v>704</v>
      </c>
      <c r="G268" s="180"/>
      <c r="H268" s="181">
        <v>13</v>
      </c>
      <c r="I268" s="120"/>
      <c r="J268" s="231">
        <f t="shared" si="335"/>
        <v>743543</v>
      </c>
      <c r="K268" s="84"/>
      <c r="L268" s="115">
        <f t="shared" si="312"/>
        <v>669783.5344</v>
      </c>
      <c r="M268" s="230"/>
      <c r="N268" s="115">
        <f t="shared" si="313"/>
        <v>52419.781499999997</v>
      </c>
      <c r="O268" s="230"/>
      <c r="P268" s="115">
        <f t="shared" si="314"/>
        <v>297.41720000000004</v>
      </c>
      <c r="Q268" s="230"/>
      <c r="R268" s="115">
        <f t="shared" si="315"/>
        <v>4386.9036999999998</v>
      </c>
      <c r="S268" s="230"/>
      <c r="T268" s="115">
        <f t="shared" si="316"/>
        <v>148.70860000000002</v>
      </c>
      <c r="U268" s="230"/>
      <c r="V268" s="115">
        <f t="shared" si="317"/>
        <v>16283.591699999999</v>
      </c>
      <c r="W268" s="230"/>
      <c r="X268" s="115">
        <f t="shared" si="318"/>
        <v>223.06289999999998</v>
      </c>
      <c r="Y268" s="116"/>
      <c r="Z268" s="99">
        <f t="shared" si="298"/>
        <v>0</v>
      </c>
      <c r="AC268" s="120" t="s">
        <v>704</v>
      </c>
      <c r="AE268" s="154">
        <f t="shared" si="319"/>
        <v>13</v>
      </c>
      <c r="AG268" s="231">
        <f t="shared" si="320"/>
        <v>743543</v>
      </c>
      <c r="AH268" s="84"/>
      <c r="AI268" s="115">
        <f t="shared" si="321"/>
        <v>0</v>
      </c>
      <c r="AJ268" s="230"/>
      <c r="AK268" s="115">
        <f t="shared" si="322"/>
        <v>0</v>
      </c>
      <c r="AL268" s="230"/>
      <c r="AM268" s="115">
        <f t="shared" si="323"/>
        <v>0</v>
      </c>
      <c r="AN268" s="230"/>
      <c r="AO268" s="115">
        <f t="shared" si="324"/>
        <v>0</v>
      </c>
      <c r="AP268" s="230"/>
      <c r="AQ268" s="115">
        <f t="shared" si="325"/>
        <v>0</v>
      </c>
      <c r="AR268" s="230"/>
      <c r="AS268" s="115">
        <f t="shared" si="326"/>
        <v>727036.34539999999</v>
      </c>
      <c r="AT268" s="230"/>
      <c r="AU268" s="115">
        <f t="shared" si="327"/>
        <v>0</v>
      </c>
      <c r="AV268" s="69"/>
      <c r="AW268" s="69">
        <f t="shared" si="328"/>
        <v>16283.591699999999</v>
      </c>
      <c r="AX268" s="69"/>
      <c r="AY268" s="69">
        <f t="shared" si="329"/>
        <v>223.06289999999998</v>
      </c>
      <c r="AZ268" s="481"/>
      <c r="BA268" s="99">
        <f t="shared" ref="BA268" si="336">SUM(AI268:AY268)-AG268</f>
        <v>0</v>
      </c>
      <c r="BB268" s="82"/>
      <c r="BC268" s="82"/>
      <c r="BD268" s="82"/>
    </row>
    <row r="269" spans="1:56" s="540" customFormat="1" ht="14.25" customHeight="1" x14ac:dyDescent="0.2">
      <c r="A269" s="177"/>
      <c r="B269" s="177"/>
      <c r="C269" s="116">
        <f>+'[7]Sch M'!$V$32</f>
        <v>52634</v>
      </c>
      <c r="D269" s="412"/>
      <c r="E269" s="116"/>
      <c r="F269" s="120" t="s">
        <v>948</v>
      </c>
      <c r="G269" s="180"/>
      <c r="H269" s="181">
        <v>13</v>
      </c>
      <c r="I269" s="120"/>
      <c r="J269" s="231">
        <f t="shared" ref="J269" si="337">+C269</f>
        <v>52634</v>
      </c>
      <c r="K269" s="84"/>
      <c r="L269" s="115">
        <f t="shared" si="312"/>
        <v>47412.707200000004</v>
      </c>
      <c r="M269" s="230"/>
      <c r="N269" s="115">
        <f t="shared" si="313"/>
        <v>3710.6969999999997</v>
      </c>
      <c r="O269" s="230"/>
      <c r="P269" s="115">
        <f t="shared" si="314"/>
        <v>21.053599999999999</v>
      </c>
      <c r="Q269" s="230"/>
      <c r="R269" s="115">
        <f t="shared" si="315"/>
        <v>310.54059999999998</v>
      </c>
      <c r="S269" s="230"/>
      <c r="T269" s="115">
        <f t="shared" si="316"/>
        <v>10.5268</v>
      </c>
      <c r="U269" s="230"/>
      <c r="V269" s="115">
        <f t="shared" si="317"/>
        <v>1152.6846</v>
      </c>
      <c r="W269" s="230"/>
      <c r="X269" s="115">
        <f t="shared" si="318"/>
        <v>15.790199999999999</v>
      </c>
      <c r="Y269" s="116"/>
      <c r="Z269" s="99">
        <f t="shared" ref="Z269" si="338">SUM(L269:X269)-J269</f>
        <v>0</v>
      </c>
      <c r="AC269" s="120" t="s">
        <v>948</v>
      </c>
      <c r="AE269" s="154">
        <f t="shared" si="319"/>
        <v>13</v>
      </c>
      <c r="AG269" s="231">
        <f t="shared" ref="AG269" si="339">+J269</f>
        <v>52634</v>
      </c>
      <c r="AH269" s="84"/>
      <c r="AI269" s="115">
        <f t="shared" si="321"/>
        <v>0</v>
      </c>
      <c r="AJ269" s="230"/>
      <c r="AK269" s="115">
        <f t="shared" si="322"/>
        <v>0</v>
      </c>
      <c r="AL269" s="230"/>
      <c r="AM269" s="115">
        <f t="shared" si="323"/>
        <v>0</v>
      </c>
      <c r="AN269" s="230"/>
      <c r="AO269" s="115">
        <f t="shared" si="324"/>
        <v>0</v>
      </c>
      <c r="AP269" s="230"/>
      <c r="AQ269" s="115">
        <f t="shared" si="325"/>
        <v>0</v>
      </c>
      <c r="AR269" s="230"/>
      <c r="AS269" s="115">
        <f t="shared" si="326"/>
        <v>51465.525200000004</v>
      </c>
      <c r="AT269" s="230"/>
      <c r="AU269" s="115">
        <f t="shared" si="327"/>
        <v>0</v>
      </c>
      <c r="AV269" s="69"/>
      <c r="AW269" s="69">
        <f t="shared" si="328"/>
        <v>1152.6846</v>
      </c>
      <c r="AX269" s="69"/>
      <c r="AY269" s="69">
        <f t="shared" si="329"/>
        <v>15.790199999999999</v>
      </c>
      <c r="BA269" s="99">
        <f t="shared" ref="BA269" si="340">SUM(AI269:AY269)-AG269</f>
        <v>0</v>
      </c>
      <c r="BB269" s="82"/>
      <c r="BC269" s="82"/>
      <c r="BD269" s="82"/>
    </row>
    <row r="270" spans="1:56" x14ac:dyDescent="0.2">
      <c r="A270" s="177"/>
      <c r="B270" s="177"/>
      <c r="C270" s="370">
        <v>0</v>
      </c>
      <c r="F270" s="120" t="s">
        <v>526</v>
      </c>
      <c r="G270" s="180"/>
      <c r="H270" s="181">
        <v>18</v>
      </c>
      <c r="I270" s="120"/>
      <c r="J270" s="305">
        <f>+'[2]Inc Statment - SCH C.1'!$Q$19</f>
        <v>665027</v>
      </c>
      <c r="K270" s="110"/>
      <c r="L270" s="304">
        <f t="shared" ca="1" si="312"/>
        <v>339296.77539999998</v>
      </c>
      <c r="M270" s="110"/>
      <c r="N270" s="304">
        <f t="shared" ca="1" si="313"/>
        <v>173239.53350000002</v>
      </c>
      <c r="O270" s="110"/>
      <c r="P270" s="304">
        <f t="shared" ca="1" si="314"/>
        <v>25736.544899999997</v>
      </c>
      <c r="Q270" s="110"/>
      <c r="R270" s="304">
        <f t="shared" ca="1" si="315"/>
        <v>51406.587099999997</v>
      </c>
      <c r="S270" s="110"/>
      <c r="T270" s="304">
        <f t="shared" ca="1" si="316"/>
        <v>13633.0535</v>
      </c>
      <c r="U270" s="110"/>
      <c r="V270" s="304">
        <f t="shared" ca="1" si="317"/>
        <v>20948.3505</v>
      </c>
      <c r="W270" s="110"/>
      <c r="X270" s="304">
        <f t="shared" ca="1" si="318"/>
        <v>40766.155100000004</v>
      </c>
      <c r="Y270" s="116"/>
      <c r="Z270" s="99">
        <f t="shared" ca="1" si="298"/>
        <v>0</v>
      </c>
      <c r="AC270" s="120" t="s">
        <v>526</v>
      </c>
      <c r="AE270" s="154">
        <f t="shared" si="319"/>
        <v>18</v>
      </c>
      <c r="AG270" s="305">
        <f t="shared" si="320"/>
        <v>665027</v>
      </c>
      <c r="AH270" s="110"/>
      <c r="AI270" s="304">
        <f t="shared" ca="1" si="321"/>
        <v>281372.92369999998</v>
      </c>
      <c r="AJ270" s="110"/>
      <c r="AK270" s="304">
        <f t="shared" ca="1" si="322"/>
        <v>169315.87419999999</v>
      </c>
      <c r="AL270" s="110"/>
      <c r="AM270" s="304">
        <f t="shared" ca="1" si="323"/>
        <v>78273.677899999995</v>
      </c>
      <c r="AN270" s="110"/>
      <c r="AO270" s="304">
        <f t="shared" ca="1" si="324"/>
        <v>42162.711799999997</v>
      </c>
      <c r="AP270" s="110"/>
      <c r="AQ270" s="304">
        <f t="shared" ca="1" si="325"/>
        <v>14896.604799999999</v>
      </c>
      <c r="AR270" s="110"/>
      <c r="AS270" s="304">
        <f t="shared" ca="1" si="326"/>
        <v>14298.080499999998</v>
      </c>
      <c r="AT270" s="110"/>
      <c r="AU270" s="304">
        <f t="shared" ca="1" si="327"/>
        <v>3724.1511999999998</v>
      </c>
      <c r="AV270" s="110"/>
      <c r="AW270" s="304">
        <f t="shared" ca="1" si="328"/>
        <v>20549.334299999999</v>
      </c>
      <c r="AX270" s="110"/>
      <c r="AY270" s="304">
        <f t="shared" ca="1" si="329"/>
        <v>40433.641600000003</v>
      </c>
      <c r="BA270" s="99">
        <f t="shared" ca="1" si="311"/>
        <v>0</v>
      </c>
      <c r="BB270" s="82"/>
      <c r="BC270" s="82"/>
      <c r="BD270" s="82"/>
    </row>
    <row r="271" spans="1:56" x14ac:dyDescent="0.2">
      <c r="A271" s="177"/>
      <c r="B271" s="177"/>
      <c r="C271" s="370"/>
      <c r="F271" s="120"/>
      <c r="G271" s="180"/>
      <c r="H271" s="181"/>
      <c r="I271" s="120"/>
      <c r="J271" s="231"/>
      <c r="K271" s="110"/>
      <c r="L271" s="110"/>
      <c r="M271" s="110"/>
      <c r="N271" s="110"/>
      <c r="O271" s="110"/>
      <c r="P271" s="110"/>
      <c r="Q271" s="110"/>
      <c r="R271" s="110"/>
      <c r="S271" s="110"/>
      <c r="T271" s="110"/>
      <c r="U271" s="110"/>
      <c r="V271" s="110"/>
      <c r="W271" s="110"/>
      <c r="X271" s="110"/>
      <c r="Z271" s="99">
        <f t="shared" ref="Z271:Z340" si="341">SUM(L271:X271)-J271</f>
        <v>0</v>
      </c>
      <c r="AC271" s="120"/>
      <c r="AE271" s="113"/>
      <c r="AG271" s="231"/>
      <c r="AH271" s="110"/>
      <c r="AI271" s="110"/>
      <c r="AJ271" s="110"/>
      <c r="AK271" s="110"/>
      <c r="AL271" s="110"/>
      <c r="AM271" s="110"/>
      <c r="AN271" s="110"/>
      <c r="AO271" s="110"/>
      <c r="AP271" s="110"/>
      <c r="AQ271" s="110"/>
      <c r="AR271" s="110"/>
      <c r="AS271" s="110"/>
      <c r="AT271" s="110"/>
      <c r="AU271" s="110"/>
      <c r="AV271" s="110"/>
      <c r="AW271" s="110"/>
      <c r="AX271" s="110"/>
      <c r="AY271" s="110"/>
      <c r="BA271" s="99">
        <f t="shared" si="311"/>
        <v>0</v>
      </c>
      <c r="BB271" s="82"/>
      <c r="BC271" s="82"/>
      <c r="BD271" s="82"/>
    </row>
    <row r="272" spans="1:56" x14ac:dyDescent="0.2">
      <c r="A272" s="177"/>
      <c r="B272" s="109">
        <f>+J272-J270</f>
        <v>2174648</v>
      </c>
      <c r="C272" s="116">
        <f>+SUM(C262:C269)</f>
        <v>2174648</v>
      </c>
      <c r="F272" s="120" t="s">
        <v>127</v>
      </c>
      <c r="G272" s="180"/>
      <c r="H272" s="181"/>
      <c r="I272" s="120"/>
      <c r="J272" s="231">
        <f>SUM(J262:J271)</f>
        <v>2839675</v>
      </c>
      <c r="K272" s="120"/>
      <c r="L272" s="231">
        <f ca="1">SUM(L262:L271)</f>
        <v>2104747.7012</v>
      </c>
      <c r="M272" s="120"/>
      <c r="N272" s="231">
        <f ca="1">SUM(N262:N271)</f>
        <v>422663.66009999998</v>
      </c>
      <c r="O272" s="120"/>
      <c r="P272" s="231">
        <f ca="1">SUM(P262:P271)</f>
        <v>45131.234899999996</v>
      </c>
      <c r="Q272" s="120"/>
      <c r="R272" s="231">
        <f ca="1">SUM(R262:R271)</f>
        <v>97963.693399999989</v>
      </c>
      <c r="S272" s="120"/>
      <c r="T272" s="231">
        <f ca="1">SUM(T262:T271)</f>
        <v>19385.694</v>
      </c>
      <c r="U272" s="120"/>
      <c r="V272" s="231">
        <f ca="1">SUM(V262:V271)</f>
        <v>79593.895599999989</v>
      </c>
      <c r="W272" s="120"/>
      <c r="X272" s="231">
        <f ca="1">SUM(X262:X271)</f>
        <v>70189.120800000004</v>
      </c>
      <c r="Z272" s="99">
        <f t="shared" ca="1" si="341"/>
        <v>0</v>
      </c>
      <c r="AC272" s="120" t="s">
        <v>127</v>
      </c>
      <c r="AE272" s="113"/>
      <c r="AG272" s="305">
        <f>SUM(AG262:AG271)</f>
        <v>2839675</v>
      </c>
      <c r="AH272" s="120"/>
      <c r="AI272" s="305">
        <f ca="1">SUM(AI262:AI271)</f>
        <v>472730.73969999998</v>
      </c>
      <c r="AJ272" s="120"/>
      <c r="AK272" s="305">
        <f t="shared" ref="AK272" ca="1" si="342">SUM(AK262:AK271)</f>
        <v>232776.97659999999</v>
      </c>
      <c r="AL272" s="120"/>
      <c r="AM272" s="305">
        <f t="shared" ref="AM272" ca="1" si="343">SUM(AM262:AM271)</f>
        <v>218220.8897</v>
      </c>
      <c r="AN272" s="120"/>
      <c r="AO272" s="305">
        <f t="shared" ref="AO272" ca="1" si="344">SUM(AO262:AO271)</f>
        <v>60950.042999999998</v>
      </c>
      <c r="AP272" s="120"/>
      <c r="AQ272" s="305">
        <f t="shared" ref="AQ272" ca="1" si="345">SUM(AQ262:AQ271)</f>
        <v>23416.892399999997</v>
      </c>
      <c r="AR272" s="120"/>
      <c r="AS272" s="305">
        <f t="shared" ref="AS272" ca="1" si="346">SUM(AS262:AS271)</f>
        <v>1674825.0987</v>
      </c>
      <c r="AT272" s="120"/>
      <c r="AU272" s="305">
        <f t="shared" ref="AU272" ca="1" si="347">SUM(AU262:AU271)</f>
        <v>7896.9572000000007</v>
      </c>
      <c r="AV272" s="120"/>
      <c r="AW272" s="305">
        <f t="shared" ref="AW272" ca="1" si="348">SUM(AW262:AW271)</f>
        <v>79059.020600000003</v>
      </c>
      <c r="AX272" s="120"/>
      <c r="AY272" s="305">
        <f t="shared" ref="AY272" ca="1" si="349">SUM(AY262:AY271)</f>
        <v>69798.382100000003</v>
      </c>
      <c r="BA272" s="99">
        <f t="shared" ca="1" si="311"/>
        <v>0</v>
      </c>
      <c r="BB272" s="82"/>
      <c r="BC272" s="82"/>
      <c r="BD272" s="82"/>
    </row>
    <row r="273" spans="1:56" x14ac:dyDescent="0.2">
      <c r="A273" s="177"/>
      <c r="B273" s="177"/>
      <c r="F273" s="120"/>
      <c r="G273" s="180"/>
      <c r="H273" s="181"/>
      <c r="I273" s="120"/>
      <c r="J273" s="231"/>
      <c r="K273" s="110"/>
      <c r="L273" s="110"/>
      <c r="M273" s="110"/>
      <c r="N273" s="110"/>
      <c r="O273" s="110"/>
      <c r="P273" s="110"/>
      <c r="Q273" s="110"/>
      <c r="R273" s="110"/>
      <c r="S273" s="110"/>
      <c r="T273" s="110"/>
      <c r="U273" s="110"/>
      <c r="V273" s="110"/>
      <c r="W273" s="110"/>
      <c r="X273" s="110"/>
      <c r="Z273" s="99">
        <f t="shared" si="341"/>
        <v>0</v>
      </c>
      <c r="AC273" s="120"/>
      <c r="AE273" s="113"/>
      <c r="AG273" s="231"/>
      <c r="AH273" s="110"/>
      <c r="AI273" s="110"/>
      <c r="AJ273" s="110"/>
      <c r="AK273" s="110"/>
      <c r="AL273" s="110"/>
      <c r="AM273" s="110"/>
      <c r="AN273" s="110"/>
      <c r="AO273" s="110"/>
      <c r="AP273" s="110"/>
      <c r="AQ273" s="110"/>
      <c r="AR273" s="110"/>
      <c r="AS273" s="110"/>
      <c r="AT273" s="110"/>
      <c r="AU273" s="110"/>
      <c r="AV273" s="84"/>
      <c r="AW273" s="84"/>
      <c r="AX273" s="84"/>
      <c r="AY273" s="84"/>
      <c r="BA273" s="99">
        <f t="shared" si="311"/>
        <v>0</v>
      </c>
      <c r="BB273" s="82"/>
      <c r="BC273" s="82"/>
      <c r="BD273" s="82"/>
    </row>
    <row r="274" spans="1:56" x14ac:dyDescent="0.2">
      <c r="A274" s="177"/>
      <c r="B274" s="177"/>
      <c r="C274" s="524">
        <f>+SUM(C262:C268)</f>
        <v>2122014</v>
      </c>
      <c r="F274" s="307" t="s">
        <v>418</v>
      </c>
      <c r="G274" s="180"/>
      <c r="H274" s="181"/>
      <c r="I274" s="120"/>
      <c r="J274" s="231"/>
      <c r="K274" s="120"/>
      <c r="L274" s="231"/>
      <c r="M274" s="120"/>
      <c r="N274" s="231"/>
      <c r="O274" s="120"/>
      <c r="P274" s="231"/>
      <c r="Q274" s="120"/>
      <c r="R274" s="231"/>
      <c r="S274" s="120"/>
      <c r="T274" s="231"/>
      <c r="U274" s="120"/>
      <c r="V274" s="231"/>
      <c r="W274" s="120"/>
      <c r="X274" s="231"/>
      <c r="Z274" s="99">
        <f t="shared" si="341"/>
        <v>0</v>
      </c>
      <c r="AC274" s="307" t="s">
        <v>418</v>
      </c>
      <c r="AE274" s="113"/>
      <c r="AG274" s="231"/>
      <c r="AH274" s="120"/>
      <c r="AI274" s="231"/>
      <c r="AJ274" s="120"/>
      <c r="AK274" s="231"/>
      <c r="AL274" s="120"/>
      <c r="AM274" s="231"/>
      <c r="AN274" s="120"/>
      <c r="AO274" s="231"/>
      <c r="AP274" s="120"/>
      <c r="AQ274" s="231"/>
      <c r="AR274" s="120"/>
      <c r="AS274" s="231"/>
      <c r="AT274" s="120"/>
      <c r="AU274" s="231"/>
      <c r="AV274" s="84"/>
      <c r="AW274" s="84"/>
      <c r="AX274" s="84"/>
      <c r="AY274" s="84"/>
      <c r="BA274" s="99">
        <f t="shared" si="311"/>
        <v>0</v>
      </c>
      <c r="BB274" s="82"/>
      <c r="BC274" s="82"/>
      <c r="BD274" s="82"/>
    </row>
    <row r="275" spans="1:56" ht="13.5" thickBot="1" x14ac:dyDescent="0.25">
      <c r="A275" s="177"/>
      <c r="B275" s="458"/>
      <c r="C275" s="370"/>
      <c r="F275" s="307" t="s">
        <v>417</v>
      </c>
      <c r="G275" s="180"/>
      <c r="H275" s="181"/>
      <c r="I275" s="120"/>
      <c r="J275" s="308">
        <f>J260-J272</f>
        <v>98964830.388092473</v>
      </c>
      <c r="K275" s="120"/>
      <c r="L275" s="308">
        <f ca="1">L260-L272</f>
        <v>55923037.086277232</v>
      </c>
      <c r="M275" s="120"/>
      <c r="N275" s="308">
        <f ca="1">N260-N272</f>
        <v>23691014.904259875</v>
      </c>
      <c r="O275" s="120"/>
      <c r="P275" s="308">
        <f ca="1">P260-P272</f>
        <v>3421732.2541818721</v>
      </c>
      <c r="Q275" s="120"/>
      <c r="R275" s="308">
        <f ca="1">R260-R272</f>
        <v>6958932.2805095315</v>
      </c>
      <c r="S275" s="120"/>
      <c r="T275" s="308">
        <f ca="1">T260-T272</f>
        <v>1892980.3445502608</v>
      </c>
      <c r="U275" s="120"/>
      <c r="V275" s="308">
        <f ca="1">V260-V272</f>
        <v>2418314.8415201483</v>
      </c>
      <c r="W275" s="120"/>
      <c r="X275" s="308">
        <f ca="1">X260-X272</f>
        <v>4658818.6767935483</v>
      </c>
      <c r="Z275" s="99">
        <f t="shared" ca="1" si="341"/>
        <v>0</v>
      </c>
      <c r="AC275" s="307" t="s">
        <v>417</v>
      </c>
      <c r="AE275" s="113"/>
      <c r="AG275" s="308">
        <f>AG260-AG272</f>
        <v>98964830.388092473</v>
      </c>
      <c r="AH275" s="120"/>
      <c r="AI275" s="308">
        <f ca="1">AI260-AI272</f>
        <v>39999929.669988595</v>
      </c>
      <c r="AJ275" s="120"/>
      <c r="AK275" s="308">
        <f ca="1">AK260-AK272</f>
        <v>20540799.776708227</v>
      </c>
      <c r="AL275" s="120"/>
      <c r="AM275" s="308">
        <f ca="1">AM260-AM272</f>
        <v>7845063.4375820411</v>
      </c>
      <c r="AN275" s="120"/>
      <c r="AO275" s="308">
        <f ca="1">AO260-AO272</f>
        <v>9796558.3276154418</v>
      </c>
      <c r="AP275" s="120"/>
      <c r="AQ275" s="308">
        <f ca="1">AQ260-AQ272</f>
        <v>4448795.1423963187</v>
      </c>
      <c r="AR275" s="120"/>
      <c r="AS275" s="308">
        <f ca="1">AS260-AS272</f>
        <v>7181702.1440596115</v>
      </c>
      <c r="AT275" s="120"/>
      <c r="AU275" s="308">
        <f ca="1">AU260-AU272</f>
        <v>2180357.191534597</v>
      </c>
      <c r="AW275" s="308">
        <f ca="1">AW260-AW272</f>
        <v>2342568.8020169553</v>
      </c>
      <c r="AY275" s="308">
        <f ca="1">AY260-AY272</f>
        <v>4629055.8961906936</v>
      </c>
      <c r="BA275" s="99">
        <f t="shared" ca="1" si="311"/>
        <v>0</v>
      </c>
      <c r="BB275" s="82"/>
      <c r="BC275" s="82"/>
      <c r="BD275" s="82"/>
    </row>
    <row r="276" spans="1:56" ht="13.5" thickTop="1" x14ac:dyDescent="0.2">
      <c r="A276" s="177"/>
      <c r="B276" s="458"/>
      <c r="C276" s="370"/>
      <c r="F276" s="120"/>
      <c r="G276" s="180"/>
      <c r="H276" s="181"/>
      <c r="I276" s="62"/>
      <c r="J276" s="110"/>
      <c r="K276" s="110"/>
      <c r="L276" s="110"/>
      <c r="M276" s="110"/>
      <c r="N276" s="110"/>
      <c r="O276" s="110"/>
      <c r="P276" s="110"/>
      <c r="Q276" s="110"/>
      <c r="R276" s="110"/>
      <c r="S276" s="110"/>
      <c r="T276" s="110"/>
      <c r="U276" s="110"/>
      <c r="V276" s="110"/>
      <c r="W276" s="110"/>
      <c r="X276" s="110"/>
      <c r="Z276" s="99">
        <f t="shared" si="341"/>
        <v>0</v>
      </c>
      <c r="AC276" s="120"/>
      <c r="AE276" s="113"/>
      <c r="AG276" s="84"/>
      <c r="AH276" s="84"/>
      <c r="AI276" s="297">
        <f>+SUM('F 1-2'!O15:O19)</f>
        <v>11285481</v>
      </c>
      <c r="AJ276" s="84"/>
      <c r="AK276" s="84"/>
      <c r="AL276" s="84"/>
      <c r="AM276" s="84"/>
      <c r="AN276" s="84"/>
      <c r="AO276" s="84"/>
      <c r="AP276" s="84"/>
      <c r="AQ276" s="84"/>
      <c r="AR276" s="84"/>
      <c r="AS276" s="312"/>
      <c r="AT276" s="84"/>
      <c r="AU276" s="312"/>
      <c r="AV276" s="84"/>
      <c r="AW276" s="84"/>
      <c r="AX276" s="84"/>
      <c r="AY276" s="84"/>
      <c r="BA276" s="99"/>
    </row>
    <row r="277" spans="1:56" x14ac:dyDescent="0.2">
      <c r="A277" s="177"/>
      <c r="B277" s="177"/>
      <c r="C277" s="370"/>
      <c r="F277" s="309" t="s">
        <v>156</v>
      </c>
      <c r="G277" s="184"/>
      <c r="H277" s="75"/>
      <c r="I277"/>
      <c r="J277" s="174"/>
      <c r="K277" s="110"/>
      <c r="L277" s="110"/>
      <c r="M277" s="110"/>
      <c r="N277" s="110"/>
      <c r="O277" s="110"/>
      <c r="P277" s="110"/>
      <c r="Q277" s="110"/>
      <c r="R277" s="110"/>
      <c r="S277" s="110"/>
      <c r="T277" s="110"/>
      <c r="U277" s="110"/>
      <c r="V277" s="110"/>
      <c r="W277" s="110"/>
      <c r="X277" s="110"/>
      <c r="Z277" s="99">
        <f t="shared" si="341"/>
        <v>0</v>
      </c>
      <c r="AC277" s="309" t="s">
        <v>156</v>
      </c>
      <c r="AE277" s="113"/>
      <c r="AG277" s="84"/>
      <c r="AH277" s="84"/>
      <c r="AI277" s="84">
        <f ca="1">+AI275/AI276</f>
        <v>3.5443708309808502</v>
      </c>
      <c r="AJ277" s="84"/>
      <c r="AK277" s="84"/>
      <c r="AL277" s="84"/>
      <c r="AM277" s="84"/>
      <c r="AN277" s="84"/>
      <c r="AO277" s="84"/>
      <c r="AP277" s="84"/>
      <c r="AQ277" s="84"/>
      <c r="AR277" s="84"/>
      <c r="AS277" s="312"/>
      <c r="AT277" s="84"/>
      <c r="AU277" s="312"/>
      <c r="AV277" s="84"/>
      <c r="AW277" s="84"/>
      <c r="AX277" s="84"/>
      <c r="AY277" s="84"/>
      <c r="BA277" s="99"/>
      <c r="BB277" s="82"/>
      <c r="BC277" s="82"/>
      <c r="BD277" s="82"/>
    </row>
    <row r="278" spans="1:56" x14ac:dyDescent="0.2">
      <c r="A278" s="177"/>
      <c r="B278" s="177"/>
      <c r="C278" s="116">
        <f>+'Rate base'!H5</f>
        <v>37450.43</v>
      </c>
      <c r="D278" s="412">
        <v>301</v>
      </c>
      <c r="F278" s="120" t="s">
        <v>899</v>
      </c>
      <c r="G278" s="184"/>
      <c r="H278" s="75">
        <v>17</v>
      </c>
      <c r="I278"/>
      <c r="J278" s="231">
        <f>+C278</f>
        <v>37450.43</v>
      </c>
      <c r="K278" s="177"/>
      <c r="L278" s="115">
        <f t="shared" ref="L278:L303" si="350">(VLOOKUP($H278,Factors,L$381))*$J278</f>
        <v>19114.699472</v>
      </c>
      <c r="M278" s="230"/>
      <c r="N278" s="115">
        <f t="shared" ref="N278:N303" si="351">(VLOOKUP($H278,Factors,N$381))*$J278</f>
        <v>9789.5424020000009</v>
      </c>
      <c r="O278" s="230"/>
      <c r="P278" s="115">
        <f t="shared" ref="P278:P303" si="352">(VLOOKUP($H278,Factors,P$381))*$J278</f>
        <v>1456.821727</v>
      </c>
      <c r="Q278" s="230"/>
      <c r="R278" s="115">
        <f t="shared" ref="R278:R303" si="353">(VLOOKUP($H278,Factors,R$381))*$J278</f>
        <v>2913.643454</v>
      </c>
      <c r="S278" s="230"/>
      <c r="T278" s="115">
        <f t="shared" ref="T278:T303" si="354">(VLOOKUP($H278,Factors,T$381))*$J278</f>
        <v>767.73381500000005</v>
      </c>
      <c r="U278" s="230"/>
      <c r="V278" s="115">
        <f t="shared" ref="V278:V303" si="355">(VLOOKUP($H278,Factors,V$381))*$J278</f>
        <v>1131.002986</v>
      </c>
      <c r="W278" s="230"/>
      <c r="X278" s="115">
        <f t="shared" ref="X278:X303" si="356">(VLOOKUP($H278,Factors,X$381))*$J278</f>
        <v>2276.986144</v>
      </c>
      <c r="Y278" s="116"/>
      <c r="Z278" s="99">
        <f t="shared" si="341"/>
        <v>0</v>
      </c>
      <c r="AC278" s="120" t="s">
        <v>899</v>
      </c>
      <c r="AE278" s="154">
        <f>+H278</f>
        <v>17</v>
      </c>
      <c r="AG278" s="82">
        <f>+J278</f>
        <v>37450.43</v>
      </c>
      <c r="AI278" s="69">
        <f t="shared" ref="AI278:AI303" si="357">(VLOOKUP($AE278,func,AI$381))*$AG278</f>
        <v>15942.648051</v>
      </c>
      <c r="AJ278" s="69"/>
      <c r="AK278" s="69">
        <f t="shared" ref="AK278:AK303" si="358">(VLOOKUP($AE278,func,AK$381))*$AG278</f>
        <v>9826.9928320000017</v>
      </c>
      <c r="AL278" s="69"/>
      <c r="AM278" s="69">
        <f t="shared" ref="AM278:AM303" si="359">(VLOOKUP($AE278,func,AM$381))*$AG278</f>
        <v>4149.5076440000003</v>
      </c>
      <c r="AN278" s="69"/>
      <c r="AO278" s="69">
        <f t="shared" ref="AO278:AO303" si="360">(VLOOKUP($AE278,func,AO$381))*$AG278</f>
        <v>2400.5725630000002</v>
      </c>
      <c r="AP278" s="69"/>
      <c r="AQ278" s="69">
        <f t="shared" ref="AQ278:AQ303" si="361">(VLOOKUP($AE278,func,AQ$381))*$AG278</f>
        <v>846.37971799999991</v>
      </c>
      <c r="AR278" s="69"/>
      <c r="AS278" s="69">
        <f t="shared" ref="AS278:AS303" si="362">(VLOOKUP($AE278,func,AS$381))*$AG278</f>
        <v>722.79329900000005</v>
      </c>
      <c r="AT278" s="69"/>
      <c r="AU278" s="69">
        <f t="shared" ref="AU278:AU303" si="363">(VLOOKUP($AE278,func,AU$381))*$AG278</f>
        <v>194.74223599999999</v>
      </c>
      <c r="AV278" s="69"/>
      <c r="AW278" s="69">
        <f t="shared" ref="AW278:AW303" si="364">(VLOOKUP($AE278,func,AW$381))*$AG278</f>
        <v>1108.5327280000001</v>
      </c>
      <c r="AX278" s="69"/>
      <c r="AY278" s="69">
        <f t="shared" ref="AY278:AY303" si="365">(VLOOKUP($AE278,func,AY$381))*$AG278</f>
        <v>2258.260929</v>
      </c>
      <c r="BA278" s="99">
        <f t="shared" si="311"/>
        <v>0</v>
      </c>
      <c r="BB278" s="82"/>
      <c r="BC278" s="82"/>
      <c r="BD278" s="82"/>
    </row>
    <row r="279" spans="1:56" x14ac:dyDescent="0.2">
      <c r="A279" s="121"/>
      <c r="B279" s="122"/>
      <c r="C279" s="116">
        <f>+'Rate base'!H6</f>
        <v>70260.820000000036</v>
      </c>
      <c r="D279" s="412">
        <v>302</v>
      </c>
      <c r="F279" s="120" t="s">
        <v>900</v>
      </c>
      <c r="G279" s="184"/>
      <c r="H279" s="75">
        <v>17</v>
      </c>
      <c r="I279"/>
      <c r="J279" s="231">
        <f t="shared" ref="J279:J303" si="366">+C279</f>
        <v>70260.820000000036</v>
      </c>
      <c r="K279" s="298"/>
      <c r="L279" s="115">
        <f t="shared" si="350"/>
        <v>35861.122528000014</v>
      </c>
      <c r="M279" s="230"/>
      <c r="N279" s="115">
        <f t="shared" si="351"/>
        <v>18366.178348000012</v>
      </c>
      <c r="O279" s="230"/>
      <c r="P279" s="115">
        <f t="shared" si="352"/>
        <v>2733.1458980000011</v>
      </c>
      <c r="Q279" s="230"/>
      <c r="R279" s="115">
        <f t="shared" si="353"/>
        <v>5466.2917960000023</v>
      </c>
      <c r="S279" s="230"/>
      <c r="T279" s="115">
        <f t="shared" si="354"/>
        <v>1440.3468100000007</v>
      </c>
      <c r="U279" s="230"/>
      <c r="V279" s="115">
        <f t="shared" si="355"/>
        <v>2121.876764000001</v>
      </c>
      <c r="W279" s="230"/>
      <c r="X279" s="115">
        <f t="shared" si="356"/>
        <v>4271.8578560000024</v>
      </c>
      <c r="Y279" s="116"/>
      <c r="Z279" s="99">
        <f t="shared" ref="Z279:Z324" si="367">SUM(L279:X279)-J279</f>
        <v>0</v>
      </c>
      <c r="AC279" s="120" t="s">
        <v>900</v>
      </c>
      <c r="AE279" s="154">
        <f t="shared" ref="AE279:AE324" si="368">+H279</f>
        <v>17</v>
      </c>
      <c r="AF279" s="481"/>
      <c r="AG279" s="82">
        <f t="shared" ref="AG279:AG324" si="369">+J279</f>
        <v>70260.820000000036</v>
      </c>
      <c r="AH279" s="481"/>
      <c r="AI279" s="69">
        <f t="shared" si="357"/>
        <v>29910.031074000017</v>
      </c>
      <c r="AJ279" s="69"/>
      <c r="AK279" s="69">
        <f t="shared" si="358"/>
        <v>18436.439168000012</v>
      </c>
      <c r="AL279" s="69"/>
      <c r="AM279" s="69">
        <f t="shared" si="359"/>
        <v>7784.8988560000034</v>
      </c>
      <c r="AN279" s="69"/>
      <c r="AO279" s="69">
        <f t="shared" si="360"/>
        <v>4503.7185620000027</v>
      </c>
      <c r="AP279" s="69"/>
      <c r="AQ279" s="69">
        <f t="shared" si="361"/>
        <v>1587.8945320000007</v>
      </c>
      <c r="AR279" s="69"/>
      <c r="AS279" s="69">
        <f t="shared" si="362"/>
        <v>1356.0338260000008</v>
      </c>
      <c r="AT279" s="69"/>
      <c r="AU279" s="69">
        <f t="shared" si="363"/>
        <v>365.35626400000018</v>
      </c>
      <c r="AV279" s="69"/>
      <c r="AW279" s="69">
        <f t="shared" si="364"/>
        <v>2079.7202720000014</v>
      </c>
      <c r="AX279" s="69"/>
      <c r="AY279" s="69">
        <f t="shared" si="365"/>
        <v>4236.7274460000017</v>
      </c>
      <c r="AZ279" s="481"/>
      <c r="BA279" s="99">
        <f t="shared" ref="BA279:BA324" si="370">SUM(AI279:AY279)-AG279</f>
        <v>0</v>
      </c>
      <c r="BB279" s="82"/>
      <c r="BC279" s="82"/>
      <c r="BD279" s="82"/>
    </row>
    <row r="280" spans="1:56" x14ac:dyDescent="0.2">
      <c r="A280" s="121"/>
      <c r="B280" s="122"/>
      <c r="C280" s="116">
        <f>+'Rate base'!H7</f>
        <v>356447.19697871758</v>
      </c>
      <c r="D280" s="412">
        <v>339.1</v>
      </c>
      <c r="F280" s="120" t="s">
        <v>602</v>
      </c>
      <c r="G280" s="184"/>
      <c r="H280" s="75">
        <v>17</v>
      </c>
      <c r="I280"/>
      <c r="J280" s="231">
        <f t="shared" si="366"/>
        <v>356447.19697871758</v>
      </c>
      <c r="K280" s="177"/>
      <c r="L280" s="115">
        <f t="shared" si="350"/>
        <v>181930.64933793744</v>
      </c>
      <c r="M280" s="230"/>
      <c r="N280" s="115">
        <f t="shared" si="351"/>
        <v>93175.297290236776</v>
      </c>
      <c r="O280" s="230"/>
      <c r="P280" s="115">
        <f t="shared" si="352"/>
        <v>13865.795962472113</v>
      </c>
      <c r="Q280" s="230"/>
      <c r="R280" s="115">
        <f t="shared" si="353"/>
        <v>27731.591924944227</v>
      </c>
      <c r="S280" s="230"/>
      <c r="T280" s="115">
        <f t="shared" si="354"/>
        <v>7307.1675380637107</v>
      </c>
      <c r="U280" s="230"/>
      <c r="V280" s="115">
        <f t="shared" si="355"/>
        <v>10764.705348757272</v>
      </c>
      <c r="W280" s="230"/>
      <c r="X280" s="115">
        <f t="shared" si="356"/>
        <v>21671.98957630603</v>
      </c>
      <c r="Y280" s="116"/>
      <c r="Z280" s="99">
        <f t="shared" si="367"/>
        <v>0</v>
      </c>
      <c r="AC280" s="120" t="s">
        <v>602</v>
      </c>
      <c r="AE280" s="154">
        <f t="shared" si="368"/>
        <v>17</v>
      </c>
      <c r="AF280" s="481"/>
      <c r="AG280" s="82">
        <f t="shared" si="369"/>
        <v>356447.19697871758</v>
      </c>
      <c r="AH280" s="481"/>
      <c r="AI280" s="69">
        <f t="shared" si="357"/>
        <v>151739.57175384008</v>
      </c>
      <c r="AJ280" s="69"/>
      <c r="AK280" s="69">
        <f t="shared" si="358"/>
        <v>93531.744487215503</v>
      </c>
      <c r="AL280" s="69"/>
      <c r="AM280" s="69">
        <f t="shared" si="359"/>
        <v>39494.349425241904</v>
      </c>
      <c r="AN280" s="69"/>
      <c r="AO280" s="69">
        <f t="shared" si="360"/>
        <v>22848.265326335797</v>
      </c>
      <c r="AP280" s="69"/>
      <c r="AQ280" s="69">
        <f t="shared" si="361"/>
        <v>8055.7066517190169</v>
      </c>
      <c r="AR280" s="69"/>
      <c r="AS280" s="69">
        <f t="shared" si="362"/>
        <v>6879.4309016892494</v>
      </c>
      <c r="AT280" s="69"/>
      <c r="AU280" s="69">
        <f t="shared" si="363"/>
        <v>1853.5254242893313</v>
      </c>
      <c r="AV280" s="69"/>
      <c r="AW280" s="69">
        <f t="shared" si="364"/>
        <v>10550.837030570041</v>
      </c>
      <c r="AX280" s="69"/>
      <c r="AY280" s="69">
        <f t="shared" si="365"/>
        <v>21493.765977816671</v>
      </c>
      <c r="AZ280" s="481"/>
      <c r="BA280" s="99">
        <f t="shared" si="370"/>
        <v>0</v>
      </c>
      <c r="BB280" s="82"/>
      <c r="BC280" s="82"/>
      <c r="BD280" s="82"/>
    </row>
    <row r="281" spans="1:56" x14ac:dyDescent="0.2">
      <c r="A281" s="121"/>
      <c r="B281" s="122"/>
      <c r="C281" s="116">
        <f>+'Rate base'!H8</f>
        <v>0</v>
      </c>
      <c r="D281" s="412">
        <v>339.3</v>
      </c>
      <c r="F281" s="120" t="s">
        <v>901</v>
      </c>
      <c r="G281" s="184"/>
      <c r="H281" s="75">
        <v>2</v>
      </c>
      <c r="I281"/>
      <c r="J281" s="231">
        <f t="shared" si="366"/>
        <v>0</v>
      </c>
      <c r="K281" s="177"/>
      <c r="L281" s="115">
        <f t="shared" si="350"/>
        <v>0</v>
      </c>
      <c r="M281" s="230"/>
      <c r="N281" s="115">
        <f t="shared" si="351"/>
        <v>0</v>
      </c>
      <c r="O281" s="230"/>
      <c r="P281" s="115">
        <f t="shared" si="352"/>
        <v>0</v>
      </c>
      <c r="Q281" s="230"/>
      <c r="R281" s="115">
        <f t="shared" si="353"/>
        <v>0</v>
      </c>
      <c r="S281" s="230"/>
      <c r="T281" s="115">
        <f t="shared" si="354"/>
        <v>0</v>
      </c>
      <c r="U281" s="230"/>
      <c r="V281" s="115">
        <f t="shared" si="355"/>
        <v>0</v>
      </c>
      <c r="W281" s="230"/>
      <c r="X281" s="115">
        <f t="shared" si="356"/>
        <v>0</v>
      </c>
      <c r="Y281" s="116"/>
      <c r="Z281" s="99">
        <f t="shared" si="367"/>
        <v>0</v>
      </c>
      <c r="AC281" s="120" t="s">
        <v>901</v>
      </c>
      <c r="AE281" s="154">
        <f t="shared" si="368"/>
        <v>2</v>
      </c>
      <c r="AF281" s="481"/>
      <c r="AG281" s="82">
        <f t="shared" si="369"/>
        <v>0</v>
      </c>
      <c r="AH281" s="481"/>
      <c r="AI281" s="69">
        <f t="shared" si="357"/>
        <v>0</v>
      </c>
      <c r="AJ281" s="69"/>
      <c r="AK281" s="69">
        <f t="shared" si="358"/>
        <v>0</v>
      </c>
      <c r="AL281" s="69"/>
      <c r="AM281" s="69">
        <f t="shared" si="359"/>
        <v>0</v>
      </c>
      <c r="AN281" s="69"/>
      <c r="AO281" s="69">
        <f t="shared" si="360"/>
        <v>0</v>
      </c>
      <c r="AP281" s="69"/>
      <c r="AQ281" s="69">
        <f t="shared" si="361"/>
        <v>0</v>
      </c>
      <c r="AR281" s="69"/>
      <c r="AS281" s="69">
        <f t="shared" si="362"/>
        <v>0</v>
      </c>
      <c r="AT281" s="69"/>
      <c r="AU281" s="69">
        <f t="shared" si="363"/>
        <v>0</v>
      </c>
      <c r="AV281" s="69"/>
      <c r="AW281" s="69">
        <f t="shared" si="364"/>
        <v>0</v>
      </c>
      <c r="AX281" s="69"/>
      <c r="AY281" s="69">
        <f t="shared" si="365"/>
        <v>0</v>
      </c>
      <c r="AZ281" s="481"/>
      <c r="BA281" s="99">
        <f t="shared" si="370"/>
        <v>0</v>
      </c>
      <c r="BB281" s="82"/>
      <c r="BC281" s="82"/>
      <c r="BD281" s="82"/>
    </row>
    <row r="282" spans="1:56" x14ac:dyDescent="0.2">
      <c r="A282" s="121"/>
      <c r="B282" s="122"/>
      <c r="C282" s="116">
        <f>+'Rate base'!H10</f>
        <v>1117540.9099999999</v>
      </c>
      <c r="D282" s="412">
        <v>303.2</v>
      </c>
      <c r="F282" s="120" t="s">
        <v>902</v>
      </c>
      <c r="G282" s="184"/>
      <c r="H282" s="75">
        <v>2</v>
      </c>
      <c r="I282"/>
      <c r="J282" s="231">
        <f t="shared" si="366"/>
        <v>1117540.9099999999</v>
      </c>
      <c r="K282" s="177"/>
      <c r="L282" s="115">
        <f t="shared" si="350"/>
        <v>572069.19182900002</v>
      </c>
      <c r="M282" s="230"/>
      <c r="N282" s="115">
        <f t="shared" si="351"/>
        <v>342079.27255099994</v>
      </c>
      <c r="O282" s="230"/>
      <c r="P282" s="115">
        <f t="shared" si="352"/>
        <v>54871.258680999992</v>
      </c>
      <c r="Q282" s="230"/>
      <c r="R282" s="115">
        <f t="shared" si="353"/>
        <v>108848.48463399998</v>
      </c>
      <c r="S282" s="230"/>
      <c r="T282" s="115">
        <f t="shared" si="354"/>
        <v>35761.309119999998</v>
      </c>
      <c r="U282" s="230"/>
      <c r="V282" s="115">
        <f t="shared" si="355"/>
        <v>1788.065456</v>
      </c>
      <c r="W282" s="230"/>
      <c r="X282" s="115">
        <f t="shared" si="356"/>
        <v>2123.3277289999996</v>
      </c>
      <c r="Y282" s="116"/>
      <c r="Z282" s="99">
        <f t="shared" si="367"/>
        <v>0</v>
      </c>
      <c r="AC282" s="120" t="s">
        <v>902</v>
      </c>
      <c r="AE282" s="154">
        <f t="shared" si="368"/>
        <v>2</v>
      </c>
      <c r="AF282" s="481"/>
      <c r="AG282" s="82">
        <f t="shared" si="369"/>
        <v>1117540.9099999999</v>
      </c>
      <c r="AH282" s="481"/>
      <c r="AI282" s="69">
        <f t="shared" si="357"/>
        <v>634651.48278899991</v>
      </c>
      <c r="AJ282" s="69"/>
      <c r="AK282" s="69">
        <f t="shared" si="358"/>
        <v>478978.03402599995</v>
      </c>
      <c r="AL282" s="69"/>
      <c r="AM282" s="69">
        <f t="shared" si="359"/>
        <v>0</v>
      </c>
      <c r="AN282" s="69"/>
      <c r="AO282" s="69">
        <f t="shared" si="360"/>
        <v>0</v>
      </c>
      <c r="AP282" s="69"/>
      <c r="AQ282" s="69">
        <f t="shared" si="361"/>
        <v>0</v>
      </c>
      <c r="AR282" s="69"/>
      <c r="AS282" s="69">
        <f t="shared" si="362"/>
        <v>0</v>
      </c>
      <c r="AT282" s="69"/>
      <c r="AU282" s="69">
        <f t="shared" si="363"/>
        <v>0</v>
      </c>
      <c r="AV282" s="69"/>
      <c r="AW282" s="69">
        <f t="shared" si="364"/>
        <v>1788.065456</v>
      </c>
      <c r="AX282" s="69"/>
      <c r="AY282" s="69">
        <f t="shared" si="365"/>
        <v>2123.3277289999996</v>
      </c>
      <c r="AZ282" s="481"/>
      <c r="BA282" s="99">
        <f t="shared" si="370"/>
        <v>0</v>
      </c>
      <c r="BB282" s="82"/>
      <c r="BC282" s="82"/>
      <c r="BD282" s="82"/>
    </row>
    <row r="283" spans="1:56" x14ac:dyDescent="0.2">
      <c r="A283" s="121"/>
      <c r="B283" s="122"/>
      <c r="C283" s="116">
        <f>+'Rate base'!H11</f>
        <v>18418095.024177194</v>
      </c>
      <c r="D283" s="412">
        <v>304.10000000000002</v>
      </c>
      <c r="F283" s="120" t="s">
        <v>604</v>
      </c>
      <c r="G283" s="184"/>
      <c r="H283" s="75">
        <v>2</v>
      </c>
      <c r="I283"/>
      <c r="J283" s="231">
        <f t="shared" si="366"/>
        <v>18418095.024177194</v>
      </c>
      <c r="K283" s="177"/>
      <c r="L283" s="115">
        <f t="shared" si="350"/>
        <v>9428222.8428763058</v>
      </c>
      <c r="M283" s="230"/>
      <c r="N283" s="115">
        <f t="shared" si="351"/>
        <v>5637778.8869006382</v>
      </c>
      <c r="O283" s="230"/>
      <c r="P283" s="115">
        <f t="shared" si="352"/>
        <v>904328.46568710019</v>
      </c>
      <c r="Q283" s="230"/>
      <c r="R283" s="115">
        <f t="shared" si="353"/>
        <v>1793922.4553548584</v>
      </c>
      <c r="S283" s="230"/>
      <c r="T283" s="115">
        <f t="shared" si="354"/>
        <v>589379.04077367019</v>
      </c>
      <c r="U283" s="230"/>
      <c r="V283" s="115">
        <f t="shared" si="355"/>
        <v>29468.95203868351</v>
      </c>
      <c r="W283" s="230"/>
      <c r="X283" s="115">
        <f t="shared" si="356"/>
        <v>34994.38054593667</v>
      </c>
      <c r="Y283" s="116"/>
      <c r="Z283" s="99">
        <f t="shared" si="367"/>
        <v>0</v>
      </c>
      <c r="AC283" s="120" t="s">
        <v>604</v>
      </c>
      <c r="AE283" s="154">
        <f t="shared" si="368"/>
        <v>2</v>
      </c>
      <c r="AF283" s="481"/>
      <c r="AG283" s="82">
        <f t="shared" si="369"/>
        <v>18418095.024177194</v>
      </c>
      <c r="AH283" s="481"/>
      <c r="AI283" s="69">
        <f t="shared" si="357"/>
        <v>10459636.164230227</v>
      </c>
      <c r="AJ283" s="69"/>
      <c r="AK283" s="69">
        <f t="shared" si="358"/>
        <v>7893995.5273623448</v>
      </c>
      <c r="AL283" s="69"/>
      <c r="AM283" s="69">
        <f t="shared" si="359"/>
        <v>0</v>
      </c>
      <c r="AN283" s="69"/>
      <c r="AO283" s="69">
        <f t="shared" si="360"/>
        <v>0</v>
      </c>
      <c r="AP283" s="69"/>
      <c r="AQ283" s="69">
        <f t="shared" si="361"/>
        <v>0</v>
      </c>
      <c r="AR283" s="69"/>
      <c r="AS283" s="69">
        <f t="shared" si="362"/>
        <v>0</v>
      </c>
      <c r="AT283" s="69"/>
      <c r="AU283" s="69">
        <f t="shared" si="363"/>
        <v>0</v>
      </c>
      <c r="AV283" s="69"/>
      <c r="AW283" s="69">
        <f t="shared" si="364"/>
        <v>29468.95203868351</v>
      </c>
      <c r="AX283" s="69"/>
      <c r="AY283" s="69">
        <f t="shared" si="365"/>
        <v>34994.38054593667</v>
      </c>
      <c r="AZ283" s="481"/>
      <c r="BA283" s="99">
        <f t="shared" si="370"/>
        <v>0</v>
      </c>
      <c r="BB283" s="82"/>
      <c r="BC283" s="82"/>
      <c r="BD283" s="82"/>
    </row>
    <row r="284" spans="1:56" x14ac:dyDescent="0.2">
      <c r="A284" s="121"/>
      <c r="B284" s="122"/>
      <c r="C284" s="116">
        <f>+'Rate base'!H12</f>
        <v>560222.80141557008</v>
      </c>
      <c r="D284" s="412">
        <v>305</v>
      </c>
      <c r="F284" s="120" t="s">
        <v>903</v>
      </c>
      <c r="G284" s="184"/>
      <c r="H284" s="75">
        <v>1</v>
      </c>
      <c r="I284"/>
      <c r="J284" s="231">
        <f t="shared" si="366"/>
        <v>560222.80141557008</v>
      </c>
      <c r="K284" s="177"/>
      <c r="L284" s="115">
        <f t="shared" si="350"/>
        <v>275125.41777518648</v>
      </c>
      <c r="M284" s="230"/>
      <c r="N284" s="115">
        <f t="shared" si="351"/>
        <v>172268.5114352878</v>
      </c>
      <c r="O284" s="230"/>
      <c r="P284" s="115">
        <f t="shared" si="352"/>
        <v>30532.142677148568</v>
      </c>
      <c r="Q284" s="230"/>
      <c r="R284" s="115">
        <f t="shared" si="353"/>
        <v>58991.460989059531</v>
      </c>
      <c r="S284" s="230"/>
      <c r="T284" s="115">
        <f t="shared" si="354"/>
        <v>19887.909450252737</v>
      </c>
      <c r="U284" s="230"/>
      <c r="V284" s="115">
        <f t="shared" si="355"/>
        <v>1568.6238439635963</v>
      </c>
      <c r="W284" s="230"/>
      <c r="X284" s="115">
        <f t="shared" si="356"/>
        <v>1848.7352446713812</v>
      </c>
      <c r="Y284" s="116"/>
      <c r="Z284" s="99">
        <f t="shared" si="367"/>
        <v>0</v>
      </c>
      <c r="AC284" s="120" t="s">
        <v>903</v>
      </c>
      <c r="AE284" s="154">
        <f t="shared" si="368"/>
        <v>1</v>
      </c>
      <c r="AF284" s="481"/>
      <c r="AG284" s="82">
        <f t="shared" si="369"/>
        <v>560222.80141557008</v>
      </c>
      <c r="AH284" s="481"/>
      <c r="AI284" s="69">
        <f t="shared" si="357"/>
        <v>556805.44232693512</v>
      </c>
      <c r="AJ284" s="69"/>
      <c r="AK284" s="69">
        <f t="shared" si="358"/>
        <v>0</v>
      </c>
      <c r="AL284" s="69"/>
      <c r="AM284" s="69">
        <f t="shared" si="359"/>
        <v>0</v>
      </c>
      <c r="AN284" s="69"/>
      <c r="AO284" s="69">
        <f t="shared" si="360"/>
        <v>0</v>
      </c>
      <c r="AP284" s="69"/>
      <c r="AQ284" s="69">
        <f t="shared" si="361"/>
        <v>0</v>
      </c>
      <c r="AR284" s="69"/>
      <c r="AS284" s="69">
        <f t="shared" si="362"/>
        <v>0</v>
      </c>
      <c r="AT284" s="69"/>
      <c r="AU284" s="69">
        <f t="shared" si="363"/>
        <v>0</v>
      </c>
      <c r="AV284" s="69"/>
      <c r="AW284" s="69">
        <f t="shared" si="364"/>
        <v>1568.6238439635963</v>
      </c>
      <c r="AX284" s="69"/>
      <c r="AY284" s="69">
        <f t="shared" si="365"/>
        <v>1848.7352446713812</v>
      </c>
      <c r="AZ284" s="481"/>
      <c r="BA284" s="99">
        <f t="shared" si="370"/>
        <v>0</v>
      </c>
      <c r="BB284" s="82"/>
      <c r="BC284" s="82"/>
      <c r="BD284" s="82"/>
    </row>
    <row r="285" spans="1:56" x14ac:dyDescent="0.2">
      <c r="A285" s="121"/>
      <c r="B285" s="122"/>
      <c r="C285" s="116">
        <f>+'Rate base'!H13</f>
        <v>1527151.1221754209</v>
      </c>
      <c r="D285" s="412">
        <v>306</v>
      </c>
      <c r="F285" s="120" t="s">
        <v>606</v>
      </c>
      <c r="G285" s="184"/>
      <c r="H285" s="75">
        <v>2</v>
      </c>
      <c r="I285"/>
      <c r="J285" s="231">
        <f t="shared" si="366"/>
        <v>1527151.1221754209</v>
      </c>
      <c r="K285" s="177"/>
      <c r="L285" s="115">
        <f t="shared" si="350"/>
        <v>781748.65944159799</v>
      </c>
      <c r="M285" s="230"/>
      <c r="N285" s="115">
        <f t="shared" si="351"/>
        <v>467460.95849789632</v>
      </c>
      <c r="O285" s="230"/>
      <c r="P285" s="115">
        <f t="shared" si="352"/>
        <v>74983.12009881316</v>
      </c>
      <c r="Q285" s="230"/>
      <c r="R285" s="115">
        <f t="shared" si="353"/>
        <v>148744.51929988599</v>
      </c>
      <c r="S285" s="230"/>
      <c r="T285" s="115">
        <f t="shared" si="354"/>
        <v>48868.835909613466</v>
      </c>
      <c r="U285" s="230"/>
      <c r="V285" s="115">
        <f t="shared" si="355"/>
        <v>2443.4417954806736</v>
      </c>
      <c r="W285" s="230"/>
      <c r="X285" s="115">
        <f t="shared" si="356"/>
        <v>2901.5871321332997</v>
      </c>
      <c r="Y285" s="116"/>
      <c r="Z285" s="99">
        <f t="shared" si="367"/>
        <v>0</v>
      </c>
      <c r="AC285" s="120" t="s">
        <v>606</v>
      </c>
      <c r="AE285" s="154">
        <f t="shared" si="368"/>
        <v>2</v>
      </c>
      <c r="AF285" s="481"/>
      <c r="AG285" s="82">
        <f t="shared" si="369"/>
        <v>1527151.1221754209</v>
      </c>
      <c r="AH285" s="481"/>
      <c r="AI285" s="69">
        <f t="shared" si="357"/>
        <v>867269.12228342146</v>
      </c>
      <c r="AJ285" s="69"/>
      <c r="AK285" s="69">
        <f t="shared" si="358"/>
        <v>654536.97096438531</v>
      </c>
      <c r="AL285" s="69"/>
      <c r="AM285" s="69">
        <f t="shared" si="359"/>
        <v>0</v>
      </c>
      <c r="AN285" s="69"/>
      <c r="AO285" s="69">
        <f t="shared" si="360"/>
        <v>0</v>
      </c>
      <c r="AP285" s="69"/>
      <c r="AQ285" s="69">
        <f t="shared" si="361"/>
        <v>0</v>
      </c>
      <c r="AR285" s="69"/>
      <c r="AS285" s="69">
        <f t="shared" si="362"/>
        <v>0</v>
      </c>
      <c r="AT285" s="69"/>
      <c r="AU285" s="69">
        <f t="shared" si="363"/>
        <v>0</v>
      </c>
      <c r="AV285" s="69"/>
      <c r="AW285" s="69">
        <f t="shared" si="364"/>
        <v>2443.4417954806736</v>
      </c>
      <c r="AX285" s="69"/>
      <c r="AY285" s="69">
        <f t="shared" si="365"/>
        <v>2901.5871321332997</v>
      </c>
      <c r="AZ285" s="481"/>
      <c r="BA285" s="99">
        <f t="shared" si="370"/>
        <v>0</v>
      </c>
      <c r="BB285" s="82"/>
      <c r="BC285" s="82"/>
      <c r="BD285" s="82"/>
    </row>
    <row r="286" spans="1:56" x14ac:dyDescent="0.2">
      <c r="A286" s="121"/>
      <c r="B286" s="122"/>
      <c r="C286" s="116">
        <f>+'Rate base'!H15</f>
        <v>14345006.986456634</v>
      </c>
      <c r="D286" s="412">
        <v>309</v>
      </c>
      <c r="F286" s="120" t="s">
        <v>608</v>
      </c>
      <c r="G286" s="184"/>
      <c r="H286" s="75">
        <v>2</v>
      </c>
      <c r="I286"/>
      <c r="J286" s="231">
        <f t="shared" si="366"/>
        <v>14345006.986456634</v>
      </c>
      <c r="K286" s="177"/>
      <c r="L286" s="115">
        <f t="shared" si="350"/>
        <v>7343209.0763671519</v>
      </c>
      <c r="M286" s="230"/>
      <c r="N286" s="115">
        <f t="shared" si="351"/>
        <v>4391006.6385543756</v>
      </c>
      <c r="O286" s="230"/>
      <c r="P286" s="115">
        <f t="shared" si="352"/>
        <v>704339.84303502075</v>
      </c>
      <c r="Q286" s="230"/>
      <c r="R286" s="115">
        <f t="shared" si="353"/>
        <v>1397203.680480876</v>
      </c>
      <c r="S286" s="230"/>
      <c r="T286" s="115">
        <f t="shared" si="354"/>
        <v>459040.22356661229</v>
      </c>
      <c r="U286" s="230"/>
      <c r="V286" s="115">
        <f t="shared" si="355"/>
        <v>22952.011178330617</v>
      </c>
      <c r="W286" s="230"/>
      <c r="X286" s="115">
        <f t="shared" si="356"/>
        <v>27255.513274267607</v>
      </c>
      <c r="Y286" s="116"/>
      <c r="Z286" s="99">
        <f t="shared" si="367"/>
        <v>0</v>
      </c>
      <c r="AC286" s="120" t="s">
        <v>608</v>
      </c>
      <c r="AE286" s="154">
        <f t="shared" si="368"/>
        <v>2</v>
      </c>
      <c r="AF286" s="481"/>
      <c r="AG286" s="82">
        <f t="shared" si="369"/>
        <v>14345006.986456634</v>
      </c>
      <c r="AH286" s="481"/>
      <c r="AI286" s="69">
        <f t="shared" si="357"/>
        <v>8146529.4676087219</v>
      </c>
      <c r="AJ286" s="69"/>
      <c r="AK286" s="69">
        <f t="shared" si="358"/>
        <v>6148269.9943953129</v>
      </c>
      <c r="AL286" s="69"/>
      <c r="AM286" s="69">
        <f t="shared" si="359"/>
        <v>0</v>
      </c>
      <c r="AN286" s="69"/>
      <c r="AO286" s="69">
        <f t="shared" si="360"/>
        <v>0</v>
      </c>
      <c r="AP286" s="69"/>
      <c r="AQ286" s="69">
        <f t="shared" si="361"/>
        <v>0</v>
      </c>
      <c r="AR286" s="69"/>
      <c r="AS286" s="69">
        <f t="shared" si="362"/>
        <v>0</v>
      </c>
      <c r="AT286" s="69"/>
      <c r="AU286" s="69">
        <f t="shared" si="363"/>
        <v>0</v>
      </c>
      <c r="AV286" s="69"/>
      <c r="AW286" s="69">
        <f t="shared" si="364"/>
        <v>22952.011178330617</v>
      </c>
      <c r="AX286" s="69"/>
      <c r="AY286" s="69">
        <f t="shared" si="365"/>
        <v>27255.513274267607</v>
      </c>
      <c r="AZ286" s="481"/>
      <c r="BA286" s="99">
        <f t="shared" si="370"/>
        <v>0</v>
      </c>
      <c r="BB286" s="82"/>
      <c r="BC286" s="82"/>
      <c r="BD286" s="82"/>
    </row>
    <row r="287" spans="1:56" s="480" customFormat="1" x14ac:dyDescent="0.2">
      <c r="A287" s="121"/>
      <c r="B287" s="122"/>
      <c r="C287" s="116">
        <f>+'Rate base'!H23</f>
        <v>15425246.861107687</v>
      </c>
      <c r="D287" s="412">
        <v>311.52</v>
      </c>
      <c r="E287" s="116"/>
      <c r="F287" s="120" t="s">
        <v>907</v>
      </c>
      <c r="G287" s="184"/>
      <c r="H287" s="75">
        <v>2</v>
      </c>
      <c r="J287" s="231">
        <f t="shared" si="366"/>
        <v>15425246.861107687</v>
      </c>
      <c r="K287" s="177"/>
      <c r="L287" s="115">
        <f t="shared" si="350"/>
        <v>7896183.8682010248</v>
      </c>
      <c r="M287" s="230"/>
      <c r="N287" s="115">
        <f t="shared" si="351"/>
        <v>4721668.0641850624</v>
      </c>
      <c r="O287" s="230"/>
      <c r="P287" s="115">
        <f t="shared" si="352"/>
        <v>757379.62088038737</v>
      </c>
      <c r="Q287" s="230"/>
      <c r="R287" s="115">
        <f t="shared" si="353"/>
        <v>1502419.0442718884</v>
      </c>
      <c r="S287" s="230"/>
      <c r="T287" s="115">
        <f t="shared" si="354"/>
        <v>493607.899555446</v>
      </c>
      <c r="U287" s="230"/>
      <c r="V287" s="115">
        <f t="shared" si="355"/>
        <v>24680.394977772299</v>
      </c>
      <c r="W287" s="230"/>
      <c r="X287" s="115">
        <f t="shared" si="356"/>
        <v>29307.969036104605</v>
      </c>
      <c r="Y287" s="116"/>
      <c r="Z287" s="99">
        <f t="shared" si="367"/>
        <v>0</v>
      </c>
      <c r="AC287" s="120" t="s">
        <v>907</v>
      </c>
      <c r="AE287" s="154">
        <f t="shared" si="368"/>
        <v>2</v>
      </c>
      <c r="AF287" s="481"/>
      <c r="AG287" s="82">
        <f t="shared" si="369"/>
        <v>15425246.861107687</v>
      </c>
      <c r="AH287" s="481"/>
      <c r="AI287" s="69">
        <f t="shared" si="357"/>
        <v>8759997.6924230549</v>
      </c>
      <c r="AJ287" s="69"/>
      <c r="AK287" s="69">
        <f t="shared" si="358"/>
        <v>6611260.8046707539</v>
      </c>
      <c r="AL287" s="69"/>
      <c r="AM287" s="69">
        <f t="shared" si="359"/>
        <v>0</v>
      </c>
      <c r="AN287" s="69"/>
      <c r="AO287" s="69">
        <f t="shared" si="360"/>
        <v>0</v>
      </c>
      <c r="AP287" s="69"/>
      <c r="AQ287" s="69">
        <f t="shared" si="361"/>
        <v>0</v>
      </c>
      <c r="AR287" s="69"/>
      <c r="AS287" s="69">
        <f t="shared" si="362"/>
        <v>0</v>
      </c>
      <c r="AT287" s="69"/>
      <c r="AU287" s="69">
        <f t="shared" si="363"/>
        <v>0</v>
      </c>
      <c r="AV287" s="69"/>
      <c r="AW287" s="69">
        <f t="shared" si="364"/>
        <v>24680.394977772299</v>
      </c>
      <c r="AX287" s="69"/>
      <c r="AY287" s="69">
        <f t="shared" si="365"/>
        <v>29307.969036104605</v>
      </c>
      <c r="AZ287" s="481"/>
      <c r="BA287" s="99">
        <f t="shared" si="370"/>
        <v>0</v>
      </c>
      <c r="BB287" s="82"/>
      <c r="BC287" s="82"/>
      <c r="BD287" s="82"/>
    </row>
    <row r="288" spans="1:56" x14ac:dyDescent="0.2">
      <c r="A288" s="121"/>
      <c r="B288" s="122"/>
      <c r="C288" s="116">
        <f>+'Rate base'!H16</f>
        <v>277216.12000000005</v>
      </c>
      <c r="D288" s="412">
        <v>303.3</v>
      </c>
      <c r="F288" s="120" t="s">
        <v>904</v>
      </c>
      <c r="G288" s="184"/>
      <c r="H288" s="75">
        <v>6</v>
      </c>
      <c r="I288"/>
      <c r="J288" s="231">
        <f t="shared" si="366"/>
        <v>277216.12000000005</v>
      </c>
      <c r="K288" s="177"/>
      <c r="L288" s="115">
        <f t="shared" si="350"/>
        <v>135170.58011200003</v>
      </c>
      <c r="M288" s="230"/>
      <c r="N288" s="115">
        <f t="shared" si="351"/>
        <v>81085.715100000016</v>
      </c>
      <c r="O288" s="230"/>
      <c r="P288" s="115">
        <f t="shared" si="352"/>
        <v>12530.168624000002</v>
      </c>
      <c r="Q288" s="230"/>
      <c r="R288" s="115">
        <f t="shared" si="353"/>
        <v>24644.513068000007</v>
      </c>
      <c r="S288" s="230"/>
      <c r="T288" s="115">
        <f t="shared" si="354"/>
        <v>6292.8059240000002</v>
      </c>
      <c r="U288" s="230"/>
      <c r="V288" s="115">
        <f t="shared" si="355"/>
        <v>8094.710704000001</v>
      </c>
      <c r="W288" s="230"/>
      <c r="X288" s="115">
        <f t="shared" si="356"/>
        <v>9397.6264680000022</v>
      </c>
      <c r="Y288" s="116"/>
      <c r="Z288" s="99">
        <f t="shared" si="367"/>
        <v>0</v>
      </c>
      <c r="AC288" s="120" t="s">
        <v>904</v>
      </c>
      <c r="AE288" s="154">
        <f t="shared" si="368"/>
        <v>6</v>
      </c>
      <c r="AF288" s="481"/>
      <c r="AG288" s="82">
        <f t="shared" si="369"/>
        <v>277216.12000000005</v>
      </c>
      <c r="AH288" s="481"/>
      <c r="AI288" s="69">
        <f t="shared" si="357"/>
        <v>137176.40506987204</v>
      </c>
      <c r="AJ288" s="69"/>
      <c r="AK288" s="69">
        <f t="shared" si="358"/>
        <v>84495.473376000024</v>
      </c>
      <c r="AL288" s="69"/>
      <c r="AM288" s="69">
        <f t="shared" si="359"/>
        <v>38043.055643577602</v>
      </c>
      <c r="AN288" s="69"/>
      <c r="AO288" s="69">
        <f t="shared" si="360"/>
        <v>0</v>
      </c>
      <c r="AP288" s="69"/>
      <c r="AQ288" s="69">
        <f t="shared" si="361"/>
        <v>0</v>
      </c>
      <c r="AR288" s="69"/>
      <c r="AS288" s="69">
        <f t="shared" si="362"/>
        <v>0</v>
      </c>
      <c r="AT288" s="69"/>
      <c r="AU288" s="69">
        <f t="shared" si="363"/>
        <v>0</v>
      </c>
      <c r="AV288" s="69"/>
      <c r="AW288" s="69">
        <f t="shared" si="364"/>
        <v>8091.0514512160016</v>
      </c>
      <c r="AX288" s="69"/>
      <c r="AY288" s="69">
        <f t="shared" si="365"/>
        <v>9410.134459334402</v>
      </c>
      <c r="AZ288" s="481"/>
      <c r="BA288" s="99">
        <f t="shared" si="370"/>
        <v>0</v>
      </c>
      <c r="BB288" s="82"/>
      <c r="BC288" s="82"/>
      <c r="BD288" s="82"/>
    </row>
    <row r="289" spans="1:56" x14ac:dyDescent="0.2">
      <c r="A289" s="121"/>
      <c r="B289" s="122"/>
      <c r="C289" s="116">
        <f>+'Rate base'!H17</f>
        <v>7273151.5571255721</v>
      </c>
      <c r="D289" s="412">
        <v>304.2</v>
      </c>
      <c r="F289" s="120" t="s">
        <v>609</v>
      </c>
      <c r="G289" s="184"/>
      <c r="H289" s="75">
        <v>6</v>
      </c>
      <c r="I289"/>
      <c r="J289" s="231">
        <f t="shared" si="366"/>
        <v>7273151.5571255721</v>
      </c>
      <c r="K289" s="177"/>
      <c r="L289" s="115">
        <f t="shared" si="350"/>
        <v>3546388.6992544294</v>
      </c>
      <c r="M289" s="230"/>
      <c r="N289" s="115">
        <f t="shared" si="351"/>
        <v>2127396.8304592296</v>
      </c>
      <c r="O289" s="230"/>
      <c r="P289" s="115">
        <f t="shared" si="352"/>
        <v>328746.45038207585</v>
      </c>
      <c r="Q289" s="230"/>
      <c r="R289" s="115">
        <f t="shared" si="353"/>
        <v>646583.1734284634</v>
      </c>
      <c r="S289" s="230"/>
      <c r="T289" s="115">
        <f t="shared" si="354"/>
        <v>165100.54034675047</v>
      </c>
      <c r="U289" s="230"/>
      <c r="V289" s="115">
        <f t="shared" si="355"/>
        <v>212376.02546806668</v>
      </c>
      <c r="W289" s="230"/>
      <c r="X289" s="115">
        <f t="shared" si="356"/>
        <v>246559.83778655689</v>
      </c>
      <c r="Y289" s="116"/>
      <c r="Z289" s="99">
        <f t="shared" si="367"/>
        <v>0</v>
      </c>
      <c r="AC289" s="120" t="s">
        <v>609</v>
      </c>
      <c r="AE289" s="154">
        <f t="shared" si="368"/>
        <v>6</v>
      </c>
      <c r="AF289" s="481"/>
      <c r="AG289" s="82">
        <f t="shared" si="369"/>
        <v>7273151.5571255721</v>
      </c>
      <c r="AH289" s="481"/>
      <c r="AI289" s="69">
        <f t="shared" si="357"/>
        <v>3599014.3146611671</v>
      </c>
      <c r="AJ289" s="69"/>
      <c r="AK289" s="69">
        <f t="shared" si="358"/>
        <v>2216856.5946118743</v>
      </c>
      <c r="AL289" s="69"/>
      <c r="AM289" s="69">
        <f t="shared" si="359"/>
        <v>998112.62560020387</v>
      </c>
      <c r="AN289" s="69"/>
      <c r="AO289" s="69">
        <f t="shared" si="360"/>
        <v>0</v>
      </c>
      <c r="AP289" s="69"/>
      <c r="AQ289" s="69">
        <f t="shared" si="361"/>
        <v>0</v>
      </c>
      <c r="AR289" s="69"/>
      <c r="AS289" s="69">
        <f t="shared" si="362"/>
        <v>0</v>
      </c>
      <c r="AT289" s="69"/>
      <c r="AU289" s="69">
        <f t="shared" si="363"/>
        <v>0</v>
      </c>
      <c r="AV289" s="69"/>
      <c r="AW289" s="69">
        <f t="shared" si="364"/>
        <v>212280.01986751263</v>
      </c>
      <c r="AX289" s="69"/>
      <c r="AY289" s="69">
        <f t="shared" si="365"/>
        <v>246888.0023848144</v>
      </c>
      <c r="AZ289" s="481"/>
      <c r="BA289" s="99">
        <f t="shared" si="370"/>
        <v>0</v>
      </c>
      <c r="BB289" s="82"/>
      <c r="BC289" s="82"/>
      <c r="BD289" s="82"/>
    </row>
    <row r="290" spans="1:56" x14ac:dyDescent="0.2">
      <c r="A290" s="121"/>
      <c r="B290" s="122"/>
      <c r="C290" s="116">
        <f>+'Rate base'!H18</f>
        <v>2593354.5547706285</v>
      </c>
      <c r="D290" s="412">
        <v>310</v>
      </c>
      <c r="F290" s="120" t="s">
        <v>610</v>
      </c>
      <c r="G290" s="184"/>
      <c r="H290" s="75">
        <v>6</v>
      </c>
      <c r="I290"/>
      <c r="J290" s="231">
        <f t="shared" si="366"/>
        <v>2593354.5547706285</v>
      </c>
      <c r="K290" s="177"/>
      <c r="L290" s="115">
        <f t="shared" si="350"/>
        <v>1264519.6809061584</v>
      </c>
      <c r="M290" s="230"/>
      <c r="N290" s="115">
        <f t="shared" si="351"/>
        <v>758556.20727040875</v>
      </c>
      <c r="O290" s="230"/>
      <c r="P290" s="115">
        <f t="shared" si="352"/>
        <v>117219.6258756324</v>
      </c>
      <c r="Q290" s="230"/>
      <c r="R290" s="115">
        <f t="shared" si="353"/>
        <v>230549.21991910887</v>
      </c>
      <c r="S290" s="230"/>
      <c r="T290" s="115">
        <f t="shared" si="354"/>
        <v>58869.148393293261</v>
      </c>
      <c r="U290" s="230"/>
      <c r="V290" s="115">
        <f t="shared" si="355"/>
        <v>75725.952999302346</v>
      </c>
      <c r="W290" s="230"/>
      <c r="X290" s="115">
        <f t="shared" si="356"/>
        <v>87914.719406724311</v>
      </c>
      <c r="Y290" s="116"/>
      <c r="Z290" s="99">
        <f t="shared" si="367"/>
        <v>0</v>
      </c>
      <c r="AC290" s="120" t="s">
        <v>610</v>
      </c>
      <c r="AE290" s="154">
        <f t="shared" si="368"/>
        <v>6</v>
      </c>
      <c r="AF290" s="481"/>
      <c r="AG290" s="82">
        <f t="shared" si="369"/>
        <v>2593354.5547706285</v>
      </c>
      <c r="AH290" s="481"/>
      <c r="AI290" s="69">
        <f t="shared" si="357"/>
        <v>1283284.1571226569</v>
      </c>
      <c r="AJ290" s="69"/>
      <c r="AK290" s="69">
        <f t="shared" si="358"/>
        <v>790454.46829408756</v>
      </c>
      <c r="AL290" s="69"/>
      <c r="AM290" s="69">
        <f t="shared" si="359"/>
        <v>355892.47707046918</v>
      </c>
      <c r="AN290" s="69"/>
      <c r="AO290" s="69">
        <f t="shared" si="360"/>
        <v>0</v>
      </c>
      <c r="AP290" s="69"/>
      <c r="AQ290" s="69">
        <f t="shared" si="361"/>
        <v>0</v>
      </c>
      <c r="AR290" s="69"/>
      <c r="AS290" s="69">
        <f t="shared" si="362"/>
        <v>0</v>
      </c>
      <c r="AT290" s="69"/>
      <c r="AU290" s="69">
        <f t="shared" si="363"/>
        <v>0</v>
      </c>
      <c r="AV290" s="69"/>
      <c r="AW290" s="69">
        <f t="shared" si="364"/>
        <v>75691.720719179371</v>
      </c>
      <c r="AX290" s="69"/>
      <c r="AY290" s="69">
        <f t="shared" si="365"/>
        <v>88031.731564235568</v>
      </c>
      <c r="AZ290" s="481"/>
      <c r="BA290" s="99">
        <f t="shared" si="370"/>
        <v>0</v>
      </c>
      <c r="BB290" s="82"/>
      <c r="BC290" s="82"/>
      <c r="BD290" s="82"/>
    </row>
    <row r="291" spans="1:56" x14ac:dyDescent="0.2">
      <c r="A291" s="121"/>
      <c r="B291" s="122"/>
      <c r="C291" s="116">
        <f>+'Rate base'!H19</f>
        <v>10172200.822300475</v>
      </c>
      <c r="D291" s="412">
        <v>311.2</v>
      </c>
      <c r="F291" s="120" t="s">
        <v>611</v>
      </c>
      <c r="G291" s="184"/>
      <c r="H291" s="75">
        <v>6</v>
      </c>
      <c r="I291"/>
      <c r="J291" s="231">
        <f t="shared" si="366"/>
        <v>10172200.822300475</v>
      </c>
      <c r="K291" s="177"/>
      <c r="L291" s="115">
        <f t="shared" si="350"/>
        <v>4959965.1209537117</v>
      </c>
      <c r="M291" s="230"/>
      <c r="N291" s="115">
        <f t="shared" si="351"/>
        <v>2975368.740522889</v>
      </c>
      <c r="O291" s="230"/>
      <c r="P291" s="115">
        <f t="shared" si="352"/>
        <v>459783.47716798144</v>
      </c>
      <c r="Q291" s="230"/>
      <c r="R291" s="115">
        <f t="shared" si="353"/>
        <v>904308.65310251235</v>
      </c>
      <c r="S291" s="230"/>
      <c r="T291" s="115">
        <f t="shared" si="354"/>
        <v>230908.95866622077</v>
      </c>
      <c r="U291" s="230"/>
      <c r="V291" s="115">
        <f t="shared" si="355"/>
        <v>297028.26401117386</v>
      </c>
      <c r="W291" s="230"/>
      <c r="X291" s="115">
        <f t="shared" si="356"/>
        <v>344837.60787598608</v>
      </c>
      <c r="Y291" s="116"/>
      <c r="Z291" s="99">
        <f t="shared" si="367"/>
        <v>0</v>
      </c>
      <c r="AC291" s="120" t="s">
        <v>611</v>
      </c>
      <c r="AE291" s="154">
        <f t="shared" si="368"/>
        <v>6</v>
      </c>
      <c r="AF291" s="481"/>
      <c r="AG291" s="82">
        <f t="shared" si="369"/>
        <v>10172200.822300475</v>
      </c>
      <c r="AH291" s="481"/>
      <c r="AI291" s="69">
        <f t="shared" si="357"/>
        <v>5033567.0972235491</v>
      </c>
      <c r="AJ291" s="69"/>
      <c r="AK291" s="69">
        <f t="shared" si="358"/>
        <v>3100486.8106371849</v>
      </c>
      <c r="AL291" s="69"/>
      <c r="AM291" s="69">
        <f t="shared" si="359"/>
        <v>1395956.3459023335</v>
      </c>
      <c r="AN291" s="69"/>
      <c r="AO291" s="69">
        <f t="shared" si="360"/>
        <v>0</v>
      </c>
      <c r="AP291" s="69"/>
      <c r="AQ291" s="69">
        <f t="shared" si="361"/>
        <v>0</v>
      </c>
      <c r="AR291" s="69"/>
      <c r="AS291" s="69">
        <f t="shared" si="362"/>
        <v>0</v>
      </c>
      <c r="AT291" s="69"/>
      <c r="AU291" s="69">
        <f t="shared" si="363"/>
        <v>0</v>
      </c>
      <c r="AV291" s="69"/>
      <c r="AW291" s="69">
        <f t="shared" si="364"/>
        <v>296893.99096031947</v>
      </c>
      <c r="AX291" s="69"/>
      <c r="AY291" s="69">
        <f t="shared" si="365"/>
        <v>345296.57757708832</v>
      </c>
      <c r="AZ291" s="481"/>
      <c r="BA291" s="99">
        <f t="shared" si="370"/>
        <v>0</v>
      </c>
      <c r="BB291" s="82"/>
      <c r="BC291" s="82"/>
      <c r="BD291" s="82"/>
    </row>
    <row r="292" spans="1:56" x14ac:dyDescent="0.2">
      <c r="A292" s="222"/>
      <c r="B292" s="223"/>
      <c r="C292" s="116">
        <f>+'Rate base'!H20</f>
        <v>410134.53014416707</v>
      </c>
      <c r="D292" s="412">
        <v>311.2</v>
      </c>
      <c r="F292" s="120" t="s">
        <v>612</v>
      </c>
      <c r="G292" s="184"/>
      <c r="H292" s="75">
        <v>6</v>
      </c>
      <c r="I292"/>
      <c r="J292" s="231">
        <f t="shared" si="366"/>
        <v>410134.53014416707</v>
      </c>
      <c r="K292" s="177"/>
      <c r="L292" s="115">
        <f t="shared" si="350"/>
        <v>199981.59689829589</v>
      </c>
      <c r="M292" s="230"/>
      <c r="N292" s="115">
        <f t="shared" si="351"/>
        <v>119964.35006716887</v>
      </c>
      <c r="O292" s="230"/>
      <c r="P292" s="115">
        <f t="shared" si="352"/>
        <v>18538.080762516351</v>
      </c>
      <c r="Q292" s="230"/>
      <c r="R292" s="115">
        <f t="shared" si="353"/>
        <v>36460.959729816459</v>
      </c>
      <c r="S292" s="230"/>
      <c r="T292" s="115">
        <f t="shared" si="354"/>
        <v>9310.0538342725922</v>
      </c>
      <c r="U292" s="230"/>
      <c r="V292" s="115">
        <f t="shared" si="355"/>
        <v>11975.928280209677</v>
      </c>
      <c r="W292" s="230"/>
      <c r="X292" s="115">
        <f t="shared" si="356"/>
        <v>13903.560571887263</v>
      </c>
      <c r="Y292" s="116"/>
      <c r="Z292" s="99">
        <f t="shared" si="367"/>
        <v>0</v>
      </c>
      <c r="AC292" s="120" t="s">
        <v>612</v>
      </c>
      <c r="AE292" s="154">
        <f t="shared" si="368"/>
        <v>6</v>
      </c>
      <c r="AF292" s="481"/>
      <c r="AG292" s="82">
        <f t="shared" si="369"/>
        <v>410134.53014416707</v>
      </c>
      <c r="AH292" s="481"/>
      <c r="AI292" s="69">
        <f t="shared" si="357"/>
        <v>202949.16630460703</v>
      </c>
      <c r="AJ292" s="69"/>
      <c r="AK292" s="69">
        <f t="shared" si="358"/>
        <v>125009.00478794213</v>
      </c>
      <c r="AL292" s="69"/>
      <c r="AM292" s="69">
        <f t="shared" si="359"/>
        <v>56283.7787053188</v>
      </c>
      <c r="AN292" s="69"/>
      <c r="AO292" s="69">
        <f t="shared" si="360"/>
        <v>0</v>
      </c>
      <c r="AP292" s="69"/>
      <c r="AQ292" s="69">
        <f t="shared" si="361"/>
        <v>0</v>
      </c>
      <c r="AR292" s="69"/>
      <c r="AS292" s="69">
        <f t="shared" si="362"/>
        <v>0</v>
      </c>
      <c r="AT292" s="69"/>
      <c r="AU292" s="69">
        <f t="shared" si="363"/>
        <v>0</v>
      </c>
      <c r="AV292" s="69"/>
      <c r="AW292" s="69">
        <f t="shared" si="364"/>
        <v>11970.514504411774</v>
      </c>
      <c r="AX292" s="69"/>
      <c r="AY292" s="69">
        <f t="shared" si="365"/>
        <v>13922.06584188737</v>
      </c>
      <c r="AZ292" s="481"/>
      <c r="BA292" s="99">
        <f t="shared" si="370"/>
        <v>0</v>
      </c>
      <c r="BB292" s="82"/>
      <c r="BC292" s="82"/>
      <c r="BD292" s="82"/>
    </row>
    <row r="293" spans="1:56" s="480" customFormat="1" x14ac:dyDescent="0.2">
      <c r="A293" s="222"/>
      <c r="B293" s="223"/>
      <c r="C293" s="116">
        <f>+'Rate base'!H21</f>
        <v>7439.7731480000011</v>
      </c>
      <c r="D293" s="412">
        <v>311.39999999999998</v>
      </c>
      <c r="E293" s="116"/>
      <c r="F293" s="120" t="s">
        <v>905</v>
      </c>
      <c r="G293" s="184"/>
      <c r="H293" s="75">
        <v>6</v>
      </c>
      <c r="J293" s="231">
        <f t="shared" si="366"/>
        <v>7439.7731480000011</v>
      </c>
      <c r="K293" s="177"/>
      <c r="L293" s="115">
        <f t="shared" si="350"/>
        <v>3627.6333869648006</v>
      </c>
      <c r="M293" s="230"/>
      <c r="N293" s="115">
        <f t="shared" si="351"/>
        <v>2176.1336457900002</v>
      </c>
      <c r="O293" s="230"/>
      <c r="P293" s="115">
        <f t="shared" si="352"/>
        <v>336.27774628960003</v>
      </c>
      <c r="Q293" s="230"/>
      <c r="R293" s="115">
        <f t="shared" si="353"/>
        <v>661.39583285720016</v>
      </c>
      <c r="S293" s="230"/>
      <c r="T293" s="115">
        <f t="shared" si="354"/>
        <v>168.88285045960001</v>
      </c>
      <c r="U293" s="230"/>
      <c r="V293" s="115">
        <f t="shared" si="355"/>
        <v>217.2413759216</v>
      </c>
      <c r="W293" s="230"/>
      <c r="X293" s="115">
        <f t="shared" si="356"/>
        <v>252.20830971720002</v>
      </c>
      <c r="Y293" s="116"/>
      <c r="Z293" s="99">
        <f t="shared" si="367"/>
        <v>0</v>
      </c>
      <c r="AC293" s="120" t="s">
        <v>905</v>
      </c>
      <c r="AE293" s="154">
        <f t="shared" si="368"/>
        <v>6</v>
      </c>
      <c r="AF293" s="481"/>
      <c r="AG293" s="82">
        <f t="shared" si="369"/>
        <v>7439.7731480000011</v>
      </c>
      <c r="AH293" s="481"/>
      <c r="AI293" s="69">
        <f t="shared" si="357"/>
        <v>3681.4646095544695</v>
      </c>
      <c r="AJ293" s="69"/>
      <c r="AK293" s="69">
        <f t="shared" si="358"/>
        <v>2267.6428555104003</v>
      </c>
      <c r="AL293" s="69"/>
      <c r="AM293" s="69">
        <f t="shared" si="359"/>
        <v>1020.9785197374471</v>
      </c>
      <c r="AN293" s="69"/>
      <c r="AO293" s="69">
        <f t="shared" si="360"/>
        <v>0</v>
      </c>
      <c r="AP293" s="69"/>
      <c r="AQ293" s="69">
        <f t="shared" si="361"/>
        <v>0</v>
      </c>
      <c r="AR293" s="69"/>
      <c r="AS293" s="69">
        <f t="shared" si="362"/>
        <v>0</v>
      </c>
      <c r="AT293" s="69"/>
      <c r="AU293" s="69">
        <f t="shared" si="363"/>
        <v>0</v>
      </c>
      <c r="AV293" s="69"/>
      <c r="AW293" s="69">
        <f t="shared" si="364"/>
        <v>217.14317091604642</v>
      </c>
      <c r="AX293" s="69"/>
      <c r="AY293" s="69">
        <f t="shared" si="365"/>
        <v>252.54399228163783</v>
      </c>
      <c r="AZ293" s="481"/>
      <c r="BA293" s="99">
        <f t="shared" si="370"/>
        <v>0</v>
      </c>
      <c r="BB293" s="82"/>
      <c r="BC293" s="82"/>
      <c r="BD293" s="82"/>
    </row>
    <row r="294" spans="1:56" x14ac:dyDescent="0.2">
      <c r="A294" s="121"/>
      <c r="B294" s="122"/>
      <c r="C294" s="116">
        <f>+'Rate base'!H22</f>
        <v>-1262500.8678463111</v>
      </c>
      <c r="D294" s="412">
        <v>311.5</v>
      </c>
      <c r="F294" s="120" t="s">
        <v>906</v>
      </c>
      <c r="G294" s="184"/>
      <c r="H294" s="75">
        <v>6</v>
      </c>
      <c r="I294"/>
      <c r="J294" s="231">
        <f t="shared" si="366"/>
        <v>-1262500.8678463111</v>
      </c>
      <c r="K294" s="177"/>
      <c r="L294" s="115">
        <f t="shared" si="350"/>
        <v>-615595.42316186137</v>
      </c>
      <c r="M294" s="230"/>
      <c r="N294" s="115">
        <f t="shared" si="351"/>
        <v>-369281.50384504598</v>
      </c>
      <c r="O294" s="230"/>
      <c r="P294" s="115">
        <f t="shared" si="352"/>
        <v>-57065.039226653258</v>
      </c>
      <c r="Q294" s="230"/>
      <c r="R294" s="115">
        <f t="shared" si="353"/>
        <v>-112236.32715153706</v>
      </c>
      <c r="S294" s="230"/>
      <c r="T294" s="115">
        <f t="shared" si="354"/>
        <v>-28658.769700111257</v>
      </c>
      <c r="U294" s="230"/>
      <c r="V294" s="115">
        <f t="shared" si="355"/>
        <v>-36865.025341112276</v>
      </c>
      <c r="W294" s="230"/>
      <c r="X294" s="115">
        <f t="shared" si="356"/>
        <v>-42798.779419989944</v>
      </c>
      <c r="Y294" s="116"/>
      <c r="Z294" s="99">
        <f t="shared" si="367"/>
        <v>0</v>
      </c>
      <c r="AC294" s="120" t="s">
        <v>906</v>
      </c>
      <c r="AE294" s="154">
        <f t="shared" si="368"/>
        <v>6</v>
      </c>
      <c r="AF294" s="481"/>
      <c r="AG294" s="82">
        <f t="shared" si="369"/>
        <v>-1262500.8678463111</v>
      </c>
      <c r="AH294" s="481"/>
      <c r="AI294" s="69">
        <f t="shared" si="357"/>
        <v>-624730.37444125011</v>
      </c>
      <c r="AJ294" s="69"/>
      <c r="AK294" s="69">
        <f t="shared" si="358"/>
        <v>-384810.26451955561</v>
      </c>
      <c r="AL294" s="69"/>
      <c r="AM294" s="69">
        <f t="shared" si="359"/>
        <v>-173256.12509670152</v>
      </c>
      <c r="AN294" s="69"/>
      <c r="AO294" s="69">
        <f t="shared" si="360"/>
        <v>0</v>
      </c>
      <c r="AP294" s="69"/>
      <c r="AQ294" s="69">
        <f t="shared" si="361"/>
        <v>0</v>
      </c>
      <c r="AR294" s="69"/>
      <c r="AS294" s="69">
        <f t="shared" si="362"/>
        <v>0</v>
      </c>
      <c r="AT294" s="69"/>
      <c r="AU294" s="69">
        <f t="shared" si="363"/>
        <v>0</v>
      </c>
      <c r="AV294" s="69"/>
      <c r="AW294" s="69">
        <f t="shared" si="364"/>
        <v>-36848.360329656709</v>
      </c>
      <c r="AX294" s="69"/>
      <c r="AY294" s="69">
        <f t="shared" si="365"/>
        <v>-42855.743459147176</v>
      </c>
      <c r="AZ294" s="481"/>
      <c r="BA294" s="99">
        <f t="shared" si="370"/>
        <v>0</v>
      </c>
      <c r="BB294" s="82"/>
      <c r="BC294" s="82"/>
      <c r="BD294" s="82"/>
    </row>
    <row r="295" spans="1:56" x14ac:dyDescent="0.2">
      <c r="A295" s="222"/>
      <c r="B295" s="223"/>
      <c r="C295" s="116">
        <f>+'Rate base'!H26</f>
        <v>800183.34</v>
      </c>
      <c r="D295" s="412">
        <v>303.39999999999998</v>
      </c>
      <c r="F295" s="120" t="s">
        <v>908</v>
      </c>
      <c r="G295" s="184"/>
      <c r="H295" s="75">
        <v>2</v>
      </c>
      <c r="I295"/>
      <c r="J295" s="231">
        <f t="shared" si="366"/>
        <v>800183.34</v>
      </c>
      <c r="K295" s="177"/>
      <c r="L295" s="115">
        <f t="shared" si="350"/>
        <v>409613.851746</v>
      </c>
      <c r="M295" s="230"/>
      <c r="N295" s="115">
        <f t="shared" si="351"/>
        <v>244936.12037399999</v>
      </c>
      <c r="O295" s="230"/>
      <c r="P295" s="115">
        <f t="shared" si="352"/>
        <v>39289.001993999998</v>
      </c>
      <c r="Q295" s="230"/>
      <c r="R295" s="115">
        <f t="shared" si="353"/>
        <v>77937.85731599998</v>
      </c>
      <c r="S295" s="230"/>
      <c r="T295" s="115">
        <f t="shared" si="354"/>
        <v>25605.866879999998</v>
      </c>
      <c r="U295" s="230"/>
      <c r="V295" s="115">
        <f t="shared" si="355"/>
        <v>1280.2933439999999</v>
      </c>
      <c r="W295" s="230"/>
      <c r="X295" s="115">
        <f t="shared" si="356"/>
        <v>1520.348346</v>
      </c>
      <c r="Y295" s="116"/>
      <c r="Z295" s="99">
        <f t="shared" si="367"/>
        <v>0</v>
      </c>
      <c r="AC295" s="120" t="s">
        <v>908</v>
      </c>
      <c r="AE295" s="154">
        <f t="shared" si="368"/>
        <v>2</v>
      </c>
      <c r="AF295" s="481"/>
      <c r="AG295" s="82">
        <f t="shared" si="369"/>
        <v>800183.34</v>
      </c>
      <c r="AH295" s="481"/>
      <c r="AI295" s="69">
        <f t="shared" si="357"/>
        <v>454424.11878599995</v>
      </c>
      <c r="AJ295" s="69"/>
      <c r="AK295" s="69">
        <f t="shared" si="358"/>
        <v>342958.57952399994</v>
      </c>
      <c r="AL295" s="69"/>
      <c r="AM295" s="69">
        <f t="shared" si="359"/>
        <v>0</v>
      </c>
      <c r="AN295" s="69"/>
      <c r="AO295" s="69">
        <f t="shared" si="360"/>
        <v>0</v>
      </c>
      <c r="AP295" s="69"/>
      <c r="AQ295" s="69">
        <f t="shared" si="361"/>
        <v>0</v>
      </c>
      <c r="AR295" s="69"/>
      <c r="AS295" s="69">
        <f t="shared" si="362"/>
        <v>0</v>
      </c>
      <c r="AT295" s="69"/>
      <c r="AU295" s="69">
        <f t="shared" si="363"/>
        <v>0</v>
      </c>
      <c r="AV295" s="69"/>
      <c r="AW295" s="69">
        <f t="shared" si="364"/>
        <v>1280.2933439999999</v>
      </c>
      <c r="AX295" s="69"/>
      <c r="AY295" s="69">
        <f t="shared" si="365"/>
        <v>1520.348346</v>
      </c>
      <c r="AZ295" s="481"/>
      <c r="BA295" s="99">
        <f t="shared" si="370"/>
        <v>0</v>
      </c>
      <c r="BB295" s="82"/>
      <c r="BC295" s="82"/>
      <c r="BD295" s="82"/>
    </row>
    <row r="296" spans="1:56" x14ac:dyDescent="0.2">
      <c r="A296" s="121"/>
      <c r="B296" s="122"/>
      <c r="C296" s="116">
        <f>+'Rate base'!H27</f>
        <v>36552418.309835196</v>
      </c>
      <c r="D296" s="412">
        <v>304.3</v>
      </c>
      <c r="F296" s="120" t="s">
        <v>614</v>
      </c>
      <c r="G296" s="184"/>
      <c r="H296" s="75">
        <v>2</v>
      </c>
      <c r="I296"/>
      <c r="J296" s="231">
        <f t="shared" si="366"/>
        <v>36552418.309835196</v>
      </c>
      <c r="K296" s="177"/>
      <c r="L296" s="115">
        <f t="shared" si="350"/>
        <v>18711182.932804637</v>
      </c>
      <c r="M296" s="230"/>
      <c r="N296" s="115">
        <f t="shared" si="351"/>
        <v>11188695.244640553</v>
      </c>
      <c r="O296" s="230"/>
      <c r="P296" s="115">
        <f t="shared" si="352"/>
        <v>1794723.739012908</v>
      </c>
      <c r="Q296" s="230"/>
      <c r="R296" s="115">
        <f t="shared" si="353"/>
        <v>3560205.5433779475</v>
      </c>
      <c r="S296" s="230"/>
      <c r="T296" s="115">
        <f t="shared" si="354"/>
        <v>1169677.3859147262</v>
      </c>
      <c r="U296" s="230"/>
      <c r="V296" s="115">
        <f t="shared" si="355"/>
        <v>58483.869295736316</v>
      </c>
      <c r="W296" s="230"/>
      <c r="X296" s="115">
        <f t="shared" si="356"/>
        <v>69449.594788686867</v>
      </c>
      <c r="Y296" s="116"/>
      <c r="Z296" s="99">
        <f t="shared" si="367"/>
        <v>0</v>
      </c>
      <c r="AC296" s="120" t="s">
        <v>614</v>
      </c>
      <c r="AE296" s="154">
        <f t="shared" si="368"/>
        <v>2</v>
      </c>
      <c r="AF296" s="481"/>
      <c r="AG296" s="82">
        <f t="shared" si="369"/>
        <v>36552418.309835196</v>
      </c>
      <c r="AH296" s="481"/>
      <c r="AI296" s="69">
        <f t="shared" si="357"/>
        <v>20758118.358155407</v>
      </c>
      <c r="AJ296" s="69"/>
      <c r="AK296" s="69">
        <f t="shared" si="358"/>
        <v>15666366.487595364</v>
      </c>
      <c r="AL296" s="69"/>
      <c r="AM296" s="69">
        <f t="shared" si="359"/>
        <v>0</v>
      </c>
      <c r="AN296" s="69"/>
      <c r="AO296" s="69">
        <f t="shared" si="360"/>
        <v>0</v>
      </c>
      <c r="AP296" s="69"/>
      <c r="AQ296" s="69">
        <f t="shared" si="361"/>
        <v>0</v>
      </c>
      <c r="AR296" s="69"/>
      <c r="AS296" s="69">
        <f t="shared" si="362"/>
        <v>0</v>
      </c>
      <c r="AT296" s="69"/>
      <c r="AU296" s="69">
        <f t="shared" si="363"/>
        <v>0</v>
      </c>
      <c r="AV296" s="69"/>
      <c r="AW296" s="69">
        <f t="shared" si="364"/>
        <v>58483.869295736316</v>
      </c>
      <c r="AX296" s="69"/>
      <c r="AY296" s="69">
        <f t="shared" si="365"/>
        <v>69449.594788686867</v>
      </c>
      <c r="AZ296" s="481"/>
      <c r="BA296" s="99">
        <f t="shared" si="370"/>
        <v>0</v>
      </c>
      <c r="BB296" s="82"/>
      <c r="BC296" s="82"/>
      <c r="BD296" s="82"/>
    </row>
    <row r="297" spans="1:56" s="480" customFormat="1" x14ac:dyDescent="0.2">
      <c r="A297" s="121"/>
      <c r="B297" s="122"/>
      <c r="C297" s="116">
        <f>+'Rate base'!H24</f>
        <v>242.36999999999992</v>
      </c>
      <c r="D297" s="412">
        <v>311.52999999999997</v>
      </c>
      <c r="E297" s="116"/>
      <c r="F297" s="120" t="s">
        <v>912</v>
      </c>
      <c r="G297" s="184"/>
      <c r="H297" s="75">
        <v>2</v>
      </c>
      <c r="J297" s="231">
        <f t="shared" si="366"/>
        <v>242.36999999999992</v>
      </c>
      <c r="K297" s="177"/>
      <c r="L297" s="115">
        <f t="shared" si="350"/>
        <v>124.06920299999996</v>
      </c>
      <c r="M297" s="230"/>
      <c r="N297" s="115">
        <f t="shared" si="351"/>
        <v>74.189456999999976</v>
      </c>
      <c r="O297" s="230"/>
      <c r="P297" s="115">
        <f t="shared" si="352"/>
        <v>11.900366999999996</v>
      </c>
      <c r="Q297" s="230"/>
      <c r="R297" s="115">
        <f t="shared" si="353"/>
        <v>23.606837999999989</v>
      </c>
      <c r="S297" s="230"/>
      <c r="T297" s="115">
        <f t="shared" si="354"/>
        <v>7.7558399999999974</v>
      </c>
      <c r="U297" s="230"/>
      <c r="V297" s="115">
        <f t="shared" si="355"/>
        <v>0.38779199999999991</v>
      </c>
      <c r="W297" s="230"/>
      <c r="X297" s="115">
        <f t="shared" si="356"/>
        <v>0.46050299999999983</v>
      </c>
      <c r="Y297" s="116"/>
      <c r="Z297" s="99">
        <f t="shared" si="367"/>
        <v>0</v>
      </c>
      <c r="AC297" s="120" t="s">
        <v>912</v>
      </c>
      <c r="AE297" s="154">
        <f t="shared" si="368"/>
        <v>2</v>
      </c>
      <c r="AF297" s="481"/>
      <c r="AG297" s="82">
        <f t="shared" si="369"/>
        <v>242.36999999999992</v>
      </c>
      <c r="AH297" s="481"/>
      <c r="AI297" s="69">
        <f t="shared" si="357"/>
        <v>137.64192299999993</v>
      </c>
      <c r="AJ297" s="69"/>
      <c r="AK297" s="69">
        <f t="shared" si="358"/>
        <v>103.87978199999996</v>
      </c>
      <c r="AL297" s="69"/>
      <c r="AM297" s="69">
        <f t="shared" si="359"/>
        <v>0</v>
      </c>
      <c r="AN297" s="69"/>
      <c r="AO297" s="69">
        <f t="shared" si="360"/>
        <v>0</v>
      </c>
      <c r="AP297" s="69"/>
      <c r="AQ297" s="69">
        <f t="shared" si="361"/>
        <v>0</v>
      </c>
      <c r="AR297" s="69"/>
      <c r="AS297" s="69">
        <f t="shared" si="362"/>
        <v>0</v>
      </c>
      <c r="AT297" s="69"/>
      <c r="AU297" s="69">
        <f t="shared" si="363"/>
        <v>0</v>
      </c>
      <c r="AV297" s="69"/>
      <c r="AW297" s="69">
        <f t="shared" si="364"/>
        <v>0.38779199999999991</v>
      </c>
      <c r="AX297" s="69"/>
      <c r="AY297" s="69">
        <f t="shared" si="365"/>
        <v>0.46050299999999983</v>
      </c>
      <c r="AZ297" s="481"/>
      <c r="BA297" s="99">
        <f t="shared" si="370"/>
        <v>0</v>
      </c>
      <c r="BB297" s="82"/>
      <c r="BC297" s="82"/>
      <c r="BD297" s="82"/>
    </row>
    <row r="298" spans="1:56" x14ac:dyDescent="0.2">
      <c r="A298" s="121"/>
      <c r="B298" s="122"/>
      <c r="C298" s="116">
        <f>+'Rate base'!H28+'Rate base'!H29</f>
        <v>34148869.122792192</v>
      </c>
      <c r="D298" s="412">
        <v>320.10000000000002</v>
      </c>
      <c r="F298" s="120" t="s">
        <v>909</v>
      </c>
      <c r="G298" s="184"/>
      <c r="H298" s="75">
        <v>2</v>
      </c>
      <c r="I298"/>
      <c r="J298" s="231">
        <f t="shared" si="366"/>
        <v>34148869.122792192</v>
      </c>
      <c r="K298" s="177"/>
      <c r="L298" s="115">
        <f t="shared" si="350"/>
        <v>17480806.103957325</v>
      </c>
      <c r="M298" s="230"/>
      <c r="N298" s="115">
        <f t="shared" si="351"/>
        <v>10452968.83848669</v>
      </c>
      <c r="O298" s="230"/>
      <c r="P298" s="115">
        <f t="shared" si="352"/>
        <v>1676709.4739290965</v>
      </c>
      <c r="Q298" s="230"/>
      <c r="R298" s="115">
        <f t="shared" si="353"/>
        <v>3326099.8525599591</v>
      </c>
      <c r="S298" s="230"/>
      <c r="T298" s="115">
        <f t="shared" si="354"/>
        <v>1092763.8119293503</v>
      </c>
      <c r="U298" s="230"/>
      <c r="V298" s="115">
        <f t="shared" si="355"/>
        <v>54638.19059646751</v>
      </c>
      <c r="W298" s="230"/>
      <c r="X298" s="115">
        <f t="shared" si="356"/>
        <v>64882.851333305167</v>
      </c>
      <c r="Y298" s="116"/>
      <c r="Z298" s="99">
        <f t="shared" si="367"/>
        <v>0</v>
      </c>
      <c r="AC298" s="120" t="s">
        <v>909</v>
      </c>
      <c r="AE298" s="154">
        <f t="shared" si="368"/>
        <v>2</v>
      </c>
      <c r="AF298" s="481"/>
      <c r="AG298" s="82">
        <f t="shared" si="369"/>
        <v>34148869.122792192</v>
      </c>
      <c r="AH298" s="481"/>
      <c r="AI298" s="69">
        <f t="shared" si="357"/>
        <v>19393142.774833683</v>
      </c>
      <c r="AJ298" s="69"/>
      <c r="AK298" s="69">
        <f t="shared" si="358"/>
        <v>14636205.306028733</v>
      </c>
      <c r="AL298" s="69"/>
      <c r="AM298" s="69">
        <f t="shared" si="359"/>
        <v>0</v>
      </c>
      <c r="AN298" s="69"/>
      <c r="AO298" s="69">
        <f t="shared" si="360"/>
        <v>0</v>
      </c>
      <c r="AP298" s="69"/>
      <c r="AQ298" s="69">
        <f t="shared" si="361"/>
        <v>0</v>
      </c>
      <c r="AR298" s="69"/>
      <c r="AS298" s="69">
        <f t="shared" si="362"/>
        <v>0</v>
      </c>
      <c r="AT298" s="69"/>
      <c r="AU298" s="69">
        <f t="shared" si="363"/>
        <v>0</v>
      </c>
      <c r="AV298" s="69"/>
      <c r="AW298" s="69">
        <f t="shared" si="364"/>
        <v>54638.19059646751</v>
      </c>
      <c r="AX298" s="69"/>
      <c r="AY298" s="69">
        <f t="shared" si="365"/>
        <v>64882.851333305167</v>
      </c>
      <c r="AZ298" s="481"/>
      <c r="BA298" s="99">
        <f t="shared" si="370"/>
        <v>0</v>
      </c>
      <c r="BB298" s="82"/>
      <c r="BC298" s="82"/>
      <c r="BD298" s="82"/>
    </row>
    <row r="299" spans="1:56" x14ac:dyDescent="0.2">
      <c r="A299" s="121"/>
      <c r="B299" s="122"/>
      <c r="C299" s="116">
        <f>+'Rate base'!H30</f>
        <v>-160976.41345916584</v>
      </c>
      <c r="D299" s="412">
        <v>320.2</v>
      </c>
      <c r="F299" s="120" t="s">
        <v>910</v>
      </c>
      <c r="G299" s="184"/>
      <c r="H299" s="75">
        <v>2</v>
      </c>
      <c r="I299"/>
      <c r="J299" s="231">
        <f t="shared" si="366"/>
        <v>-160976.41345916584</v>
      </c>
      <c r="K299" s="177"/>
      <c r="L299" s="115">
        <f t="shared" si="350"/>
        <v>-82403.826049746989</v>
      </c>
      <c r="M299" s="230"/>
      <c r="N299" s="115">
        <f t="shared" si="351"/>
        <v>-49274.880159850662</v>
      </c>
      <c r="O299" s="230"/>
      <c r="P299" s="115">
        <f t="shared" si="352"/>
        <v>-7903.9419008450423</v>
      </c>
      <c r="Q299" s="230"/>
      <c r="R299" s="115">
        <f t="shared" si="353"/>
        <v>-15679.10267092275</v>
      </c>
      <c r="S299" s="230"/>
      <c r="T299" s="115">
        <f t="shared" si="354"/>
        <v>-5151.2452306933064</v>
      </c>
      <c r="U299" s="230"/>
      <c r="V299" s="115">
        <f t="shared" si="355"/>
        <v>-257.56226153466537</v>
      </c>
      <c r="W299" s="230"/>
      <c r="X299" s="115">
        <f t="shared" si="356"/>
        <v>-305.85518557241511</v>
      </c>
      <c r="Y299" s="116"/>
      <c r="Z299" s="99">
        <f t="shared" si="367"/>
        <v>0</v>
      </c>
      <c r="AC299" s="120" t="s">
        <v>910</v>
      </c>
      <c r="AE299" s="154">
        <f t="shared" si="368"/>
        <v>2</v>
      </c>
      <c r="AF299" s="481"/>
      <c r="AG299" s="82">
        <f t="shared" si="369"/>
        <v>-160976.41345916584</v>
      </c>
      <c r="AH299" s="481"/>
      <c r="AI299" s="69">
        <f t="shared" si="357"/>
        <v>-91418.50520346027</v>
      </c>
      <c r="AJ299" s="69"/>
      <c r="AK299" s="69">
        <f t="shared" si="358"/>
        <v>-68994.490808598479</v>
      </c>
      <c r="AL299" s="69"/>
      <c r="AM299" s="69">
        <f t="shared" si="359"/>
        <v>0</v>
      </c>
      <c r="AN299" s="69"/>
      <c r="AO299" s="69">
        <f t="shared" si="360"/>
        <v>0</v>
      </c>
      <c r="AP299" s="69"/>
      <c r="AQ299" s="69">
        <f t="shared" si="361"/>
        <v>0</v>
      </c>
      <c r="AR299" s="69"/>
      <c r="AS299" s="69">
        <f t="shared" si="362"/>
        <v>0</v>
      </c>
      <c r="AT299" s="69"/>
      <c r="AU299" s="69">
        <f t="shared" si="363"/>
        <v>0</v>
      </c>
      <c r="AV299" s="69"/>
      <c r="AW299" s="69">
        <f t="shared" si="364"/>
        <v>-257.56226153466537</v>
      </c>
      <c r="AX299" s="69"/>
      <c r="AY299" s="69">
        <f t="shared" si="365"/>
        <v>-305.85518557241511</v>
      </c>
      <c r="AZ299" s="481"/>
      <c r="BA299" s="99">
        <f t="shared" si="370"/>
        <v>0</v>
      </c>
      <c r="BB299" s="82"/>
      <c r="BC299" s="82"/>
      <c r="BD299" s="82"/>
    </row>
    <row r="300" spans="1:56" x14ac:dyDescent="0.2">
      <c r="A300" s="121"/>
      <c r="B300" s="122"/>
      <c r="C300" s="116">
        <f>+'Rate base'!H31</f>
        <v>7474952.3199999975</v>
      </c>
      <c r="D300" s="412">
        <v>303.5</v>
      </c>
      <c r="F300" s="120" t="s">
        <v>911</v>
      </c>
      <c r="G300" s="184"/>
      <c r="H300" s="75">
        <v>7</v>
      </c>
      <c r="I300"/>
      <c r="J300" s="231">
        <f t="shared" si="366"/>
        <v>7474952.3199999975</v>
      </c>
      <c r="K300" s="177"/>
      <c r="L300" s="115">
        <f t="shared" si="350"/>
        <v>3508742.6190079986</v>
      </c>
      <c r="M300" s="230"/>
      <c r="N300" s="115">
        <f t="shared" si="351"/>
        <v>2119148.9827199993</v>
      </c>
      <c r="O300" s="230"/>
      <c r="P300" s="115">
        <f t="shared" si="352"/>
        <v>301988.07372799993</v>
      </c>
      <c r="Q300" s="230"/>
      <c r="R300" s="115">
        <f t="shared" si="353"/>
        <v>578561.30956799979</v>
      </c>
      <c r="S300" s="230"/>
      <c r="T300" s="115">
        <f t="shared" si="354"/>
        <v>44102.218687999986</v>
      </c>
      <c r="U300" s="230"/>
      <c r="V300" s="115">
        <f t="shared" si="355"/>
        <v>426072.28223999985</v>
      </c>
      <c r="W300" s="230"/>
      <c r="X300" s="115">
        <f t="shared" si="356"/>
        <v>496336.83404799982</v>
      </c>
      <c r="Y300" s="116"/>
      <c r="Z300" s="99">
        <f t="shared" si="367"/>
        <v>0</v>
      </c>
      <c r="AC300" s="120" t="s">
        <v>911</v>
      </c>
      <c r="AE300" s="154">
        <f t="shared" si="368"/>
        <v>7</v>
      </c>
      <c r="AF300" s="481"/>
      <c r="AG300" s="82">
        <f t="shared" si="369"/>
        <v>7474952.3199999975</v>
      </c>
      <c r="AH300" s="481"/>
      <c r="AI300" s="69">
        <f t="shared" si="357"/>
        <v>2849451.8243839988</v>
      </c>
      <c r="AJ300" s="69"/>
      <c r="AK300" s="69">
        <f t="shared" si="358"/>
        <v>595006.20467199979</v>
      </c>
      <c r="AL300" s="69"/>
      <c r="AM300" s="69">
        <f t="shared" si="359"/>
        <v>3108085.1746559991</v>
      </c>
      <c r="AN300" s="69"/>
      <c r="AO300" s="69">
        <f t="shared" si="360"/>
        <v>0</v>
      </c>
      <c r="AP300" s="69"/>
      <c r="AQ300" s="69">
        <f t="shared" si="361"/>
        <v>0</v>
      </c>
      <c r="AR300" s="69"/>
      <c r="AS300" s="69">
        <f t="shared" si="362"/>
        <v>0</v>
      </c>
      <c r="AT300" s="69"/>
      <c r="AU300" s="69">
        <f t="shared" si="363"/>
        <v>0</v>
      </c>
      <c r="AV300" s="69"/>
      <c r="AW300" s="69">
        <f t="shared" si="364"/>
        <v>426072.28223999985</v>
      </c>
      <c r="AX300" s="69"/>
      <c r="AY300" s="69">
        <f t="shared" si="365"/>
        <v>496336.83404799982</v>
      </c>
      <c r="AZ300" s="481"/>
      <c r="BA300" s="99">
        <f t="shared" si="370"/>
        <v>0</v>
      </c>
      <c r="BB300" s="82"/>
      <c r="BC300" s="82"/>
      <c r="BD300" s="82"/>
    </row>
    <row r="301" spans="1:56" x14ac:dyDescent="0.2">
      <c r="A301" s="121"/>
      <c r="B301" s="122"/>
      <c r="C301" s="116">
        <f>+'Rate base'!H32</f>
        <v>281215.42243623664</v>
      </c>
      <c r="D301" s="412">
        <v>304.39999999999998</v>
      </c>
      <c r="F301" s="120" t="s">
        <v>617</v>
      </c>
      <c r="G301" s="184"/>
      <c r="H301" s="75">
        <v>7</v>
      </c>
      <c r="I301"/>
      <c r="J301" s="231">
        <f t="shared" si="366"/>
        <v>281215.42243623664</v>
      </c>
      <c r="K301" s="177"/>
      <c r="L301" s="115">
        <f t="shared" si="350"/>
        <v>132002.51929156948</v>
      </c>
      <c r="M301" s="230"/>
      <c r="N301" s="115">
        <f t="shared" si="351"/>
        <v>79724.572260673085</v>
      </c>
      <c r="O301" s="230"/>
      <c r="P301" s="115">
        <f t="shared" si="352"/>
        <v>11361.103066423962</v>
      </c>
      <c r="Q301" s="230"/>
      <c r="R301" s="115">
        <f t="shared" si="353"/>
        <v>21766.073696564716</v>
      </c>
      <c r="S301" s="230"/>
      <c r="T301" s="115">
        <f t="shared" si="354"/>
        <v>1659.170992373796</v>
      </c>
      <c r="U301" s="230"/>
      <c r="V301" s="115">
        <f t="shared" si="355"/>
        <v>16029.279078865489</v>
      </c>
      <c r="W301" s="230"/>
      <c r="X301" s="115">
        <f t="shared" si="356"/>
        <v>18672.704049766115</v>
      </c>
      <c r="Y301" s="116"/>
      <c r="Z301" s="99">
        <f t="shared" si="367"/>
        <v>0</v>
      </c>
      <c r="AC301" s="120" t="s">
        <v>617</v>
      </c>
      <c r="AE301" s="154">
        <f t="shared" si="368"/>
        <v>7</v>
      </c>
      <c r="AF301" s="481"/>
      <c r="AG301" s="82">
        <f t="shared" si="369"/>
        <v>281215.42243623664</v>
      </c>
      <c r="AH301" s="481"/>
      <c r="AI301" s="69">
        <f t="shared" si="357"/>
        <v>107199.3190326934</v>
      </c>
      <c r="AJ301" s="69"/>
      <c r="AK301" s="69">
        <f t="shared" si="358"/>
        <v>22384.747625924436</v>
      </c>
      <c r="AL301" s="69"/>
      <c r="AM301" s="69">
        <f t="shared" si="359"/>
        <v>116929.37264898719</v>
      </c>
      <c r="AN301" s="69"/>
      <c r="AO301" s="69">
        <f t="shared" si="360"/>
        <v>0</v>
      </c>
      <c r="AP301" s="69"/>
      <c r="AQ301" s="69">
        <f t="shared" si="361"/>
        <v>0</v>
      </c>
      <c r="AR301" s="69"/>
      <c r="AS301" s="69">
        <f t="shared" si="362"/>
        <v>0</v>
      </c>
      <c r="AT301" s="69"/>
      <c r="AU301" s="69">
        <f t="shared" si="363"/>
        <v>0</v>
      </c>
      <c r="AV301" s="69"/>
      <c r="AW301" s="69">
        <f t="shared" si="364"/>
        <v>16029.279078865489</v>
      </c>
      <c r="AX301" s="69"/>
      <c r="AY301" s="69">
        <f t="shared" si="365"/>
        <v>18672.704049766115</v>
      </c>
      <c r="AZ301" s="481"/>
      <c r="BA301" s="99">
        <f t="shared" si="370"/>
        <v>0</v>
      </c>
      <c r="BB301" s="82"/>
      <c r="BC301" s="82"/>
      <c r="BD301" s="82"/>
    </row>
    <row r="302" spans="1:56" s="480" customFormat="1" x14ac:dyDescent="0.2">
      <c r="A302" s="121"/>
      <c r="B302" s="122"/>
      <c r="C302" s="116">
        <f>+'Rate base'!H25</f>
        <v>159319.85761804163</v>
      </c>
      <c r="D302" s="412">
        <v>311.54000000000002</v>
      </c>
      <c r="E302" s="116"/>
      <c r="F302" s="120" t="s">
        <v>922</v>
      </c>
      <c r="G302" s="184"/>
      <c r="H302" s="75">
        <v>7</v>
      </c>
      <c r="J302" s="231">
        <f t="shared" si="366"/>
        <v>159319.85761804163</v>
      </c>
      <c r="K302" s="177"/>
      <c r="L302" s="115">
        <f t="shared" si="350"/>
        <v>74784.741165908737</v>
      </c>
      <c r="M302" s="230"/>
      <c r="N302" s="115">
        <f t="shared" si="351"/>
        <v>45167.179634714797</v>
      </c>
      <c r="O302" s="230"/>
      <c r="P302" s="115">
        <f t="shared" si="352"/>
        <v>6436.5222477688822</v>
      </c>
      <c r="Q302" s="230"/>
      <c r="R302" s="115">
        <f t="shared" si="353"/>
        <v>12331.356979636421</v>
      </c>
      <c r="S302" s="230"/>
      <c r="T302" s="115">
        <f t="shared" si="354"/>
        <v>939.98715994644556</v>
      </c>
      <c r="U302" s="230"/>
      <c r="V302" s="115">
        <f t="shared" si="355"/>
        <v>9081.231884228373</v>
      </c>
      <c r="W302" s="230"/>
      <c r="X302" s="115">
        <f t="shared" si="356"/>
        <v>10578.838545837963</v>
      </c>
      <c r="Y302" s="116"/>
      <c r="Z302" s="99">
        <f t="shared" si="367"/>
        <v>0</v>
      </c>
      <c r="AC302" s="120" t="s">
        <v>922</v>
      </c>
      <c r="AE302" s="154">
        <f t="shared" si="368"/>
        <v>7</v>
      </c>
      <c r="AF302" s="481"/>
      <c r="AG302" s="82">
        <f t="shared" si="369"/>
        <v>159319.85761804163</v>
      </c>
      <c r="AH302" s="481"/>
      <c r="AI302" s="69">
        <f t="shared" si="357"/>
        <v>60732.729723997465</v>
      </c>
      <c r="AJ302" s="69"/>
      <c r="AK302" s="69">
        <f t="shared" si="358"/>
        <v>12681.860666396115</v>
      </c>
      <c r="AL302" s="69"/>
      <c r="AM302" s="69">
        <f t="shared" si="359"/>
        <v>66245.19679758171</v>
      </c>
      <c r="AN302" s="69"/>
      <c r="AO302" s="69">
        <f t="shared" si="360"/>
        <v>0</v>
      </c>
      <c r="AP302" s="69"/>
      <c r="AQ302" s="69">
        <f t="shared" si="361"/>
        <v>0</v>
      </c>
      <c r="AR302" s="69"/>
      <c r="AS302" s="69">
        <f t="shared" si="362"/>
        <v>0</v>
      </c>
      <c r="AT302" s="69"/>
      <c r="AU302" s="69">
        <f t="shared" si="363"/>
        <v>0</v>
      </c>
      <c r="AV302" s="69"/>
      <c r="AW302" s="69">
        <f t="shared" si="364"/>
        <v>9081.231884228373</v>
      </c>
      <c r="AX302" s="69"/>
      <c r="AY302" s="69">
        <f t="shared" si="365"/>
        <v>10578.838545837963</v>
      </c>
      <c r="AZ302" s="481"/>
      <c r="BA302" s="99">
        <f t="shared" si="370"/>
        <v>0</v>
      </c>
      <c r="BB302" s="82"/>
      <c r="BC302" s="82"/>
      <c r="BD302" s="82"/>
    </row>
    <row r="303" spans="1:56" x14ac:dyDescent="0.2">
      <c r="A303" s="121"/>
      <c r="B303" s="122"/>
      <c r="C303" s="116">
        <f>+SUM('Rate base'!H33:H36)</f>
        <v>15038005.348889071</v>
      </c>
      <c r="D303" s="412">
        <v>330</v>
      </c>
      <c r="F303" s="120" t="s">
        <v>618</v>
      </c>
      <c r="G303" s="184"/>
      <c r="H303" s="75">
        <v>5</v>
      </c>
      <c r="I303"/>
      <c r="J303" s="231">
        <f t="shared" si="366"/>
        <v>15038005.348889071</v>
      </c>
      <c r="K303" s="177"/>
      <c r="L303" s="115">
        <f t="shared" si="350"/>
        <v>6234757.0176494084</v>
      </c>
      <c r="M303" s="230"/>
      <c r="N303" s="115">
        <f t="shared" si="351"/>
        <v>3776043.1431060457</v>
      </c>
      <c r="O303" s="230"/>
      <c r="P303" s="115">
        <f t="shared" si="352"/>
        <v>521818.78560645081</v>
      </c>
      <c r="Q303" s="230"/>
      <c r="R303" s="115">
        <f t="shared" si="353"/>
        <v>984989.35035223421</v>
      </c>
      <c r="S303" s="230"/>
      <c r="T303" s="115">
        <f t="shared" si="354"/>
        <v>302263.90751267032</v>
      </c>
      <c r="U303" s="230"/>
      <c r="V303" s="115">
        <f t="shared" si="355"/>
        <v>1487258.7290051293</v>
      </c>
      <c r="W303" s="230"/>
      <c r="X303" s="115">
        <f t="shared" si="356"/>
        <v>1730874.4156571319</v>
      </c>
      <c r="Y303" s="116"/>
      <c r="Z303" s="99">
        <f t="shared" si="367"/>
        <v>0</v>
      </c>
      <c r="AC303" s="120" t="s">
        <v>618</v>
      </c>
      <c r="AE303" s="154">
        <f t="shared" si="368"/>
        <v>5</v>
      </c>
      <c r="AF303" s="481"/>
      <c r="AG303" s="82">
        <f t="shared" si="369"/>
        <v>15038005.348889071</v>
      </c>
      <c r="AH303" s="481"/>
      <c r="AI303" s="69">
        <f t="shared" si="357"/>
        <v>4711407.0758069456</v>
      </c>
      <c r="AJ303" s="69"/>
      <c r="AK303" s="69">
        <f t="shared" si="358"/>
        <v>0</v>
      </c>
      <c r="AL303" s="69"/>
      <c r="AM303" s="69">
        <f t="shared" si="359"/>
        <v>7108465.128419864</v>
      </c>
      <c r="AN303" s="69"/>
      <c r="AO303" s="69">
        <f t="shared" si="360"/>
        <v>0</v>
      </c>
      <c r="AP303" s="69"/>
      <c r="AQ303" s="69">
        <f t="shared" si="361"/>
        <v>0</v>
      </c>
      <c r="AR303" s="69"/>
      <c r="AS303" s="69">
        <f t="shared" si="362"/>
        <v>0</v>
      </c>
      <c r="AT303" s="69"/>
      <c r="AU303" s="69">
        <f t="shared" si="363"/>
        <v>0</v>
      </c>
      <c r="AV303" s="69"/>
      <c r="AW303" s="69">
        <f t="shared" si="364"/>
        <v>1487258.7290051293</v>
      </c>
      <c r="AX303" s="69"/>
      <c r="AY303" s="69">
        <f t="shared" si="365"/>
        <v>1730874.4156571319</v>
      </c>
      <c r="AZ303" s="481"/>
      <c r="BA303" s="99">
        <f t="shared" si="370"/>
        <v>0</v>
      </c>
      <c r="BB303" s="82"/>
      <c r="BC303" s="82"/>
      <c r="BD303" s="82"/>
    </row>
    <row r="304" spans="1:56" x14ac:dyDescent="0.2">
      <c r="A304" s="121"/>
      <c r="B304" s="122"/>
      <c r="D304" s="412">
        <v>331</v>
      </c>
      <c r="F304" s="120" t="s">
        <v>619</v>
      </c>
      <c r="G304" s="184"/>
      <c r="H304" s="75"/>
      <c r="I304"/>
      <c r="J304" s="231"/>
      <c r="K304" s="177"/>
      <c r="L304" s="115"/>
      <c r="M304" s="230"/>
      <c r="N304" s="115"/>
      <c r="O304" s="230"/>
      <c r="P304" s="115"/>
      <c r="Q304" s="230"/>
      <c r="R304" s="115"/>
      <c r="S304" s="230"/>
      <c r="T304" s="115"/>
      <c r="U304" s="230"/>
      <c r="V304" s="115"/>
      <c r="W304" s="230"/>
      <c r="X304" s="115"/>
      <c r="Y304" s="116"/>
      <c r="Z304" s="99">
        <f t="shared" si="367"/>
        <v>0</v>
      </c>
      <c r="AC304" s="120" t="s">
        <v>619</v>
      </c>
      <c r="AE304" s="154"/>
      <c r="AF304" s="481"/>
      <c r="AG304" s="82"/>
      <c r="AH304" s="481"/>
      <c r="AI304" s="69"/>
      <c r="AJ304" s="69"/>
      <c r="AK304" s="69"/>
      <c r="AL304" s="69"/>
      <c r="AM304" s="69"/>
      <c r="AN304" s="69"/>
      <c r="AO304" s="69"/>
      <c r="AP304" s="69"/>
      <c r="AQ304" s="69"/>
      <c r="AR304" s="69"/>
      <c r="AS304" s="69"/>
      <c r="AT304" s="69"/>
      <c r="AU304" s="69"/>
      <c r="AV304" s="69"/>
      <c r="AW304" s="69"/>
      <c r="AX304" s="69"/>
      <c r="AY304" s="69"/>
      <c r="AZ304" s="481"/>
      <c r="BA304" s="99"/>
      <c r="BB304" s="82"/>
      <c r="BC304" s="82"/>
      <c r="BD304" s="82"/>
    </row>
    <row r="305" spans="1:56" s="59" customFormat="1" x14ac:dyDescent="0.2">
      <c r="A305" s="321"/>
      <c r="B305" s="122"/>
      <c r="C305" s="116">
        <f>+'Rate base'!J37</f>
        <v>4227993.4213837516</v>
      </c>
      <c r="D305" s="412"/>
      <c r="E305" s="116"/>
      <c r="F305" s="59" t="s">
        <v>913</v>
      </c>
      <c r="G305" s="74"/>
      <c r="H305" s="74">
        <v>4</v>
      </c>
      <c r="J305" s="232">
        <f>+C305</f>
        <v>4227993.4213837516</v>
      </c>
      <c r="K305" s="177"/>
      <c r="L305" s="115">
        <f t="shared" ref="L305:L326" si="371">(VLOOKUP($H305,Factors,L$381))*$J305</f>
        <v>1983774.5133132562</v>
      </c>
      <c r="M305" s="230"/>
      <c r="N305" s="115">
        <f t="shared" ref="N305:N326" si="372">(VLOOKUP($H305,Factors,N$381))*$J305</f>
        <v>1201172.9310151238</v>
      </c>
      <c r="O305" s="230"/>
      <c r="P305" s="115">
        <f t="shared" ref="P305:P326" si="373">(VLOOKUP($H305,Factors,P$381))*$J305</f>
        <v>166160.14146038145</v>
      </c>
      <c r="Q305" s="230"/>
      <c r="R305" s="115">
        <f t="shared" ref="R305:R326" si="374">(VLOOKUP($H305,Factors,R$381))*$J305</f>
        <v>314139.91120881279</v>
      </c>
      <c r="S305" s="230"/>
      <c r="T305" s="115">
        <f t="shared" ref="T305:T326" si="375">(VLOOKUP($H305,Factors,T$381))*$J305</f>
        <v>0</v>
      </c>
      <c r="U305" s="230"/>
      <c r="V305" s="115">
        <f t="shared" ref="V305:V326" si="376">(VLOOKUP($H305,Factors,V$381))*$J305</f>
        <v>260021.59541510072</v>
      </c>
      <c r="W305" s="230"/>
      <c r="X305" s="115">
        <f t="shared" ref="X305:X326" si="377">(VLOOKUP($H305,Factors,X$381))*$J305</f>
        <v>302724.32897107664</v>
      </c>
      <c r="Y305" s="116"/>
      <c r="Z305" s="99">
        <f t="shared" si="367"/>
        <v>0</v>
      </c>
      <c r="AC305" s="59" t="s">
        <v>913</v>
      </c>
      <c r="AE305" s="154">
        <f t="shared" si="368"/>
        <v>4</v>
      </c>
      <c r="AF305" s="481"/>
      <c r="AG305" s="82">
        <f t="shared" si="369"/>
        <v>4227993.4213837516</v>
      </c>
      <c r="AH305" s="481"/>
      <c r="AI305" s="69">
        <f t="shared" ref="AI305:AI326" si="378">(VLOOKUP($AE305,func,AI$381))*$AG305</f>
        <v>1460771.7270880863</v>
      </c>
      <c r="AJ305" s="69"/>
      <c r="AK305" s="69">
        <f t="shared" ref="AK305:AK326" si="379">(VLOOKUP($AE305,func,AK$381))*$AG305</f>
        <v>0</v>
      </c>
      <c r="AL305" s="69"/>
      <c r="AM305" s="69">
        <f t="shared" ref="AM305:AM326" si="380">(VLOOKUP($AE305,func,AM$381))*$AG305</f>
        <v>2204475.769909488</v>
      </c>
      <c r="AN305" s="69"/>
      <c r="AO305" s="69">
        <f t="shared" ref="AO305:AO326" si="381">(VLOOKUP($AE305,func,AO$381))*$AG305</f>
        <v>0</v>
      </c>
      <c r="AP305" s="69"/>
      <c r="AQ305" s="69">
        <f t="shared" ref="AQ305:AQ326" si="382">(VLOOKUP($AE305,func,AQ$381))*$AG305</f>
        <v>0</v>
      </c>
      <c r="AR305" s="69"/>
      <c r="AS305" s="69">
        <f t="shared" ref="AS305:AS326" si="383">(VLOOKUP($AE305,func,AS$381))*$AG305</f>
        <v>0</v>
      </c>
      <c r="AT305" s="69"/>
      <c r="AU305" s="69">
        <f t="shared" ref="AU305:AU326" si="384">(VLOOKUP($AE305,func,AU$381))*$AG305</f>
        <v>0</v>
      </c>
      <c r="AV305" s="69"/>
      <c r="AW305" s="69">
        <f t="shared" ref="AW305:AW326" si="385">(VLOOKUP($AE305,func,AW$381))*$AG305</f>
        <v>260021.59541510072</v>
      </c>
      <c r="AX305" s="69"/>
      <c r="AY305" s="69">
        <f t="shared" ref="AY305:AY326" si="386">(VLOOKUP($AE305,func,AY$381))*$AG305</f>
        <v>302724.32897107664</v>
      </c>
      <c r="AZ305" s="481"/>
      <c r="BA305" s="99">
        <f t="shared" si="370"/>
        <v>0</v>
      </c>
      <c r="BB305" s="82"/>
      <c r="BC305" s="82"/>
      <c r="BD305" s="82"/>
    </row>
    <row r="306" spans="1:56" s="59" customFormat="1" x14ac:dyDescent="0.2">
      <c r="A306" s="121"/>
      <c r="B306" s="122"/>
      <c r="C306" s="116">
        <f>+'Rate base'!J38</f>
        <v>7416604.0403563138</v>
      </c>
      <c r="D306" s="412"/>
      <c r="E306" s="116"/>
      <c r="F306" s="62" t="s">
        <v>916</v>
      </c>
      <c r="G306" s="74"/>
      <c r="H306" s="74">
        <v>4</v>
      </c>
      <c r="J306" s="232">
        <f t="shared" ref="J306:J326" si="387">+C306</f>
        <v>7416604.0403563138</v>
      </c>
      <c r="K306" s="177"/>
      <c r="L306" s="115">
        <f t="shared" si="371"/>
        <v>3479870.6157351825</v>
      </c>
      <c r="M306" s="230"/>
      <c r="N306" s="115">
        <f t="shared" si="372"/>
        <v>2107057.2078652289</v>
      </c>
      <c r="O306" s="230"/>
      <c r="P306" s="115">
        <f t="shared" si="373"/>
        <v>291472.53878600313</v>
      </c>
      <c r="Q306" s="230"/>
      <c r="R306" s="115">
        <f t="shared" si="374"/>
        <v>551053.68019847421</v>
      </c>
      <c r="S306" s="230"/>
      <c r="T306" s="115">
        <f t="shared" si="375"/>
        <v>0</v>
      </c>
      <c r="U306" s="230"/>
      <c r="V306" s="115">
        <f t="shared" si="376"/>
        <v>456121.14848191332</v>
      </c>
      <c r="W306" s="230"/>
      <c r="X306" s="115">
        <f t="shared" si="377"/>
        <v>531028.84928951215</v>
      </c>
      <c r="Y306" s="116"/>
      <c r="Z306" s="99">
        <f t="shared" si="367"/>
        <v>0</v>
      </c>
      <c r="AC306" s="62" t="s">
        <v>916</v>
      </c>
      <c r="AE306" s="154">
        <f t="shared" si="368"/>
        <v>4</v>
      </c>
      <c r="AF306" s="481"/>
      <c r="AG306" s="82">
        <f t="shared" si="369"/>
        <v>7416604.0403563138</v>
      </c>
      <c r="AH306" s="481"/>
      <c r="AI306" s="69">
        <f t="shared" si="378"/>
        <v>2562436.6959431064</v>
      </c>
      <c r="AJ306" s="69"/>
      <c r="AK306" s="69">
        <f t="shared" si="379"/>
        <v>0</v>
      </c>
      <c r="AL306" s="69"/>
      <c r="AM306" s="69">
        <f t="shared" si="380"/>
        <v>3867017.3466417817</v>
      </c>
      <c r="AN306" s="69"/>
      <c r="AO306" s="69">
        <f t="shared" si="381"/>
        <v>0</v>
      </c>
      <c r="AP306" s="69"/>
      <c r="AQ306" s="69">
        <f t="shared" si="382"/>
        <v>0</v>
      </c>
      <c r="AR306" s="69"/>
      <c r="AS306" s="69">
        <f t="shared" si="383"/>
        <v>0</v>
      </c>
      <c r="AT306" s="69"/>
      <c r="AU306" s="69">
        <f t="shared" si="384"/>
        <v>0</v>
      </c>
      <c r="AV306" s="69"/>
      <c r="AW306" s="69">
        <f t="shared" si="385"/>
        <v>456121.14848191332</v>
      </c>
      <c r="AX306" s="69"/>
      <c r="AY306" s="69">
        <f t="shared" si="386"/>
        <v>531028.84928951215</v>
      </c>
      <c r="AZ306" s="481"/>
      <c r="BA306" s="99">
        <f t="shared" si="370"/>
        <v>0</v>
      </c>
      <c r="BB306" s="82"/>
      <c r="BC306" s="82"/>
      <c r="BD306" s="82"/>
    </row>
    <row r="307" spans="1:56" s="59" customFormat="1" x14ac:dyDescent="0.2">
      <c r="A307" s="121"/>
      <c r="B307" s="122"/>
      <c r="C307" s="116">
        <f>+'Rate base'!J39</f>
        <v>57482928.256195366</v>
      </c>
      <c r="D307" s="412"/>
      <c r="E307" s="116"/>
      <c r="F307" s="62" t="s">
        <v>914</v>
      </c>
      <c r="G307" s="74"/>
      <c r="H307" s="74">
        <v>4</v>
      </c>
      <c r="J307" s="232">
        <f t="shared" si="387"/>
        <v>57482928.256195366</v>
      </c>
      <c r="K307" s="177"/>
      <c r="L307" s="115">
        <f t="shared" si="371"/>
        <v>26970989.937806867</v>
      </c>
      <c r="M307" s="230"/>
      <c r="N307" s="115">
        <f t="shared" si="372"/>
        <v>16330899.917585105</v>
      </c>
      <c r="O307" s="230"/>
      <c r="P307" s="115">
        <f t="shared" si="373"/>
        <v>2259079.0804684781</v>
      </c>
      <c r="Q307" s="230"/>
      <c r="R307" s="115">
        <f t="shared" si="374"/>
        <v>4270981.5694353161</v>
      </c>
      <c r="S307" s="230"/>
      <c r="T307" s="115">
        <f t="shared" si="375"/>
        <v>0</v>
      </c>
      <c r="U307" s="230"/>
      <c r="V307" s="115">
        <f t="shared" si="376"/>
        <v>3535200.0877560149</v>
      </c>
      <c r="W307" s="230"/>
      <c r="X307" s="115">
        <f t="shared" si="377"/>
        <v>4115777.6631435887</v>
      </c>
      <c r="Y307" s="116"/>
      <c r="Z307" s="99">
        <f t="shared" si="367"/>
        <v>0</v>
      </c>
      <c r="AC307" s="62" t="s">
        <v>914</v>
      </c>
      <c r="AE307" s="154">
        <f t="shared" si="368"/>
        <v>4</v>
      </c>
      <c r="AF307" s="481"/>
      <c r="AG307" s="82">
        <f t="shared" si="369"/>
        <v>57482928.256195366</v>
      </c>
      <c r="AH307" s="481"/>
      <c r="AI307" s="69">
        <f t="shared" si="378"/>
        <v>19860351.712515499</v>
      </c>
      <c r="AJ307" s="69"/>
      <c r="AK307" s="69">
        <f t="shared" si="379"/>
        <v>0</v>
      </c>
      <c r="AL307" s="69"/>
      <c r="AM307" s="69">
        <f t="shared" si="380"/>
        <v>29971598.792780261</v>
      </c>
      <c r="AN307" s="69"/>
      <c r="AO307" s="69">
        <f t="shared" si="381"/>
        <v>0</v>
      </c>
      <c r="AP307" s="69"/>
      <c r="AQ307" s="69">
        <f t="shared" si="382"/>
        <v>0</v>
      </c>
      <c r="AR307" s="69"/>
      <c r="AS307" s="69">
        <f t="shared" si="383"/>
        <v>0</v>
      </c>
      <c r="AT307" s="69"/>
      <c r="AU307" s="69">
        <f t="shared" si="384"/>
        <v>0</v>
      </c>
      <c r="AV307" s="69"/>
      <c r="AW307" s="69">
        <f t="shared" si="385"/>
        <v>3535200.0877560149</v>
      </c>
      <c r="AX307" s="69"/>
      <c r="AY307" s="69">
        <f t="shared" si="386"/>
        <v>4115777.6631435887</v>
      </c>
      <c r="AZ307" s="481"/>
      <c r="BA307" s="99">
        <f t="shared" si="370"/>
        <v>0</v>
      </c>
      <c r="BB307" s="82"/>
      <c r="BC307" s="82"/>
      <c r="BD307" s="82"/>
    </row>
    <row r="308" spans="1:56" s="59" customFormat="1" x14ac:dyDescent="0.2">
      <c r="A308" s="121"/>
      <c r="B308" s="122"/>
      <c r="C308" s="116">
        <f>+'Rate base'!J40</f>
        <v>53184342.26455041</v>
      </c>
      <c r="D308" s="412"/>
      <c r="E308" s="116"/>
      <c r="F308" s="62" t="s">
        <v>915</v>
      </c>
      <c r="G308" s="74"/>
      <c r="H308" s="74">
        <v>3</v>
      </c>
      <c r="J308" s="232">
        <f t="shared" si="387"/>
        <v>53184342.26455041</v>
      </c>
      <c r="K308" s="177"/>
      <c r="L308" s="115">
        <f t="shared" si="371"/>
        <v>24991322.430112235</v>
      </c>
      <c r="M308" s="230"/>
      <c r="N308" s="115">
        <f t="shared" si="372"/>
        <v>14939481.74211221</v>
      </c>
      <c r="O308" s="230"/>
      <c r="P308" s="115">
        <f t="shared" si="373"/>
        <v>2398613.8361312235</v>
      </c>
      <c r="Q308" s="230"/>
      <c r="R308" s="115">
        <f t="shared" si="374"/>
        <v>4749361.7642243514</v>
      </c>
      <c r="S308" s="230"/>
      <c r="T308" s="115">
        <f t="shared" si="375"/>
        <v>1558301.2283513269</v>
      </c>
      <c r="U308" s="230"/>
      <c r="V308" s="115">
        <f t="shared" si="376"/>
        <v>2100781.5194497411</v>
      </c>
      <c r="W308" s="230"/>
      <c r="X308" s="115">
        <f t="shared" si="377"/>
        <v>2446479.744169319</v>
      </c>
      <c r="Y308" s="116"/>
      <c r="Z308" s="99">
        <f t="shared" si="367"/>
        <v>0</v>
      </c>
      <c r="AC308" s="62" t="s">
        <v>915</v>
      </c>
      <c r="AE308" s="154">
        <f t="shared" si="368"/>
        <v>3</v>
      </c>
      <c r="AF308" s="481"/>
      <c r="AG308" s="82">
        <f t="shared" si="369"/>
        <v>53184342.26455041</v>
      </c>
      <c r="AH308" s="481"/>
      <c r="AI308" s="69">
        <f t="shared" si="378"/>
        <v>27889869.083530232</v>
      </c>
      <c r="AJ308" s="69"/>
      <c r="AK308" s="69">
        <f t="shared" si="379"/>
        <v>20917401.812647674</v>
      </c>
      <c r="AL308" s="69"/>
      <c r="AM308" s="69">
        <f t="shared" si="380"/>
        <v>0</v>
      </c>
      <c r="AN308" s="69"/>
      <c r="AO308" s="69">
        <f t="shared" si="381"/>
        <v>0</v>
      </c>
      <c r="AP308" s="69"/>
      <c r="AQ308" s="69">
        <f t="shared" si="382"/>
        <v>0</v>
      </c>
      <c r="AR308" s="69"/>
      <c r="AS308" s="69">
        <f t="shared" si="383"/>
        <v>0</v>
      </c>
      <c r="AT308" s="69"/>
      <c r="AU308" s="69">
        <f t="shared" si="384"/>
        <v>0</v>
      </c>
      <c r="AV308" s="69"/>
      <c r="AW308" s="69">
        <f t="shared" si="385"/>
        <v>2021005.0060529155</v>
      </c>
      <c r="AX308" s="69"/>
      <c r="AY308" s="69">
        <f t="shared" si="386"/>
        <v>2356066.3623195831</v>
      </c>
      <c r="AZ308" s="481"/>
      <c r="BA308" s="99">
        <f t="shared" si="370"/>
        <v>0</v>
      </c>
      <c r="BB308" s="82"/>
      <c r="BC308" s="82"/>
      <c r="BD308" s="82"/>
    </row>
    <row r="309" spans="1:56" s="59" customFormat="1" x14ac:dyDescent="0.2">
      <c r="A309" s="121"/>
      <c r="B309" s="122">
        <f>SUM(C305:C309)</f>
        <v>210805095.55795035</v>
      </c>
      <c r="C309" s="116">
        <f>+'Rate base'!J41</f>
        <v>88493227.575464517</v>
      </c>
      <c r="D309" s="412"/>
      <c r="E309" s="116"/>
      <c r="F309" s="62" t="s">
        <v>917</v>
      </c>
      <c r="G309" s="74"/>
      <c r="H309" s="74">
        <v>3</v>
      </c>
      <c r="J309" s="232">
        <f t="shared" si="387"/>
        <v>88493227.575464517</v>
      </c>
      <c r="K309" s="177"/>
      <c r="L309" s="115">
        <f t="shared" si="371"/>
        <v>41582967.637710772</v>
      </c>
      <c r="M309" s="230"/>
      <c r="N309" s="115">
        <f t="shared" si="372"/>
        <v>24857747.625947982</v>
      </c>
      <c r="O309" s="230"/>
      <c r="P309" s="115">
        <f t="shared" si="373"/>
        <v>3991044.56365345</v>
      </c>
      <c r="Q309" s="230"/>
      <c r="R309" s="115">
        <f t="shared" si="374"/>
        <v>7902445.2224889807</v>
      </c>
      <c r="S309" s="230"/>
      <c r="T309" s="115">
        <f t="shared" si="375"/>
        <v>2592851.5679611103</v>
      </c>
      <c r="U309" s="230"/>
      <c r="V309" s="115">
        <f t="shared" si="376"/>
        <v>3495482.4892308484</v>
      </c>
      <c r="W309" s="230"/>
      <c r="X309" s="115">
        <f t="shared" si="377"/>
        <v>4070688.4684713678</v>
      </c>
      <c r="Y309" s="116"/>
      <c r="Z309" s="99">
        <f t="shared" si="367"/>
        <v>0</v>
      </c>
      <c r="AC309" s="62" t="s">
        <v>917</v>
      </c>
      <c r="AE309" s="154">
        <f t="shared" si="368"/>
        <v>3</v>
      </c>
      <c r="AF309" s="481"/>
      <c r="AG309" s="82">
        <f t="shared" si="369"/>
        <v>88493227.575464517</v>
      </c>
      <c r="AH309" s="481"/>
      <c r="AI309" s="69">
        <f t="shared" si="378"/>
        <v>46405848.54057359</v>
      </c>
      <c r="AJ309" s="69"/>
      <c r="AK309" s="69">
        <f t="shared" si="379"/>
        <v>34804386.40543019</v>
      </c>
      <c r="AL309" s="69"/>
      <c r="AM309" s="69">
        <f t="shared" si="380"/>
        <v>0</v>
      </c>
      <c r="AN309" s="69"/>
      <c r="AO309" s="69">
        <f t="shared" si="381"/>
        <v>0</v>
      </c>
      <c r="AP309" s="69"/>
      <c r="AQ309" s="69">
        <f t="shared" si="382"/>
        <v>0</v>
      </c>
      <c r="AR309" s="69"/>
      <c r="AS309" s="69">
        <f t="shared" si="383"/>
        <v>0</v>
      </c>
      <c r="AT309" s="69"/>
      <c r="AU309" s="69">
        <f t="shared" si="384"/>
        <v>0</v>
      </c>
      <c r="AV309" s="69"/>
      <c r="AW309" s="69">
        <f t="shared" si="385"/>
        <v>3362742.6478676517</v>
      </c>
      <c r="AX309" s="69"/>
      <c r="AY309" s="69">
        <f t="shared" si="386"/>
        <v>3920249.981593078</v>
      </c>
      <c r="AZ309" s="481"/>
      <c r="BA309" s="99">
        <f t="shared" si="370"/>
        <v>0</v>
      </c>
      <c r="BB309" s="82"/>
      <c r="BC309" s="82"/>
      <c r="BD309" s="82"/>
    </row>
    <row r="310" spans="1:56" x14ac:dyDescent="0.2">
      <c r="A310" s="222"/>
      <c r="B310" s="223"/>
      <c r="C310" s="116">
        <f>+'Rate base'!H42</f>
        <v>8661959.4527616687</v>
      </c>
      <c r="D310" s="412">
        <v>333</v>
      </c>
      <c r="F310" s="120" t="s">
        <v>620</v>
      </c>
      <c r="G310" s="184"/>
      <c r="H310" s="75">
        <v>10</v>
      </c>
      <c r="I310"/>
      <c r="J310" s="232">
        <f t="shared" si="387"/>
        <v>8661959.4527616687</v>
      </c>
      <c r="K310" s="177"/>
      <c r="L310" s="115">
        <f t="shared" si="371"/>
        <v>7147848.9404189298</v>
      </c>
      <c r="M310" s="230"/>
      <c r="N310" s="115">
        <f t="shared" si="372"/>
        <v>965808.47898292611</v>
      </c>
      <c r="O310" s="230"/>
      <c r="P310" s="115">
        <f t="shared" si="373"/>
        <v>9528.1553980378358</v>
      </c>
      <c r="Q310" s="230"/>
      <c r="R310" s="115">
        <f t="shared" si="374"/>
        <v>116070.25666700637</v>
      </c>
      <c r="S310" s="230"/>
      <c r="T310" s="115">
        <f t="shared" si="375"/>
        <v>5197.1756716570007</v>
      </c>
      <c r="U310" s="230"/>
      <c r="V310" s="115">
        <f t="shared" si="376"/>
        <v>417506.44562311243</v>
      </c>
      <c r="W310" s="230"/>
      <c r="X310" s="115">
        <f t="shared" si="377"/>
        <v>0</v>
      </c>
      <c r="Y310" s="116"/>
      <c r="Z310" s="99">
        <f t="shared" si="367"/>
        <v>0</v>
      </c>
      <c r="AC310" s="120" t="s">
        <v>620</v>
      </c>
      <c r="AE310" s="154">
        <f t="shared" si="368"/>
        <v>10</v>
      </c>
      <c r="AF310" s="481"/>
      <c r="AG310" s="82">
        <f t="shared" si="369"/>
        <v>8661959.4527616687</v>
      </c>
      <c r="AH310" s="481"/>
      <c r="AI310" s="69">
        <f t="shared" si="378"/>
        <v>0</v>
      </c>
      <c r="AJ310" s="69"/>
      <c r="AK310" s="69">
        <f t="shared" si="379"/>
        <v>0</v>
      </c>
      <c r="AL310" s="69"/>
      <c r="AM310" s="69">
        <f t="shared" si="380"/>
        <v>0</v>
      </c>
      <c r="AN310" s="69"/>
      <c r="AO310" s="69">
        <f t="shared" si="381"/>
        <v>0</v>
      </c>
      <c r="AP310" s="69"/>
      <c r="AQ310" s="69">
        <f t="shared" si="382"/>
        <v>8244453.0071385559</v>
      </c>
      <c r="AR310" s="69"/>
      <c r="AS310" s="69">
        <f t="shared" si="383"/>
        <v>0</v>
      </c>
      <c r="AT310" s="69"/>
      <c r="AU310" s="69">
        <f t="shared" si="384"/>
        <v>0</v>
      </c>
      <c r="AV310" s="69"/>
      <c r="AW310" s="69">
        <f t="shared" si="385"/>
        <v>417506.44562311243</v>
      </c>
      <c r="AX310" s="69"/>
      <c r="AY310" s="69">
        <f t="shared" si="386"/>
        <v>0</v>
      </c>
      <c r="AZ310" s="481"/>
      <c r="BA310" s="99">
        <f t="shared" si="370"/>
        <v>0</v>
      </c>
      <c r="BB310" s="82"/>
      <c r="BC310" s="82"/>
      <c r="BD310" s="82"/>
    </row>
    <row r="311" spans="1:56" x14ac:dyDescent="0.2">
      <c r="A311" s="121"/>
      <c r="B311" s="122"/>
      <c r="C311" s="116">
        <f>+SUM('Rate base'!H43:H47)</f>
        <v>8106736.3239271892</v>
      </c>
      <c r="D311" s="412">
        <v>334</v>
      </c>
      <c r="F311" s="120" t="s">
        <v>621</v>
      </c>
      <c r="G311" s="184"/>
      <c r="H311" s="75">
        <v>9</v>
      </c>
      <c r="I311"/>
      <c r="J311" s="232">
        <f t="shared" si="387"/>
        <v>8106736.3239271892</v>
      </c>
      <c r="K311" s="177"/>
      <c r="L311" s="115">
        <f t="shared" si="371"/>
        <v>6724537.7806976037</v>
      </c>
      <c r="M311" s="230"/>
      <c r="N311" s="115">
        <f t="shared" si="372"/>
        <v>1047390.3330513929</v>
      </c>
      <c r="O311" s="230"/>
      <c r="P311" s="115">
        <f t="shared" si="373"/>
        <v>31616.271663316038</v>
      </c>
      <c r="Q311" s="230"/>
      <c r="R311" s="115">
        <f t="shared" si="374"/>
        <v>188076.28271511078</v>
      </c>
      <c r="S311" s="230"/>
      <c r="T311" s="115">
        <f t="shared" si="375"/>
        <v>18645.493545032536</v>
      </c>
      <c r="U311" s="230"/>
      <c r="V311" s="115">
        <f t="shared" si="376"/>
        <v>96470.162254733557</v>
      </c>
      <c r="W311" s="230"/>
      <c r="X311" s="115">
        <f t="shared" si="377"/>
        <v>0</v>
      </c>
      <c r="Y311" s="116"/>
      <c r="Z311" s="99">
        <f t="shared" si="367"/>
        <v>0</v>
      </c>
      <c r="AC311" s="120" t="s">
        <v>621</v>
      </c>
      <c r="AE311" s="154">
        <f t="shared" si="368"/>
        <v>9</v>
      </c>
      <c r="AF311" s="481"/>
      <c r="AG311" s="82">
        <f t="shared" si="369"/>
        <v>8106736.3239271892</v>
      </c>
      <c r="AH311" s="481"/>
      <c r="AI311" s="69">
        <f t="shared" si="378"/>
        <v>0</v>
      </c>
      <c r="AJ311" s="69"/>
      <c r="AK311" s="69">
        <f t="shared" si="379"/>
        <v>0</v>
      </c>
      <c r="AL311" s="69"/>
      <c r="AM311" s="69">
        <f t="shared" si="380"/>
        <v>0</v>
      </c>
      <c r="AN311" s="69"/>
      <c r="AO311" s="69">
        <f t="shared" si="381"/>
        <v>8010266.1616724553</v>
      </c>
      <c r="AP311" s="69"/>
      <c r="AQ311" s="69">
        <f t="shared" si="382"/>
        <v>0</v>
      </c>
      <c r="AR311" s="69"/>
      <c r="AS311" s="69">
        <f t="shared" si="383"/>
        <v>0</v>
      </c>
      <c r="AT311" s="69"/>
      <c r="AU311" s="69">
        <f t="shared" si="384"/>
        <v>0</v>
      </c>
      <c r="AV311" s="69"/>
      <c r="AW311" s="69">
        <f t="shared" si="385"/>
        <v>96470.162254733557</v>
      </c>
      <c r="AX311" s="69"/>
      <c r="AY311" s="69">
        <f t="shared" si="386"/>
        <v>0</v>
      </c>
      <c r="AZ311" s="481"/>
      <c r="BA311" s="99">
        <f t="shared" si="370"/>
        <v>0</v>
      </c>
      <c r="BB311" s="82"/>
      <c r="BC311" s="82"/>
      <c r="BD311" s="82"/>
    </row>
    <row r="312" spans="1:56" x14ac:dyDescent="0.2">
      <c r="A312" s="121"/>
      <c r="B312" s="122"/>
      <c r="C312" s="116">
        <f>+'Rate base'!H49+'Rate base'!H48</f>
        <v>16483562.635546688</v>
      </c>
      <c r="D312" s="412">
        <v>334</v>
      </c>
      <c r="F312" s="120" t="s">
        <v>622</v>
      </c>
      <c r="G312" s="184"/>
      <c r="H312" s="75">
        <v>9</v>
      </c>
      <c r="I312"/>
      <c r="J312" s="232">
        <f t="shared" si="387"/>
        <v>16483562.635546688</v>
      </c>
      <c r="K312" s="177"/>
      <c r="L312" s="115">
        <f t="shared" si="371"/>
        <v>13673115.206185978</v>
      </c>
      <c r="M312" s="230"/>
      <c r="N312" s="115">
        <f t="shared" si="372"/>
        <v>2129676.2925126324</v>
      </c>
      <c r="O312" s="230"/>
      <c r="P312" s="115">
        <f t="shared" si="373"/>
        <v>64285.894278632077</v>
      </c>
      <c r="Q312" s="230"/>
      <c r="R312" s="115">
        <f t="shared" si="374"/>
        <v>382418.65314468311</v>
      </c>
      <c r="S312" s="230"/>
      <c r="T312" s="115">
        <f t="shared" si="375"/>
        <v>37912.194061757378</v>
      </c>
      <c r="U312" s="230"/>
      <c r="V312" s="115">
        <f t="shared" si="376"/>
        <v>196154.39536300561</v>
      </c>
      <c r="W312" s="230"/>
      <c r="X312" s="115">
        <f t="shared" si="377"/>
        <v>0</v>
      </c>
      <c r="Y312" s="116"/>
      <c r="Z312" s="99">
        <f t="shared" si="367"/>
        <v>0</v>
      </c>
      <c r="AC312" s="120" t="s">
        <v>622</v>
      </c>
      <c r="AE312" s="154">
        <f t="shared" si="368"/>
        <v>9</v>
      </c>
      <c r="AF312" s="481"/>
      <c r="AG312" s="82">
        <f t="shared" si="369"/>
        <v>16483562.635546688</v>
      </c>
      <c r="AH312" s="481"/>
      <c r="AI312" s="69">
        <f t="shared" si="378"/>
        <v>0</v>
      </c>
      <c r="AJ312" s="69"/>
      <c r="AK312" s="69">
        <f t="shared" si="379"/>
        <v>0</v>
      </c>
      <c r="AL312" s="69"/>
      <c r="AM312" s="69">
        <f t="shared" si="380"/>
        <v>0</v>
      </c>
      <c r="AN312" s="69"/>
      <c r="AO312" s="69">
        <f t="shared" si="381"/>
        <v>16287408.240183681</v>
      </c>
      <c r="AP312" s="69"/>
      <c r="AQ312" s="69">
        <f t="shared" si="382"/>
        <v>0</v>
      </c>
      <c r="AR312" s="69"/>
      <c r="AS312" s="69">
        <f t="shared" si="383"/>
        <v>0</v>
      </c>
      <c r="AT312" s="69"/>
      <c r="AU312" s="69">
        <f t="shared" si="384"/>
        <v>0</v>
      </c>
      <c r="AV312" s="69"/>
      <c r="AW312" s="69">
        <f t="shared" si="385"/>
        <v>196154.39536300561</v>
      </c>
      <c r="AX312" s="69"/>
      <c r="AY312" s="69">
        <f t="shared" si="386"/>
        <v>0</v>
      </c>
      <c r="AZ312" s="481"/>
      <c r="BA312" s="99">
        <f t="shared" si="370"/>
        <v>0</v>
      </c>
      <c r="BB312" s="82"/>
      <c r="BC312" s="82"/>
      <c r="BD312" s="82"/>
    </row>
    <row r="313" spans="1:56" x14ac:dyDescent="0.2">
      <c r="A313" s="121"/>
      <c r="B313" s="122"/>
      <c r="C313" s="116">
        <f>+'Rate base'!H50</f>
        <v>12377146.685312904</v>
      </c>
      <c r="D313" s="412">
        <v>335</v>
      </c>
      <c r="F313" s="120" t="s">
        <v>918</v>
      </c>
      <c r="G313" s="184"/>
      <c r="H313" s="75">
        <v>8</v>
      </c>
      <c r="I313"/>
      <c r="J313" s="232">
        <f t="shared" si="387"/>
        <v>12377146.685312904</v>
      </c>
      <c r="K313" s="177"/>
      <c r="L313" s="115">
        <f t="shared" si="371"/>
        <v>0</v>
      </c>
      <c r="M313" s="230"/>
      <c r="N313" s="115">
        <f t="shared" si="372"/>
        <v>0</v>
      </c>
      <c r="O313" s="230"/>
      <c r="P313" s="115">
        <f t="shared" si="373"/>
        <v>0</v>
      </c>
      <c r="Q313" s="230"/>
      <c r="R313" s="115">
        <f t="shared" si="374"/>
        <v>0</v>
      </c>
      <c r="S313" s="230"/>
      <c r="T313" s="115">
        <f t="shared" si="375"/>
        <v>0</v>
      </c>
      <c r="U313" s="230"/>
      <c r="V313" s="115">
        <f t="shared" si="376"/>
        <v>0</v>
      </c>
      <c r="W313" s="230"/>
      <c r="X313" s="115">
        <f t="shared" si="377"/>
        <v>12377146.685312904</v>
      </c>
      <c r="Y313" s="116"/>
      <c r="Z313" s="99">
        <f t="shared" si="367"/>
        <v>0</v>
      </c>
      <c r="AC313" s="120" t="s">
        <v>918</v>
      </c>
      <c r="AE313" s="154">
        <f t="shared" si="368"/>
        <v>8</v>
      </c>
      <c r="AF313" s="481"/>
      <c r="AG313" s="82">
        <f t="shared" si="369"/>
        <v>12377146.685312904</v>
      </c>
      <c r="AH313" s="481"/>
      <c r="AI313" s="69">
        <f t="shared" si="378"/>
        <v>0</v>
      </c>
      <c r="AJ313" s="69"/>
      <c r="AK313" s="69">
        <f t="shared" si="379"/>
        <v>0</v>
      </c>
      <c r="AL313" s="69"/>
      <c r="AM313" s="69">
        <f t="shared" si="380"/>
        <v>0</v>
      </c>
      <c r="AN313" s="69"/>
      <c r="AO313" s="69">
        <f t="shared" si="381"/>
        <v>0</v>
      </c>
      <c r="AP313" s="69"/>
      <c r="AQ313" s="69">
        <f t="shared" si="382"/>
        <v>0</v>
      </c>
      <c r="AR313" s="69"/>
      <c r="AS313" s="69">
        <f t="shared" si="383"/>
        <v>0</v>
      </c>
      <c r="AT313" s="69"/>
      <c r="AU313" s="69">
        <f t="shared" si="384"/>
        <v>0</v>
      </c>
      <c r="AV313" s="69"/>
      <c r="AW313" s="69">
        <f t="shared" si="385"/>
        <v>0</v>
      </c>
      <c r="AX313" s="69"/>
      <c r="AY313" s="69">
        <f t="shared" si="386"/>
        <v>12377146.685312904</v>
      </c>
      <c r="AZ313" s="481"/>
      <c r="BA313" s="99">
        <f t="shared" si="370"/>
        <v>0</v>
      </c>
      <c r="BB313" s="82"/>
      <c r="BC313" s="82"/>
      <c r="BD313" s="82"/>
    </row>
    <row r="314" spans="1:56" x14ac:dyDescent="0.2">
      <c r="A314" s="121"/>
      <c r="B314" s="122"/>
      <c r="C314" s="116">
        <f>+SUM('Rate base'!H51:H54)</f>
        <v>11071536.504797565</v>
      </c>
      <c r="D314" s="412">
        <v>304.5</v>
      </c>
      <c r="F314" s="120" t="s">
        <v>919</v>
      </c>
      <c r="G314" s="184"/>
      <c r="H314" s="75">
        <v>15</v>
      </c>
      <c r="I314"/>
      <c r="J314" s="232">
        <f t="shared" si="387"/>
        <v>11071536.504797565</v>
      </c>
      <c r="K314" s="177"/>
      <c r="L314" s="115">
        <f t="shared" si="371"/>
        <v>7576252.4302329738</v>
      </c>
      <c r="M314" s="230"/>
      <c r="N314" s="115">
        <f t="shared" si="372"/>
        <v>2047127.0997370698</v>
      </c>
      <c r="O314" s="230"/>
      <c r="P314" s="115">
        <f t="shared" si="373"/>
        <v>255752.49326082374</v>
      </c>
      <c r="Q314" s="230"/>
      <c r="R314" s="115">
        <f t="shared" si="374"/>
        <v>555791.13254083775</v>
      </c>
      <c r="S314" s="230"/>
      <c r="T314" s="115">
        <f t="shared" si="375"/>
        <v>143929.97456236833</v>
      </c>
      <c r="U314" s="230"/>
      <c r="V314" s="115">
        <f t="shared" si="376"/>
        <v>178251.7377272408</v>
      </c>
      <c r="W314" s="230"/>
      <c r="X314" s="115">
        <f t="shared" si="377"/>
        <v>314431.63673625083</v>
      </c>
      <c r="Y314" s="116"/>
      <c r="Z314" s="99">
        <f t="shared" si="367"/>
        <v>0</v>
      </c>
      <c r="AC314" s="120" t="s">
        <v>919</v>
      </c>
      <c r="AE314" s="154">
        <f t="shared" si="368"/>
        <v>15</v>
      </c>
      <c r="AF314" s="481"/>
      <c r="AG314" s="82">
        <f t="shared" si="369"/>
        <v>11071536.504797565</v>
      </c>
      <c r="AH314" s="481"/>
      <c r="AI314" s="69">
        <f t="shared" si="378"/>
        <v>2832099.0379272173</v>
      </c>
      <c r="AJ314" s="69"/>
      <c r="AK314" s="69">
        <f t="shared" si="379"/>
        <v>1669587.7049234726</v>
      </c>
      <c r="AL314" s="69"/>
      <c r="AM314" s="69">
        <f t="shared" si="380"/>
        <v>356503.47545448161</v>
      </c>
      <c r="AN314" s="69"/>
      <c r="AO314" s="69">
        <f t="shared" si="381"/>
        <v>1826803.5232915983</v>
      </c>
      <c r="AP314" s="69"/>
      <c r="AQ314" s="69">
        <f t="shared" si="382"/>
        <v>752864.48232623446</v>
      </c>
      <c r="AR314" s="69"/>
      <c r="AS314" s="69">
        <f t="shared" si="383"/>
        <v>2346058.5853666039</v>
      </c>
      <c r="AT314" s="69"/>
      <c r="AU314" s="69">
        <f t="shared" si="384"/>
        <v>811543.62580166152</v>
      </c>
      <c r="AV314" s="69"/>
      <c r="AW314" s="69">
        <f t="shared" si="385"/>
        <v>161644.43297004444</v>
      </c>
      <c r="AX314" s="69"/>
      <c r="AY314" s="69">
        <f t="shared" si="386"/>
        <v>314431.63673625083</v>
      </c>
      <c r="AZ314" s="481"/>
      <c r="BA314" s="99">
        <f t="shared" si="370"/>
        <v>0</v>
      </c>
      <c r="BB314" s="82"/>
      <c r="BC314" s="82"/>
      <c r="BD314" s="82"/>
    </row>
    <row r="315" spans="1:56" x14ac:dyDescent="0.2">
      <c r="A315" s="121"/>
      <c r="B315" s="122"/>
      <c r="C315" s="116">
        <f>+'Rate base'!H55+'Rate base'!H64</f>
        <v>593316.45368855202</v>
      </c>
      <c r="D315" s="412">
        <v>340.1</v>
      </c>
      <c r="F315" s="120" t="s">
        <v>628</v>
      </c>
      <c r="G315" s="184"/>
      <c r="H315" s="75">
        <v>15</v>
      </c>
      <c r="I315"/>
      <c r="J315" s="232">
        <f t="shared" si="387"/>
        <v>593316.45368855202</v>
      </c>
      <c r="K315" s="177"/>
      <c r="L315" s="115">
        <f t="shared" si="371"/>
        <v>406006.44925907615</v>
      </c>
      <c r="M315" s="230"/>
      <c r="N315" s="115">
        <f t="shared" si="372"/>
        <v>109704.21228701327</v>
      </c>
      <c r="O315" s="230"/>
      <c r="P315" s="115">
        <f t="shared" si="373"/>
        <v>13705.610080205552</v>
      </c>
      <c r="Q315" s="230"/>
      <c r="R315" s="115">
        <f t="shared" si="374"/>
        <v>29784.485975165313</v>
      </c>
      <c r="S315" s="230"/>
      <c r="T315" s="115">
        <f t="shared" si="375"/>
        <v>7713.1138979511761</v>
      </c>
      <c r="U315" s="230"/>
      <c r="V315" s="115">
        <f t="shared" si="376"/>
        <v>9552.3949043856883</v>
      </c>
      <c r="W315" s="230"/>
      <c r="X315" s="115">
        <f t="shared" si="377"/>
        <v>16850.187284754877</v>
      </c>
      <c r="Y315" s="116"/>
      <c r="Z315" s="99">
        <f t="shared" si="367"/>
        <v>0</v>
      </c>
      <c r="AC315" s="120" t="s">
        <v>628</v>
      </c>
      <c r="AE315" s="154">
        <f t="shared" si="368"/>
        <v>15</v>
      </c>
      <c r="AF315" s="481"/>
      <c r="AG315" s="82">
        <f t="shared" si="369"/>
        <v>593316.45368855202</v>
      </c>
      <c r="AH315" s="481"/>
      <c r="AI315" s="69">
        <f t="shared" si="378"/>
        <v>151770.34885353161</v>
      </c>
      <c r="AJ315" s="69"/>
      <c r="AK315" s="69">
        <f t="shared" si="379"/>
        <v>89472.121216233645</v>
      </c>
      <c r="AL315" s="69"/>
      <c r="AM315" s="69">
        <f t="shared" si="380"/>
        <v>19104.789808771377</v>
      </c>
      <c r="AN315" s="69"/>
      <c r="AO315" s="69">
        <f t="shared" si="381"/>
        <v>97897.214858611085</v>
      </c>
      <c r="AP315" s="69"/>
      <c r="AQ315" s="69">
        <f t="shared" si="382"/>
        <v>40345.518850821543</v>
      </c>
      <c r="AR315" s="69"/>
      <c r="AS315" s="69">
        <f t="shared" si="383"/>
        <v>125723.75653660418</v>
      </c>
      <c r="AT315" s="69"/>
      <c r="AU315" s="69">
        <f t="shared" si="384"/>
        <v>43490.096055370865</v>
      </c>
      <c r="AV315" s="69"/>
      <c r="AW315" s="69">
        <f t="shared" si="385"/>
        <v>8662.4202238528596</v>
      </c>
      <c r="AX315" s="69"/>
      <c r="AY315" s="69">
        <f t="shared" si="386"/>
        <v>16850.187284754877</v>
      </c>
      <c r="AZ315" s="481"/>
      <c r="BA315" s="99">
        <f t="shared" si="370"/>
        <v>0</v>
      </c>
      <c r="BB315" s="82"/>
      <c r="BC315" s="82"/>
      <c r="BD315" s="82"/>
    </row>
    <row r="316" spans="1:56" s="480" customFormat="1" x14ac:dyDescent="0.2">
      <c r="A316" s="121"/>
      <c r="B316" s="122"/>
      <c r="C316" s="116">
        <f>+SUM('Rate base'!H56:H63)-'Rate base'!H60</f>
        <v>2504122.0404188065</v>
      </c>
      <c r="D316" s="412">
        <v>340.2</v>
      </c>
      <c r="E316" s="116"/>
      <c r="F316" s="120" t="s">
        <v>920</v>
      </c>
      <c r="G316" s="184"/>
      <c r="H316" s="75">
        <v>15</v>
      </c>
      <c r="J316" s="232">
        <f t="shared" si="387"/>
        <v>2504122.0404188065</v>
      </c>
      <c r="K316" s="177"/>
      <c r="L316" s="115">
        <f t="shared" si="371"/>
        <v>1713570.7122585892</v>
      </c>
      <c r="M316" s="230"/>
      <c r="N316" s="115">
        <f t="shared" si="372"/>
        <v>463012.16527343733</v>
      </c>
      <c r="O316" s="230"/>
      <c r="P316" s="115">
        <f t="shared" si="373"/>
        <v>57845.219133674429</v>
      </c>
      <c r="Q316" s="230"/>
      <c r="R316" s="115">
        <f t="shared" si="374"/>
        <v>125706.92642902408</v>
      </c>
      <c r="S316" s="230"/>
      <c r="T316" s="115">
        <f t="shared" si="375"/>
        <v>32553.586525444483</v>
      </c>
      <c r="U316" s="230"/>
      <c r="V316" s="115">
        <f t="shared" si="376"/>
        <v>40316.364850742786</v>
      </c>
      <c r="W316" s="230"/>
      <c r="X316" s="115">
        <f t="shared" si="377"/>
        <v>71117.065947894109</v>
      </c>
      <c r="Y316" s="116"/>
      <c r="Z316" s="99">
        <f t="shared" si="367"/>
        <v>0</v>
      </c>
      <c r="AC316" s="120" t="s">
        <v>920</v>
      </c>
      <c r="AE316" s="154">
        <f t="shared" si="368"/>
        <v>15</v>
      </c>
      <c r="AF316" s="481"/>
      <c r="AG316" s="82">
        <f t="shared" si="369"/>
        <v>2504122.0404188065</v>
      </c>
      <c r="AH316" s="481"/>
      <c r="AI316" s="69">
        <f t="shared" si="378"/>
        <v>640554.4179391308</v>
      </c>
      <c r="AJ316" s="69"/>
      <c r="AK316" s="69">
        <f t="shared" si="379"/>
        <v>377621.60369515599</v>
      </c>
      <c r="AL316" s="69"/>
      <c r="AM316" s="69">
        <f t="shared" si="380"/>
        <v>80632.729701485572</v>
      </c>
      <c r="AN316" s="69"/>
      <c r="AO316" s="69">
        <f t="shared" si="381"/>
        <v>413180.13666910311</v>
      </c>
      <c r="AP316" s="69"/>
      <c r="AQ316" s="69">
        <f t="shared" si="382"/>
        <v>170280.29874847885</v>
      </c>
      <c r="AR316" s="69"/>
      <c r="AS316" s="69">
        <f t="shared" si="383"/>
        <v>530623.46036474511</v>
      </c>
      <c r="AT316" s="69"/>
      <c r="AU316" s="69">
        <f t="shared" si="384"/>
        <v>183552.14556269851</v>
      </c>
      <c r="AV316" s="69"/>
      <c r="AW316" s="69">
        <f t="shared" si="385"/>
        <v>36560.181790114577</v>
      </c>
      <c r="AX316" s="69"/>
      <c r="AY316" s="69">
        <f t="shared" si="386"/>
        <v>71117.065947894109</v>
      </c>
      <c r="AZ316" s="481"/>
      <c r="BA316" s="99">
        <f t="shared" si="370"/>
        <v>0</v>
      </c>
      <c r="BB316" s="82"/>
      <c r="BC316" s="82"/>
      <c r="BD316" s="82"/>
    </row>
    <row r="317" spans="1:56" s="480" customFormat="1" x14ac:dyDescent="0.2">
      <c r="A317" s="121"/>
      <c r="B317" s="116">
        <f>+'Rate base'!$H$60</f>
        <v>6631623.707333331</v>
      </c>
      <c r="C317" s="116">
        <f>+B317-C318</f>
        <v>2090287.707333331</v>
      </c>
      <c r="D317" s="412">
        <v>340.3</v>
      </c>
      <c r="E317" s="116"/>
      <c r="F317" s="120" t="s">
        <v>938</v>
      </c>
      <c r="G317" s="184"/>
      <c r="H317" s="75">
        <v>13</v>
      </c>
      <c r="J317" s="232">
        <f>+C317</f>
        <v>2090287.707333331</v>
      </c>
      <c r="K317" s="177"/>
      <c r="L317" s="115">
        <f t="shared" si="371"/>
        <v>1882931.1667658647</v>
      </c>
      <c r="M317" s="230"/>
      <c r="N317" s="115">
        <f t="shared" si="372"/>
        <v>147365.28336699982</v>
      </c>
      <c r="O317" s="230"/>
      <c r="P317" s="115">
        <f t="shared" si="373"/>
        <v>836.11508293333247</v>
      </c>
      <c r="Q317" s="230"/>
      <c r="R317" s="115">
        <f t="shared" si="374"/>
        <v>12332.697473266653</v>
      </c>
      <c r="S317" s="230"/>
      <c r="T317" s="115">
        <f t="shared" si="375"/>
        <v>418.05754146666624</v>
      </c>
      <c r="U317" s="230"/>
      <c r="V317" s="115">
        <f t="shared" si="376"/>
        <v>45777.300790599948</v>
      </c>
      <c r="W317" s="230"/>
      <c r="X317" s="115">
        <f t="shared" si="377"/>
        <v>627.08631219999927</v>
      </c>
      <c r="Y317" s="116"/>
      <c r="Z317" s="99">
        <f t="shared" si="367"/>
        <v>0</v>
      </c>
      <c r="AC317" s="120" t="s">
        <v>938</v>
      </c>
      <c r="AE317" s="154">
        <f t="shared" si="368"/>
        <v>13</v>
      </c>
      <c r="AF317" s="481"/>
      <c r="AG317" s="82">
        <f t="shared" si="369"/>
        <v>2090287.707333331</v>
      </c>
      <c r="AH317" s="481"/>
      <c r="AI317" s="69">
        <f t="shared" si="378"/>
        <v>0</v>
      </c>
      <c r="AJ317" s="69"/>
      <c r="AK317" s="69">
        <f t="shared" si="379"/>
        <v>0</v>
      </c>
      <c r="AL317" s="69"/>
      <c r="AM317" s="69">
        <f t="shared" si="380"/>
        <v>0</v>
      </c>
      <c r="AN317" s="69"/>
      <c r="AO317" s="69">
        <f t="shared" si="381"/>
        <v>0</v>
      </c>
      <c r="AP317" s="69"/>
      <c r="AQ317" s="69">
        <f t="shared" si="382"/>
        <v>0</v>
      </c>
      <c r="AR317" s="69"/>
      <c r="AS317" s="69">
        <f t="shared" si="383"/>
        <v>2043883.320230531</v>
      </c>
      <c r="AT317" s="69"/>
      <c r="AU317" s="69">
        <f t="shared" si="384"/>
        <v>0</v>
      </c>
      <c r="AV317" s="69"/>
      <c r="AW317" s="69">
        <f t="shared" si="385"/>
        <v>45777.300790599948</v>
      </c>
      <c r="AX317" s="69"/>
      <c r="AY317" s="69">
        <f t="shared" si="386"/>
        <v>627.08631219999927</v>
      </c>
      <c r="AZ317" s="481"/>
      <c r="BA317" s="99">
        <f t="shared" si="370"/>
        <v>0</v>
      </c>
      <c r="BB317" s="82"/>
      <c r="BC317" s="82"/>
      <c r="BD317" s="82"/>
    </row>
    <row r="318" spans="1:56" s="508" customFormat="1" x14ac:dyDescent="0.2">
      <c r="A318" s="121"/>
      <c r="B318" s="122"/>
      <c r="C318" s="116">
        <v>4541336</v>
      </c>
      <c r="D318" s="412">
        <v>340.3</v>
      </c>
      <c r="E318" s="116"/>
      <c r="F318" s="120" t="s">
        <v>939</v>
      </c>
      <c r="G318" s="184"/>
      <c r="H318" s="75">
        <v>15</v>
      </c>
      <c r="J318" s="232">
        <f>+C318</f>
        <v>4541336</v>
      </c>
      <c r="K318" s="177"/>
      <c r="L318" s="115">
        <f t="shared" si="371"/>
        <v>3107636.2248</v>
      </c>
      <c r="M318" s="230"/>
      <c r="N318" s="115">
        <f t="shared" si="372"/>
        <v>839693.02640000009</v>
      </c>
      <c r="O318" s="230"/>
      <c r="P318" s="115">
        <f t="shared" si="373"/>
        <v>104904.86159999999</v>
      </c>
      <c r="Q318" s="230"/>
      <c r="R318" s="115">
        <f t="shared" si="374"/>
        <v>227975.06720000002</v>
      </c>
      <c r="S318" s="230"/>
      <c r="T318" s="115">
        <f t="shared" si="375"/>
        <v>59037.367999999995</v>
      </c>
      <c r="U318" s="230"/>
      <c r="V318" s="115">
        <f t="shared" si="376"/>
        <v>73115.509600000005</v>
      </c>
      <c r="W318" s="230"/>
      <c r="X318" s="115">
        <f t="shared" si="377"/>
        <v>128973.94240000001</v>
      </c>
      <c r="Y318" s="116"/>
      <c r="Z318" s="99">
        <f t="shared" ref="Z318" si="388">SUM(L318:X318)-J318</f>
        <v>0</v>
      </c>
      <c r="AC318" s="120" t="s">
        <v>939</v>
      </c>
      <c r="AE318" s="154">
        <f t="shared" si="368"/>
        <v>15</v>
      </c>
      <c r="AG318" s="82">
        <f t="shared" si="369"/>
        <v>4541336</v>
      </c>
      <c r="AI318" s="69">
        <f t="shared" si="378"/>
        <v>1161673.7488000002</v>
      </c>
      <c r="AJ318" s="69"/>
      <c r="AK318" s="69">
        <f t="shared" si="379"/>
        <v>684833.46879999992</v>
      </c>
      <c r="AL318" s="69"/>
      <c r="AM318" s="69">
        <f t="shared" si="380"/>
        <v>146231.01920000001</v>
      </c>
      <c r="AN318" s="69"/>
      <c r="AO318" s="69">
        <f t="shared" si="381"/>
        <v>749320.44000000006</v>
      </c>
      <c r="AP318" s="69"/>
      <c r="AQ318" s="69">
        <f t="shared" si="382"/>
        <v>308810.848</v>
      </c>
      <c r="AR318" s="69"/>
      <c r="AS318" s="69">
        <f t="shared" si="383"/>
        <v>962309.09840000002</v>
      </c>
      <c r="AT318" s="69"/>
      <c r="AU318" s="69">
        <f t="shared" si="384"/>
        <v>332879.92879999999</v>
      </c>
      <c r="AV318" s="69"/>
      <c r="AW318" s="69">
        <f t="shared" si="385"/>
        <v>66303.505600000004</v>
      </c>
      <c r="AX318" s="69"/>
      <c r="AY318" s="69">
        <f t="shared" si="386"/>
        <v>128973.94240000001</v>
      </c>
      <c r="BA318" s="99">
        <f t="shared" ref="BA318" si="389">SUM(AI318:AY318)-AG318</f>
        <v>0</v>
      </c>
      <c r="BB318" s="82"/>
      <c r="BC318" s="82"/>
      <c r="BD318" s="82"/>
    </row>
    <row r="319" spans="1:56" x14ac:dyDescent="0.2">
      <c r="A319" s="121"/>
      <c r="B319" s="122"/>
      <c r="C319" s="116">
        <f>+SUM('Rate base'!H65:H68)</f>
        <v>4634740.6261571096</v>
      </c>
      <c r="D319" s="412">
        <v>341</v>
      </c>
      <c r="F319" s="120" t="s">
        <v>921</v>
      </c>
      <c r="G319" s="184"/>
      <c r="H319" s="75">
        <v>15</v>
      </c>
      <c r="I319"/>
      <c r="J319" s="232">
        <f t="shared" si="387"/>
        <v>4634740.6261571096</v>
      </c>
      <c r="K319" s="177"/>
      <c r="L319" s="115">
        <f t="shared" si="371"/>
        <v>3171553.0104793101</v>
      </c>
      <c r="M319" s="230"/>
      <c r="N319" s="115">
        <f t="shared" si="372"/>
        <v>856963.54177644965</v>
      </c>
      <c r="O319" s="230"/>
      <c r="P319" s="115">
        <f t="shared" si="373"/>
        <v>107062.50846422923</v>
      </c>
      <c r="Q319" s="230"/>
      <c r="R319" s="115">
        <f t="shared" si="374"/>
        <v>232663.9794330869</v>
      </c>
      <c r="S319" s="230"/>
      <c r="T319" s="115">
        <f t="shared" si="375"/>
        <v>60251.62814004242</v>
      </c>
      <c r="U319" s="230"/>
      <c r="V319" s="115">
        <f t="shared" si="376"/>
        <v>74619.324081129467</v>
      </c>
      <c r="W319" s="230"/>
      <c r="X319" s="115">
        <f t="shared" si="377"/>
        <v>131626.63378286193</v>
      </c>
      <c r="Y319" s="116"/>
      <c r="Z319" s="99">
        <f t="shared" si="367"/>
        <v>0</v>
      </c>
      <c r="AC319" s="120" t="s">
        <v>921</v>
      </c>
      <c r="AE319" s="154">
        <f t="shared" si="368"/>
        <v>15</v>
      </c>
      <c r="AF319" s="481"/>
      <c r="AG319" s="82">
        <f t="shared" si="369"/>
        <v>4634740.6261571096</v>
      </c>
      <c r="AH319" s="481"/>
      <c r="AI319" s="69">
        <f t="shared" si="378"/>
        <v>1185566.6521709887</v>
      </c>
      <c r="AJ319" s="69"/>
      <c r="AK319" s="69">
        <f t="shared" si="379"/>
        <v>698918.88642449211</v>
      </c>
      <c r="AL319" s="69"/>
      <c r="AM319" s="69">
        <f t="shared" si="380"/>
        <v>149238.64816225893</v>
      </c>
      <c r="AN319" s="69"/>
      <c r="AO319" s="69">
        <f t="shared" si="381"/>
        <v>764732.20331592311</v>
      </c>
      <c r="AP319" s="69"/>
      <c r="AQ319" s="69">
        <f t="shared" si="382"/>
        <v>315162.36257868347</v>
      </c>
      <c r="AR319" s="69"/>
      <c r="AS319" s="69">
        <f t="shared" si="383"/>
        <v>982101.53868269152</v>
      </c>
      <c r="AT319" s="69"/>
      <c r="AU319" s="69">
        <f t="shared" si="384"/>
        <v>339726.48789731617</v>
      </c>
      <c r="AV319" s="69"/>
      <c r="AW319" s="69">
        <f t="shared" si="385"/>
        <v>67667.213141893808</v>
      </c>
      <c r="AX319" s="69"/>
      <c r="AY319" s="69">
        <f t="shared" si="386"/>
        <v>131626.63378286193</v>
      </c>
      <c r="AZ319" s="481"/>
      <c r="BA319" s="99">
        <f t="shared" si="370"/>
        <v>0</v>
      </c>
      <c r="BB319" s="82"/>
      <c r="BC319" s="82"/>
      <c r="BD319" s="82"/>
    </row>
    <row r="320" spans="1:56" x14ac:dyDescent="0.2">
      <c r="A320" s="121"/>
      <c r="B320" s="122"/>
      <c r="C320" s="116">
        <f>+SUM('Rate base'!H69:H69)</f>
        <v>70769.512541666627</v>
      </c>
      <c r="D320" s="412">
        <v>342</v>
      </c>
      <c r="F320" s="120" t="s">
        <v>640</v>
      </c>
      <c r="G320" s="184"/>
      <c r="H320" s="75">
        <v>15</v>
      </c>
      <c r="I320"/>
      <c r="J320" s="232">
        <f t="shared" si="387"/>
        <v>70769.512541666627</v>
      </c>
      <c r="K320" s="177"/>
      <c r="L320" s="115">
        <f t="shared" si="371"/>
        <v>48427.577432262471</v>
      </c>
      <c r="M320" s="230"/>
      <c r="N320" s="115">
        <f t="shared" si="372"/>
        <v>13085.28286895416</v>
      </c>
      <c r="O320" s="230"/>
      <c r="P320" s="115">
        <f t="shared" si="373"/>
        <v>1634.775739712499</v>
      </c>
      <c r="Q320" s="230"/>
      <c r="R320" s="115">
        <f t="shared" si="374"/>
        <v>3552.6295295916648</v>
      </c>
      <c r="S320" s="230"/>
      <c r="T320" s="115">
        <f t="shared" si="375"/>
        <v>920.00366304166607</v>
      </c>
      <c r="U320" s="230"/>
      <c r="V320" s="115">
        <f t="shared" si="376"/>
        <v>1139.3891519208328</v>
      </c>
      <c r="W320" s="230"/>
      <c r="X320" s="115">
        <f t="shared" si="377"/>
        <v>2009.8541561833324</v>
      </c>
      <c r="Y320" s="116"/>
      <c r="Z320" s="99">
        <f t="shared" si="367"/>
        <v>0</v>
      </c>
      <c r="AC320" s="120" t="s">
        <v>640</v>
      </c>
      <c r="AE320" s="154">
        <f t="shared" si="368"/>
        <v>15</v>
      </c>
      <c r="AF320" s="481"/>
      <c r="AG320" s="82">
        <f t="shared" si="369"/>
        <v>70769.512541666627</v>
      </c>
      <c r="AH320" s="481"/>
      <c r="AI320" s="69">
        <f t="shared" si="378"/>
        <v>18102.841308158324</v>
      </c>
      <c r="AJ320" s="69"/>
      <c r="AK320" s="69">
        <f t="shared" si="379"/>
        <v>10672.042491283326</v>
      </c>
      <c r="AL320" s="69"/>
      <c r="AM320" s="69">
        <f t="shared" si="380"/>
        <v>2278.7783038416655</v>
      </c>
      <c r="AN320" s="69"/>
      <c r="AO320" s="69">
        <f t="shared" si="381"/>
        <v>11676.969569374995</v>
      </c>
      <c r="AP320" s="69"/>
      <c r="AQ320" s="69">
        <f t="shared" si="382"/>
        <v>4812.326852833331</v>
      </c>
      <c r="AR320" s="69"/>
      <c r="AS320" s="69">
        <f t="shared" si="383"/>
        <v>14996.059707579159</v>
      </c>
      <c r="AT320" s="69"/>
      <c r="AU320" s="69">
        <f t="shared" si="384"/>
        <v>5187.405269304164</v>
      </c>
      <c r="AV320" s="69"/>
      <c r="AW320" s="69">
        <f t="shared" si="385"/>
        <v>1033.2348831083327</v>
      </c>
      <c r="AX320" s="69"/>
      <c r="AY320" s="69">
        <f t="shared" si="386"/>
        <v>2009.8541561833324</v>
      </c>
      <c r="AZ320" s="481"/>
      <c r="BA320" s="99">
        <f t="shared" si="370"/>
        <v>0</v>
      </c>
      <c r="BB320" s="82"/>
      <c r="BC320" s="82"/>
      <c r="BD320" s="82"/>
    </row>
    <row r="321" spans="1:56" x14ac:dyDescent="0.2">
      <c r="A321" s="222"/>
      <c r="B321" s="223"/>
      <c r="C321" s="116">
        <f>+SUM('Rate base'!H70:H70)</f>
        <v>1662944.0776853652</v>
      </c>
      <c r="D321" s="412">
        <v>343</v>
      </c>
      <c r="F321" s="120" t="s">
        <v>641</v>
      </c>
      <c r="G321" s="184"/>
      <c r="H321" s="75">
        <v>15</v>
      </c>
      <c r="I321"/>
      <c r="J321" s="232">
        <f t="shared" si="387"/>
        <v>1662944.0776853652</v>
      </c>
      <c r="K321" s="177"/>
      <c r="L321" s="115">
        <f t="shared" si="371"/>
        <v>1137952.6323600954</v>
      </c>
      <c r="M321" s="230"/>
      <c r="N321" s="115">
        <f t="shared" si="372"/>
        <v>307478.35996402404</v>
      </c>
      <c r="O321" s="230"/>
      <c r="P321" s="115">
        <f t="shared" si="373"/>
        <v>38414.008194531933</v>
      </c>
      <c r="Q321" s="230"/>
      <c r="R321" s="115">
        <f t="shared" si="374"/>
        <v>83479.79269980533</v>
      </c>
      <c r="S321" s="230"/>
      <c r="T321" s="115">
        <f t="shared" si="375"/>
        <v>21618.273009909746</v>
      </c>
      <c r="U321" s="230"/>
      <c r="V321" s="115">
        <f t="shared" si="376"/>
        <v>26773.39965073438</v>
      </c>
      <c r="W321" s="230"/>
      <c r="X321" s="115">
        <f t="shared" si="377"/>
        <v>47227.611806264373</v>
      </c>
      <c r="Y321" s="116"/>
      <c r="Z321" s="99">
        <f t="shared" si="367"/>
        <v>0</v>
      </c>
      <c r="AC321" s="120" t="s">
        <v>641</v>
      </c>
      <c r="AE321" s="154">
        <f t="shared" si="368"/>
        <v>15</v>
      </c>
      <c r="AF321" s="481"/>
      <c r="AG321" s="82">
        <f t="shared" si="369"/>
        <v>1662944.0776853652</v>
      </c>
      <c r="AH321" s="481"/>
      <c r="AI321" s="69">
        <f t="shared" si="378"/>
        <v>425381.09507191647</v>
      </c>
      <c r="AJ321" s="69"/>
      <c r="AK321" s="69">
        <f t="shared" si="379"/>
        <v>250771.96691495305</v>
      </c>
      <c r="AL321" s="69"/>
      <c r="AM321" s="69">
        <f t="shared" si="380"/>
        <v>53546.79930146876</v>
      </c>
      <c r="AN321" s="69"/>
      <c r="AO321" s="69">
        <f t="shared" si="381"/>
        <v>274385.77281808527</v>
      </c>
      <c r="AP321" s="69"/>
      <c r="AQ321" s="69">
        <f t="shared" si="382"/>
        <v>113080.19728260484</v>
      </c>
      <c r="AR321" s="69"/>
      <c r="AS321" s="69">
        <f t="shared" si="383"/>
        <v>352377.85006152891</v>
      </c>
      <c r="AT321" s="69"/>
      <c r="AU321" s="69">
        <f t="shared" si="384"/>
        <v>121893.80089433728</v>
      </c>
      <c r="AV321" s="69"/>
      <c r="AW321" s="69">
        <f t="shared" si="385"/>
        <v>24278.983534206331</v>
      </c>
      <c r="AX321" s="69"/>
      <c r="AY321" s="69">
        <f t="shared" si="386"/>
        <v>47227.611806264373</v>
      </c>
      <c r="AZ321" s="481"/>
      <c r="BA321" s="99">
        <f t="shared" si="370"/>
        <v>0</v>
      </c>
      <c r="BB321" s="82"/>
      <c r="BC321" s="82"/>
      <c r="BD321" s="82"/>
    </row>
    <row r="322" spans="1:56" x14ac:dyDescent="0.2">
      <c r="A322" s="222"/>
      <c r="B322" s="223"/>
      <c r="C322" s="116">
        <f>+SUM('Rate base'!H71:H71)</f>
        <v>893647.23040146031</v>
      </c>
      <c r="D322" s="412">
        <v>344</v>
      </c>
      <c r="F322" s="120" t="s">
        <v>642</v>
      </c>
      <c r="G322" s="184"/>
      <c r="H322" s="75">
        <v>2</v>
      </c>
      <c r="I322"/>
      <c r="J322" s="232">
        <f t="shared" si="387"/>
        <v>893647.23040146031</v>
      </c>
      <c r="K322" s="177"/>
      <c r="L322" s="115">
        <f t="shared" si="371"/>
        <v>457458.01724250754</v>
      </c>
      <c r="M322" s="230"/>
      <c r="N322" s="115">
        <f t="shared" si="372"/>
        <v>273545.41722588701</v>
      </c>
      <c r="O322" s="230"/>
      <c r="P322" s="115">
        <f t="shared" si="373"/>
        <v>43878.0790127117</v>
      </c>
      <c r="Q322" s="230"/>
      <c r="R322" s="115">
        <f t="shared" si="374"/>
        <v>87041.240241102219</v>
      </c>
      <c r="S322" s="230"/>
      <c r="T322" s="115">
        <f t="shared" si="375"/>
        <v>28596.71137284673</v>
      </c>
      <c r="U322" s="230"/>
      <c r="V322" s="115">
        <f t="shared" si="376"/>
        <v>1429.8355686423365</v>
      </c>
      <c r="W322" s="230"/>
      <c r="X322" s="115">
        <f t="shared" si="377"/>
        <v>1697.9297377627745</v>
      </c>
      <c r="Y322" s="116"/>
      <c r="Z322" s="99">
        <f t="shared" si="367"/>
        <v>0</v>
      </c>
      <c r="AC322" s="120" t="s">
        <v>642</v>
      </c>
      <c r="AE322" s="154">
        <f t="shared" si="368"/>
        <v>2</v>
      </c>
      <c r="AF322" s="481"/>
      <c r="AG322" s="82">
        <f t="shared" si="369"/>
        <v>893647.23040146031</v>
      </c>
      <c r="AH322" s="481"/>
      <c r="AI322" s="69">
        <f t="shared" si="378"/>
        <v>507502.26214498928</v>
      </c>
      <c r="AJ322" s="69"/>
      <c r="AK322" s="69">
        <f t="shared" si="379"/>
        <v>383017.2029500659</v>
      </c>
      <c r="AL322" s="69"/>
      <c r="AM322" s="69">
        <f t="shared" si="380"/>
        <v>0</v>
      </c>
      <c r="AN322" s="69"/>
      <c r="AO322" s="69">
        <f t="shared" si="381"/>
        <v>0</v>
      </c>
      <c r="AP322" s="69"/>
      <c r="AQ322" s="69">
        <f t="shared" si="382"/>
        <v>0</v>
      </c>
      <c r="AR322" s="69"/>
      <c r="AS322" s="69">
        <f t="shared" si="383"/>
        <v>0</v>
      </c>
      <c r="AT322" s="69"/>
      <c r="AU322" s="69">
        <f t="shared" si="384"/>
        <v>0</v>
      </c>
      <c r="AV322" s="69"/>
      <c r="AW322" s="69">
        <f t="shared" si="385"/>
        <v>1429.8355686423365</v>
      </c>
      <c r="AX322" s="69"/>
      <c r="AY322" s="69">
        <f t="shared" si="386"/>
        <v>1697.9297377627745</v>
      </c>
      <c r="AZ322" s="481"/>
      <c r="BA322" s="99">
        <f t="shared" si="370"/>
        <v>0</v>
      </c>
      <c r="BB322" s="82"/>
      <c r="BC322" s="82"/>
      <c r="BD322" s="82"/>
    </row>
    <row r="323" spans="1:56" ht="15" customHeight="1" x14ac:dyDescent="0.2">
      <c r="A323" s="121"/>
      <c r="B323" s="122"/>
      <c r="C323" s="116">
        <f>+'Rate base'!H72</f>
        <v>463633.75896866876</v>
      </c>
      <c r="D323" s="412">
        <v>345</v>
      </c>
      <c r="F323" s="120" t="s">
        <v>643</v>
      </c>
      <c r="G323" s="184"/>
      <c r="H323" s="75">
        <v>15</v>
      </c>
      <c r="I323"/>
      <c r="J323" s="232">
        <f t="shared" si="387"/>
        <v>463633.75896866876</v>
      </c>
      <c r="K323" s="177"/>
      <c r="L323" s="115">
        <f t="shared" si="371"/>
        <v>317264.58126226004</v>
      </c>
      <c r="M323" s="230"/>
      <c r="N323" s="115">
        <f t="shared" si="372"/>
        <v>85725.882033306858</v>
      </c>
      <c r="O323" s="230"/>
      <c r="P323" s="115">
        <f t="shared" si="373"/>
        <v>10709.939832176247</v>
      </c>
      <c r="Q323" s="230"/>
      <c r="R323" s="115">
        <f t="shared" si="374"/>
        <v>23274.414700227171</v>
      </c>
      <c r="S323" s="230"/>
      <c r="T323" s="115">
        <f t="shared" si="375"/>
        <v>6027.2388665926937</v>
      </c>
      <c r="U323" s="230"/>
      <c r="V323" s="115">
        <f t="shared" si="376"/>
        <v>7464.5035193955673</v>
      </c>
      <c r="W323" s="230"/>
      <c r="X323" s="115">
        <f t="shared" si="377"/>
        <v>13167.198754710193</v>
      </c>
      <c r="Y323" s="116"/>
      <c r="Z323" s="99">
        <f t="shared" si="367"/>
        <v>0</v>
      </c>
      <c r="AC323" s="120" t="s">
        <v>643</v>
      </c>
      <c r="AE323" s="154">
        <f t="shared" si="368"/>
        <v>15</v>
      </c>
      <c r="AF323" s="481"/>
      <c r="AG323" s="82">
        <f t="shared" si="369"/>
        <v>463633.75896866876</v>
      </c>
      <c r="AH323" s="481"/>
      <c r="AI323" s="69">
        <f t="shared" si="378"/>
        <v>118597.51554418549</v>
      </c>
      <c r="AJ323" s="69"/>
      <c r="AK323" s="69">
        <f t="shared" si="379"/>
        <v>69915.97085247525</v>
      </c>
      <c r="AL323" s="69"/>
      <c r="AM323" s="69">
        <f t="shared" si="380"/>
        <v>14929.007038791135</v>
      </c>
      <c r="AN323" s="69"/>
      <c r="AO323" s="69">
        <f t="shared" si="381"/>
        <v>76499.570229830351</v>
      </c>
      <c r="AP323" s="69"/>
      <c r="AQ323" s="69">
        <f t="shared" si="382"/>
        <v>31527.095609869477</v>
      </c>
      <c r="AR323" s="69"/>
      <c r="AS323" s="69">
        <f t="shared" si="383"/>
        <v>98243.993525460915</v>
      </c>
      <c r="AT323" s="69"/>
      <c r="AU323" s="69">
        <f t="shared" si="384"/>
        <v>33984.35453240342</v>
      </c>
      <c r="AV323" s="69"/>
      <c r="AW323" s="69">
        <f t="shared" si="385"/>
        <v>6769.0528809425641</v>
      </c>
      <c r="AX323" s="69"/>
      <c r="AY323" s="69">
        <f t="shared" si="386"/>
        <v>13167.198754710193</v>
      </c>
      <c r="AZ323" s="481"/>
      <c r="BA323" s="99">
        <f t="shared" si="370"/>
        <v>0</v>
      </c>
      <c r="BB323" s="82"/>
      <c r="BC323" s="82"/>
      <c r="BD323" s="82"/>
    </row>
    <row r="324" spans="1:56" x14ac:dyDescent="0.2">
      <c r="A324" s="121"/>
      <c r="B324" s="122"/>
      <c r="C324" s="116">
        <f>+SUM('Rate base'!H73:H75)</f>
        <v>3311376.7604249613</v>
      </c>
      <c r="D324" s="412">
        <v>346</v>
      </c>
      <c r="F324" s="120" t="s">
        <v>644</v>
      </c>
      <c r="G324" s="184"/>
      <c r="H324" s="75">
        <v>15</v>
      </c>
      <c r="I324"/>
      <c r="J324" s="232">
        <f t="shared" si="387"/>
        <v>3311376.7604249613</v>
      </c>
      <c r="K324" s="177"/>
      <c r="L324" s="115">
        <f t="shared" si="371"/>
        <v>2265975.1171588013</v>
      </c>
      <c r="M324" s="230"/>
      <c r="N324" s="115">
        <f t="shared" si="372"/>
        <v>612273.56300257542</v>
      </c>
      <c r="O324" s="230"/>
      <c r="P324" s="115">
        <f t="shared" si="373"/>
        <v>76492.8031658166</v>
      </c>
      <c r="Q324" s="230"/>
      <c r="R324" s="115">
        <f t="shared" si="374"/>
        <v>166231.11337333306</v>
      </c>
      <c r="S324" s="230"/>
      <c r="T324" s="115">
        <f t="shared" si="375"/>
        <v>43047.897885524493</v>
      </c>
      <c r="U324" s="230"/>
      <c r="V324" s="115">
        <f t="shared" si="376"/>
        <v>53313.165842841874</v>
      </c>
      <c r="W324" s="230"/>
      <c r="X324" s="115">
        <f t="shared" si="377"/>
        <v>94043.099996068908</v>
      </c>
      <c r="Y324" s="116"/>
      <c r="Z324" s="99">
        <f t="shared" si="367"/>
        <v>0</v>
      </c>
      <c r="AC324" s="120" t="s">
        <v>644</v>
      </c>
      <c r="AE324" s="154">
        <f t="shared" si="368"/>
        <v>15</v>
      </c>
      <c r="AF324" s="481"/>
      <c r="AG324" s="82">
        <f t="shared" si="369"/>
        <v>3311376.7604249613</v>
      </c>
      <c r="AH324" s="481"/>
      <c r="AI324" s="69">
        <f t="shared" si="378"/>
        <v>847050.17531670525</v>
      </c>
      <c r="AJ324" s="69"/>
      <c r="AK324" s="69">
        <f t="shared" si="379"/>
        <v>499355.61547208414</v>
      </c>
      <c r="AL324" s="69"/>
      <c r="AM324" s="69">
        <f t="shared" si="380"/>
        <v>106626.33168568375</v>
      </c>
      <c r="AN324" s="69"/>
      <c r="AO324" s="69">
        <f t="shared" si="381"/>
        <v>546377.16547011863</v>
      </c>
      <c r="AP324" s="69"/>
      <c r="AQ324" s="69">
        <f t="shared" si="382"/>
        <v>225173.6197088974</v>
      </c>
      <c r="AR324" s="69"/>
      <c r="AS324" s="69">
        <f t="shared" si="383"/>
        <v>701680.73553404934</v>
      </c>
      <c r="AT324" s="69"/>
      <c r="AU324" s="69">
        <f t="shared" si="384"/>
        <v>242723.91653914968</v>
      </c>
      <c r="AV324" s="69"/>
      <c r="AW324" s="69">
        <f t="shared" si="385"/>
        <v>48346.100702204436</v>
      </c>
      <c r="AX324" s="69"/>
      <c r="AY324" s="69">
        <f t="shared" si="386"/>
        <v>94043.099996068908</v>
      </c>
      <c r="AZ324" s="481"/>
      <c r="BA324" s="99">
        <f t="shared" si="370"/>
        <v>0</v>
      </c>
      <c r="BB324" s="82"/>
      <c r="BC324" s="82"/>
      <c r="BD324" s="82"/>
    </row>
    <row r="325" spans="1:56" x14ac:dyDescent="0.2">
      <c r="A325" s="121"/>
      <c r="B325" s="122"/>
      <c r="C325" s="116">
        <f>+'Rate base'!H76</f>
        <v>1021685.3144791686</v>
      </c>
      <c r="D325" s="412">
        <v>347</v>
      </c>
      <c r="F325" s="120" t="s">
        <v>645</v>
      </c>
      <c r="G325" s="184"/>
      <c r="H325" s="75">
        <v>15</v>
      </c>
      <c r="I325"/>
      <c r="J325" s="232">
        <f t="shared" si="387"/>
        <v>1021685.3144791686</v>
      </c>
      <c r="K325" s="177"/>
      <c r="L325" s="115">
        <f t="shared" si="371"/>
        <v>699139.26069809508</v>
      </c>
      <c r="M325" s="230"/>
      <c r="N325" s="115">
        <f t="shared" si="372"/>
        <v>188909.61464719829</v>
      </c>
      <c r="O325" s="230"/>
      <c r="P325" s="115">
        <f t="shared" si="373"/>
        <v>23600.930764468794</v>
      </c>
      <c r="Q325" s="230"/>
      <c r="R325" s="115">
        <f t="shared" si="374"/>
        <v>51288.602786854266</v>
      </c>
      <c r="S325" s="230"/>
      <c r="T325" s="115">
        <f t="shared" si="375"/>
        <v>13281.909088229191</v>
      </c>
      <c r="U325" s="230"/>
      <c r="V325" s="115">
        <f t="shared" si="376"/>
        <v>16449.133563114614</v>
      </c>
      <c r="W325" s="230"/>
      <c r="X325" s="115">
        <f t="shared" si="377"/>
        <v>29015.86293120839</v>
      </c>
      <c r="Y325" s="116"/>
      <c r="Z325" s="99">
        <f t="shared" si="341"/>
        <v>0</v>
      </c>
      <c r="AC325" s="120" t="s">
        <v>645</v>
      </c>
      <c r="AE325" s="154">
        <f t="shared" ref="AE325:AE326" si="390">+H325</f>
        <v>15</v>
      </c>
      <c r="AG325" s="82">
        <f t="shared" ref="AG325:AG326" si="391">+J325</f>
        <v>1021685.3144791686</v>
      </c>
      <c r="AI325" s="69">
        <f t="shared" si="378"/>
        <v>261347.10344377137</v>
      </c>
      <c r="AJ325" s="69"/>
      <c r="AK325" s="69">
        <f t="shared" si="379"/>
        <v>154070.14542345863</v>
      </c>
      <c r="AL325" s="69"/>
      <c r="AM325" s="69">
        <f t="shared" si="380"/>
        <v>32898.267126229228</v>
      </c>
      <c r="AN325" s="69"/>
      <c r="AO325" s="69">
        <f t="shared" si="381"/>
        <v>168578.07688906282</v>
      </c>
      <c r="AP325" s="69"/>
      <c r="AQ325" s="69">
        <f t="shared" si="382"/>
        <v>69474.601384583468</v>
      </c>
      <c r="AR325" s="69"/>
      <c r="AS325" s="69">
        <f t="shared" si="383"/>
        <v>216495.11813813585</v>
      </c>
      <c r="AT325" s="69"/>
      <c r="AU325" s="69">
        <f t="shared" si="384"/>
        <v>74889.533551323068</v>
      </c>
      <c r="AV325" s="69"/>
      <c r="AW325" s="69">
        <f t="shared" si="385"/>
        <v>14916.605591395863</v>
      </c>
      <c r="AX325" s="69"/>
      <c r="AY325" s="69">
        <f t="shared" si="386"/>
        <v>29015.86293120839</v>
      </c>
      <c r="BA325" s="99">
        <f t="shared" si="311"/>
        <v>0</v>
      </c>
      <c r="BB325" s="82"/>
      <c r="BC325" s="82"/>
      <c r="BD325" s="82"/>
    </row>
    <row r="326" spans="1:56" x14ac:dyDescent="0.2">
      <c r="A326" s="121"/>
      <c r="B326" s="122"/>
      <c r="C326" s="116">
        <f>+'Rate base'!H77</f>
        <v>14538.395815705211</v>
      </c>
      <c r="D326" s="412">
        <v>348</v>
      </c>
      <c r="F326" s="120" t="s">
        <v>646</v>
      </c>
      <c r="G326" s="184"/>
      <c r="H326" s="75">
        <v>15</v>
      </c>
      <c r="I326"/>
      <c r="J326" s="305">
        <f t="shared" si="387"/>
        <v>14538.395815705211</v>
      </c>
      <c r="K326" s="177"/>
      <c r="L326" s="304">
        <f t="shared" si="371"/>
        <v>9948.6242566870769</v>
      </c>
      <c r="M326" s="177"/>
      <c r="N326" s="304">
        <f t="shared" si="372"/>
        <v>2688.1493863238939</v>
      </c>
      <c r="O326" s="177"/>
      <c r="P326" s="304">
        <f t="shared" si="373"/>
        <v>335.83694334279033</v>
      </c>
      <c r="Q326" s="177"/>
      <c r="R326" s="304">
        <f t="shared" si="374"/>
        <v>729.82746994840159</v>
      </c>
      <c r="S326" s="177"/>
      <c r="T326" s="304">
        <f t="shared" si="375"/>
        <v>188.99914560416772</v>
      </c>
      <c r="U326" s="177"/>
      <c r="V326" s="304">
        <f t="shared" si="376"/>
        <v>234.0681726328539</v>
      </c>
      <c r="W326" s="177"/>
      <c r="X326" s="304">
        <f t="shared" si="377"/>
        <v>412.89044116602804</v>
      </c>
      <c r="Y326" s="116"/>
      <c r="Z326" s="99">
        <f t="shared" si="341"/>
        <v>0</v>
      </c>
      <c r="AC326" s="120" t="s">
        <v>646</v>
      </c>
      <c r="AE326" s="154">
        <f t="shared" si="390"/>
        <v>15</v>
      </c>
      <c r="AG326" s="186">
        <f t="shared" si="391"/>
        <v>14538.395815705211</v>
      </c>
      <c r="AI326" s="70">
        <f t="shared" si="378"/>
        <v>3718.9216496573936</v>
      </c>
      <c r="AK326" s="70">
        <f t="shared" si="379"/>
        <v>2192.3900890083455</v>
      </c>
      <c r="AM326" s="70">
        <f t="shared" si="380"/>
        <v>468.1363452657078</v>
      </c>
      <c r="AO326" s="70">
        <f t="shared" si="381"/>
        <v>2398.8353095913599</v>
      </c>
      <c r="AQ326" s="70">
        <f t="shared" si="382"/>
        <v>988.61091546795444</v>
      </c>
      <c r="AS326" s="70">
        <f t="shared" si="383"/>
        <v>3080.6860733479343</v>
      </c>
      <c r="AU326" s="70">
        <f t="shared" si="384"/>
        <v>1065.664413291192</v>
      </c>
      <c r="AW326" s="70">
        <f t="shared" si="385"/>
        <v>212.26057890929607</v>
      </c>
      <c r="AY326" s="70">
        <f t="shared" si="386"/>
        <v>412.89044116602804</v>
      </c>
      <c r="BA326" s="99">
        <f t="shared" si="311"/>
        <v>0</v>
      </c>
      <c r="BB326" s="82"/>
      <c r="BC326" s="82"/>
      <c r="BD326" s="82"/>
    </row>
    <row r="327" spans="1:56" x14ac:dyDescent="0.2">
      <c r="A327" s="121"/>
      <c r="B327" s="122"/>
      <c r="C327" s="370"/>
      <c r="F327" s="120"/>
      <c r="G327" s="184"/>
      <c r="H327" s="75"/>
      <c r="I327"/>
      <c r="J327" s="232"/>
      <c r="K327" s="177"/>
      <c r="L327" s="83"/>
      <c r="M327" s="177"/>
      <c r="N327" s="83"/>
      <c r="O327" s="177"/>
      <c r="P327" s="83"/>
      <c r="Q327" s="177"/>
      <c r="R327" s="83"/>
      <c r="S327" s="177"/>
      <c r="T327" s="83"/>
      <c r="U327" s="177"/>
      <c r="V327" s="83"/>
      <c r="W327" s="177"/>
      <c r="X327" s="83"/>
      <c r="Z327" s="99">
        <f t="shared" si="341"/>
        <v>0</v>
      </c>
      <c r="AC327" s="120"/>
      <c r="AE327" s="154"/>
      <c r="AG327" s="297"/>
      <c r="AH327" s="84"/>
      <c r="AI327" s="83"/>
      <c r="AJ327" s="84"/>
      <c r="AK327" s="83"/>
      <c r="AL327" s="84"/>
      <c r="AM327" s="83"/>
      <c r="AN327" s="84"/>
      <c r="AO327" s="83"/>
      <c r="AP327" s="84"/>
      <c r="AQ327" s="83"/>
      <c r="AR327" s="84"/>
      <c r="AS327" s="83"/>
      <c r="AT327" s="84"/>
      <c r="AU327" s="83"/>
      <c r="AV327" s="84"/>
      <c r="AW327" s="83"/>
      <c r="AX327" s="84"/>
      <c r="AY327" s="83"/>
      <c r="BA327" s="99">
        <f t="shared" si="311"/>
        <v>0</v>
      </c>
      <c r="BB327" s="82"/>
      <c r="BC327" s="82"/>
      <c r="BD327" s="82"/>
    </row>
    <row r="328" spans="1:56" x14ac:dyDescent="0.2">
      <c r="A328" s="121"/>
      <c r="B328" s="122"/>
      <c r="C328" s="370"/>
      <c r="F328" t="s">
        <v>524</v>
      </c>
      <c r="G328" s="184"/>
      <c r="H328" s="75"/>
      <c r="I328"/>
      <c r="J328" s="231"/>
      <c r="K328"/>
      <c r="L328" s="231"/>
      <c r="M328"/>
      <c r="N328" s="231"/>
      <c r="O328"/>
      <c r="P328" s="231"/>
      <c r="Q328"/>
      <c r="R328" s="231"/>
      <c r="S328"/>
      <c r="T328" s="231"/>
      <c r="U328"/>
      <c r="V328" s="231"/>
      <c r="W328"/>
      <c r="X328" s="231"/>
      <c r="Z328" s="99">
        <f t="shared" si="341"/>
        <v>0</v>
      </c>
      <c r="AC328" t="s">
        <v>128</v>
      </c>
      <c r="AD328" s="184"/>
      <c r="AE328" s="75"/>
      <c r="AG328" s="231"/>
      <c r="AH328" s="84"/>
      <c r="AI328" s="83"/>
      <c r="AJ328" s="84"/>
      <c r="AK328" s="83"/>
      <c r="AL328" s="84"/>
      <c r="AM328" s="83"/>
      <c r="AN328" s="84"/>
      <c r="AO328" s="83"/>
      <c r="AP328" s="84"/>
      <c r="AQ328" s="83"/>
      <c r="AR328" s="84"/>
      <c r="AS328" s="83"/>
      <c r="AT328" s="84"/>
      <c r="AU328" s="83"/>
      <c r="AV328" s="84"/>
      <c r="AW328" s="83"/>
      <c r="AX328" s="84"/>
      <c r="AY328" s="83"/>
      <c r="BA328" s="99">
        <f t="shared" si="311"/>
        <v>0</v>
      </c>
      <c r="BB328" s="82"/>
      <c r="BC328" s="82"/>
      <c r="BD328" s="82"/>
    </row>
    <row r="329" spans="1:56" x14ac:dyDescent="0.2">
      <c r="A329" s="121"/>
      <c r="B329" s="122"/>
      <c r="C329" s="370"/>
      <c r="F329" t="s">
        <v>525</v>
      </c>
      <c r="G329" s="184"/>
      <c r="H329" s="75"/>
      <c r="I329"/>
      <c r="J329" s="231">
        <f>SUM(J278:J328)</f>
        <v>454931083.35827643</v>
      </c>
      <c r="K329"/>
      <c r="L329" s="231">
        <f>SUM(L278:L328)</f>
        <v>231845676.31114137</v>
      </c>
      <c r="M329"/>
      <c r="N329" s="231">
        <f>SUM(N278:N328)</f>
        <v>118933149.34094656</v>
      </c>
      <c r="O329"/>
      <c r="P329" s="231">
        <f>SUM(P278:P328)</f>
        <v>17715987.577143736</v>
      </c>
      <c r="Q329"/>
      <c r="R329" s="231">
        <f>SUM(R278:R328)</f>
        <v>35397847.85808713</v>
      </c>
      <c r="S329"/>
      <c r="T329" s="231">
        <f>SUM(T278:T328)</f>
        <v>9360413.3678298239</v>
      </c>
      <c r="U329"/>
      <c r="V329" s="231">
        <f>SUM(V278:V328)</f>
        <v>13804232.843859298</v>
      </c>
      <c r="W329"/>
      <c r="X329" s="231">
        <f>SUM(X278:X328)</f>
        <v>27873776.059268553</v>
      </c>
      <c r="Z329" s="99">
        <f t="shared" si="341"/>
        <v>0</v>
      </c>
      <c r="AC329" t="s">
        <v>129</v>
      </c>
      <c r="AD329" s="184"/>
      <c r="AE329" s="75"/>
      <c r="AG329" s="231">
        <f>SUM(AG278:AG328)</f>
        <v>454931083.35827643</v>
      </c>
      <c r="AI329" s="231">
        <f>SUM(AI278:AI328)</f>
        <v>193833261.07035339</v>
      </c>
      <c r="AK329" s="231">
        <f>SUM(AK278:AK328)</f>
        <v>119662526.1503654</v>
      </c>
      <c r="AM329" s="231">
        <f>SUM(AM278:AM328)</f>
        <v>50128756.656252429</v>
      </c>
      <c r="AO329" s="231">
        <f>SUM(AO278:AO328)</f>
        <v>29259276.866728775</v>
      </c>
      <c r="AQ329" s="231">
        <f>SUM(AQ278:AQ328)</f>
        <v>10287462.950298749</v>
      </c>
      <c r="AS329" s="231">
        <f>SUM(AS278:AS328)</f>
        <v>8386532.4606479686</v>
      </c>
      <c r="AU329" s="231">
        <f>SUM(AU278:AU328)</f>
        <v>2193350.5832411451</v>
      </c>
      <c r="AW329" s="231">
        <f>SUM(AW278:AW328)</f>
        <v>13546345.977709956</v>
      </c>
      <c r="AY329" s="231">
        <f>SUM(AY278:AY328)</f>
        <v>27633570.642678652</v>
      </c>
      <c r="BA329" s="99">
        <f t="shared" si="311"/>
        <v>0</v>
      </c>
      <c r="BB329" s="82"/>
      <c r="BC329" s="82"/>
      <c r="BD329" s="82"/>
    </row>
    <row r="330" spans="1:56" x14ac:dyDescent="0.2">
      <c r="A330" s="121"/>
      <c r="B330" s="122"/>
      <c r="C330" s="370"/>
      <c r="F330"/>
      <c r="G330" s="184"/>
      <c r="H330" s="75"/>
      <c r="I330"/>
      <c r="J330" s="174"/>
      <c r="K330" s="177"/>
      <c r="L330" s="83"/>
      <c r="M330" s="109"/>
      <c r="N330" s="83"/>
      <c r="O330" s="109"/>
      <c r="P330" s="83"/>
      <c r="Q330" s="109"/>
      <c r="R330" s="83"/>
      <c r="S330" s="109"/>
      <c r="T330" s="83"/>
      <c r="U330" s="109"/>
      <c r="V330" s="83"/>
      <c r="W330" s="109"/>
      <c r="X330" s="83"/>
      <c r="Z330" s="99">
        <f t="shared" si="341"/>
        <v>0</v>
      </c>
      <c r="AC330"/>
      <c r="AE330" s="154"/>
      <c r="AG330" s="297"/>
      <c r="AH330" s="84"/>
      <c r="AI330" s="83"/>
      <c r="AJ330" s="83"/>
      <c r="AK330" s="83"/>
      <c r="AL330" s="83"/>
      <c r="AM330" s="83"/>
      <c r="AN330" s="83"/>
      <c r="AO330" s="83"/>
      <c r="AP330" s="83"/>
      <c r="AQ330" s="83"/>
      <c r="AR330" s="83"/>
      <c r="AS330" s="83"/>
      <c r="AT330" s="83"/>
      <c r="AU330" s="83"/>
      <c r="AV330" s="83"/>
      <c r="AW330" s="83"/>
      <c r="AX330" s="83"/>
      <c r="AY330" s="83"/>
      <c r="BA330" s="99">
        <f t="shared" si="311"/>
        <v>0</v>
      </c>
      <c r="BB330" s="82"/>
      <c r="BC330" s="82"/>
      <c r="BD330" s="82"/>
    </row>
    <row r="331" spans="1:56" x14ac:dyDescent="0.2">
      <c r="A331" s="121"/>
      <c r="B331" s="122"/>
      <c r="C331" s="370"/>
      <c r="F331" s="309" t="s">
        <v>130</v>
      </c>
      <c r="G331" s="184"/>
      <c r="H331" s="75"/>
      <c r="I331"/>
      <c r="J331" s="174"/>
      <c r="K331" s="177"/>
      <c r="L331" s="83"/>
      <c r="M331" s="109"/>
      <c r="N331" s="83"/>
      <c r="O331" s="109"/>
      <c r="P331" s="83"/>
      <c r="Q331" s="109"/>
      <c r="R331" s="83"/>
      <c r="S331" s="109"/>
      <c r="T331" s="83"/>
      <c r="U331" s="109"/>
      <c r="V331" s="83"/>
      <c r="W331" s="109"/>
      <c r="X331" s="83"/>
      <c r="Z331" s="99">
        <f t="shared" si="341"/>
        <v>0</v>
      </c>
      <c r="AC331" s="309" t="s">
        <v>130</v>
      </c>
      <c r="AE331" s="154"/>
      <c r="AG331" s="297"/>
      <c r="AH331" s="84"/>
      <c r="AI331" s="83"/>
      <c r="AJ331" s="83"/>
      <c r="AK331" s="83"/>
      <c r="AL331" s="83"/>
      <c r="AM331" s="83"/>
      <c r="AN331" s="83"/>
      <c r="AO331" s="83"/>
      <c r="AP331" s="83"/>
      <c r="AQ331" s="83"/>
      <c r="AR331" s="83"/>
      <c r="AS331" s="83"/>
      <c r="AT331" s="83"/>
      <c r="AU331" s="83"/>
      <c r="AV331" s="83"/>
      <c r="AW331" s="83"/>
      <c r="AX331" s="83"/>
      <c r="AY331" s="83"/>
      <c r="BA331" s="99">
        <f t="shared" si="311"/>
        <v>0</v>
      </c>
      <c r="BB331" s="82"/>
      <c r="BC331" s="82"/>
      <c r="BD331" s="82"/>
    </row>
    <row r="332" spans="1:56" x14ac:dyDescent="0.2">
      <c r="A332" s="121"/>
      <c r="B332" s="122"/>
      <c r="C332" s="370"/>
      <c r="F332" s="310" t="s">
        <v>131</v>
      </c>
      <c r="G332" s="184"/>
      <c r="H332" s="75">
        <v>17</v>
      </c>
      <c r="I332"/>
      <c r="J332" s="231"/>
      <c r="K332" s="177"/>
      <c r="L332" s="115">
        <f t="shared" ref="L332:L348" si="392">(VLOOKUP($H332,Factors,L$381))*$J332</f>
        <v>0</v>
      </c>
      <c r="M332" s="230"/>
      <c r="N332" s="115">
        <f t="shared" ref="N332:N348" si="393">(VLOOKUP($H332,Factors,N$381))*$J332</f>
        <v>0</v>
      </c>
      <c r="O332" s="230"/>
      <c r="P332" s="115">
        <f t="shared" ref="P332:P348" si="394">(VLOOKUP($H332,Factors,P$381))*$J332</f>
        <v>0</v>
      </c>
      <c r="Q332" s="230"/>
      <c r="R332" s="115">
        <f t="shared" ref="R332:R348" si="395">(VLOOKUP($H332,Factors,R$381))*$J332</f>
        <v>0</v>
      </c>
      <c r="S332" s="230"/>
      <c r="T332" s="115">
        <f t="shared" ref="T332:T348" si="396">(VLOOKUP($H332,Factors,T$381))*$J332</f>
        <v>0</v>
      </c>
      <c r="U332" s="230"/>
      <c r="V332" s="115">
        <f t="shared" ref="V332:V348" si="397">(VLOOKUP($H332,Factors,V$381))*$J332</f>
        <v>0</v>
      </c>
      <c r="W332" s="230"/>
      <c r="X332" s="115">
        <f t="shared" ref="X332:X348" si="398">(VLOOKUP($H332,Factors,X$381))*$J332</f>
        <v>0</v>
      </c>
      <c r="Y332" s="116"/>
      <c r="Z332" s="99">
        <f t="shared" si="341"/>
        <v>0</v>
      </c>
      <c r="AC332" s="310" t="s">
        <v>131</v>
      </c>
      <c r="AE332" s="154">
        <f t="shared" ref="AE332:AE348" si="399">+H332</f>
        <v>17</v>
      </c>
      <c r="AG332" s="82">
        <f t="shared" ref="AG332:AG348" si="400">+J332</f>
        <v>0</v>
      </c>
      <c r="AI332" s="69">
        <f t="shared" ref="AI332:AI348" si="401">(VLOOKUP($AE332,func,AI$381))*$AG332</f>
        <v>0</v>
      </c>
      <c r="AJ332" s="69"/>
      <c r="AK332" s="69">
        <f t="shared" ref="AK332:AK348" si="402">(VLOOKUP($AE332,func,AK$381))*$AG332</f>
        <v>0</v>
      </c>
      <c r="AL332" s="69"/>
      <c r="AM332" s="69">
        <f t="shared" ref="AM332:AM348" si="403">(VLOOKUP($AE332,func,AM$381))*$AG332</f>
        <v>0</v>
      </c>
      <c r="AN332" s="69"/>
      <c r="AO332" s="69">
        <f t="shared" ref="AO332:AO348" si="404">(VLOOKUP($AE332,func,AO$381))*$AG332</f>
        <v>0</v>
      </c>
      <c r="AP332" s="69"/>
      <c r="AQ332" s="69">
        <f t="shared" ref="AQ332:AQ348" si="405">(VLOOKUP($AE332,func,AQ$381))*$AG332</f>
        <v>0</v>
      </c>
      <c r="AR332" s="69"/>
      <c r="AS332" s="69">
        <f t="shared" ref="AS332:AS348" si="406">(VLOOKUP($AE332,func,AS$381))*$AG332</f>
        <v>0</v>
      </c>
      <c r="AT332" s="69"/>
      <c r="AU332" s="69">
        <f t="shared" ref="AU332:AU348" si="407">(VLOOKUP($AE332,func,AU$381))*$AG332</f>
        <v>0</v>
      </c>
      <c r="AV332" s="69"/>
      <c r="AW332" s="69">
        <f t="shared" ref="AW332:AW348" si="408">(VLOOKUP($AE332,func,AW$381))*$AG332</f>
        <v>0</v>
      </c>
      <c r="AX332" s="69"/>
      <c r="AY332" s="69">
        <f t="shared" ref="AY332:AY348" si="409">(VLOOKUP($AE332,func,AY$381))*$AG332</f>
        <v>0</v>
      </c>
      <c r="BA332" s="99">
        <f t="shared" si="311"/>
        <v>0</v>
      </c>
      <c r="BB332" s="82"/>
      <c r="BC332" s="82"/>
      <c r="BD332" s="82"/>
    </row>
    <row r="333" spans="1:56" x14ac:dyDescent="0.2">
      <c r="A333" s="121"/>
      <c r="B333" s="116"/>
      <c r="C333" s="116">
        <f>+'[8]Sch B-4'!$J261</f>
        <v>3483151</v>
      </c>
      <c r="F333" s="310" t="s">
        <v>132</v>
      </c>
      <c r="G333" s="184"/>
      <c r="H333" s="75">
        <v>2</v>
      </c>
      <c r="I333"/>
      <c r="J333" s="231">
        <f>+C333</f>
        <v>3483151</v>
      </c>
      <c r="K333" s="177"/>
      <c r="L333" s="115">
        <f t="shared" si="392"/>
        <v>1783024.9969000001</v>
      </c>
      <c r="M333" s="230"/>
      <c r="N333" s="115">
        <f t="shared" si="393"/>
        <v>1066192.5211</v>
      </c>
      <c r="O333" s="230"/>
      <c r="P333" s="115">
        <f t="shared" si="394"/>
        <v>171022.71409999998</v>
      </c>
      <c r="Q333" s="230"/>
      <c r="R333" s="115">
        <f t="shared" si="395"/>
        <v>339258.90739999997</v>
      </c>
      <c r="S333" s="230"/>
      <c r="T333" s="115">
        <f t="shared" si="396"/>
        <v>111460.83200000001</v>
      </c>
      <c r="U333" s="230"/>
      <c r="V333" s="115">
        <f t="shared" si="397"/>
        <v>5573.0416000000005</v>
      </c>
      <c r="W333" s="230"/>
      <c r="X333" s="115">
        <f t="shared" si="398"/>
        <v>6617.9868999999999</v>
      </c>
      <c r="Y333" s="116"/>
      <c r="Z333" s="99">
        <f t="shared" si="341"/>
        <v>0</v>
      </c>
      <c r="AC333" s="310" t="s">
        <v>132</v>
      </c>
      <c r="AE333" s="154">
        <f t="shared" si="399"/>
        <v>2</v>
      </c>
      <c r="AG333" s="82">
        <f t="shared" si="400"/>
        <v>3483151</v>
      </c>
      <c r="AH333" s="481"/>
      <c r="AI333" s="69">
        <f t="shared" si="401"/>
        <v>1978081.4528999999</v>
      </c>
      <c r="AJ333" s="69"/>
      <c r="AK333" s="69">
        <f t="shared" si="402"/>
        <v>1492878.5185999998</v>
      </c>
      <c r="AL333" s="69"/>
      <c r="AM333" s="69">
        <f t="shared" si="403"/>
        <v>0</v>
      </c>
      <c r="AN333" s="69"/>
      <c r="AO333" s="69">
        <f t="shared" si="404"/>
        <v>0</v>
      </c>
      <c r="AP333" s="69"/>
      <c r="AQ333" s="69">
        <f t="shared" si="405"/>
        <v>0</v>
      </c>
      <c r="AR333" s="69"/>
      <c r="AS333" s="69">
        <f t="shared" si="406"/>
        <v>0</v>
      </c>
      <c r="AT333" s="69"/>
      <c r="AU333" s="69">
        <f t="shared" si="407"/>
        <v>0</v>
      </c>
      <c r="AV333" s="69"/>
      <c r="AW333" s="69">
        <f t="shared" si="408"/>
        <v>5573.0416000000005</v>
      </c>
      <c r="AX333" s="69"/>
      <c r="AY333" s="69">
        <f t="shared" si="409"/>
        <v>6617.9868999999999</v>
      </c>
      <c r="AZ333" s="481"/>
      <c r="BA333" s="99">
        <f t="shared" ref="BA333:BA341" si="410">SUM(AI333:AY333)-AG333</f>
        <v>0</v>
      </c>
      <c r="BB333" s="82"/>
      <c r="BC333" s="82"/>
      <c r="BD333" s="82"/>
    </row>
    <row r="334" spans="1:56" x14ac:dyDescent="0.2">
      <c r="A334" s="121"/>
      <c r="B334" s="116"/>
      <c r="C334" s="116">
        <f>+'[8]Sch B-4'!$J262</f>
        <v>0</v>
      </c>
      <c r="F334" s="310" t="s">
        <v>133</v>
      </c>
      <c r="G334" s="483"/>
      <c r="H334" s="75">
        <v>3</v>
      </c>
      <c r="I334"/>
      <c r="J334" s="231">
        <f t="shared" ref="J334:J348" si="411">+C334</f>
        <v>0</v>
      </c>
      <c r="K334" s="177"/>
      <c r="L334" s="115">
        <f t="shared" si="392"/>
        <v>0</v>
      </c>
      <c r="M334" s="230"/>
      <c r="N334" s="115">
        <f t="shared" si="393"/>
        <v>0</v>
      </c>
      <c r="O334" s="230"/>
      <c r="P334" s="115">
        <f t="shared" si="394"/>
        <v>0</v>
      </c>
      <c r="Q334" s="230"/>
      <c r="R334" s="115">
        <f t="shared" si="395"/>
        <v>0</v>
      </c>
      <c r="S334" s="230"/>
      <c r="T334" s="115">
        <f t="shared" si="396"/>
        <v>0</v>
      </c>
      <c r="U334" s="230"/>
      <c r="V334" s="115">
        <f t="shared" si="397"/>
        <v>0</v>
      </c>
      <c r="W334" s="230"/>
      <c r="X334" s="115">
        <f t="shared" si="398"/>
        <v>0</v>
      </c>
      <c r="Y334" s="116"/>
      <c r="Z334" s="99">
        <f t="shared" si="341"/>
        <v>0</v>
      </c>
      <c r="AC334" s="482" t="s">
        <v>133</v>
      </c>
      <c r="AE334" s="154">
        <f t="shared" si="399"/>
        <v>3</v>
      </c>
      <c r="AG334" s="82">
        <f t="shared" si="400"/>
        <v>0</v>
      </c>
      <c r="AH334" s="481"/>
      <c r="AI334" s="69">
        <f t="shared" si="401"/>
        <v>0</v>
      </c>
      <c r="AJ334" s="69"/>
      <c r="AK334" s="69">
        <f t="shared" si="402"/>
        <v>0</v>
      </c>
      <c r="AL334" s="69"/>
      <c r="AM334" s="69">
        <f t="shared" si="403"/>
        <v>0</v>
      </c>
      <c r="AN334" s="69"/>
      <c r="AO334" s="69">
        <f t="shared" si="404"/>
        <v>0</v>
      </c>
      <c r="AP334" s="69"/>
      <c r="AQ334" s="69">
        <f t="shared" si="405"/>
        <v>0</v>
      </c>
      <c r="AR334" s="69"/>
      <c r="AS334" s="69">
        <f t="shared" si="406"/>
        <v>0</v>
      </c>
      <c r="AT334" s="69"/>
      <c r="AU334" s="69">
        <f t="shared" si="407"/>
        <v>0</v>
      </c>
      <c r="AV334" s="69"/>
      <c r="AW334" s="69">
        <f t="shared" si="408"/>
        <v>0</v>
      </c>
      <c r="AX334" s="69"/>
      <c r="AY334" s="69">
        <f t="shared" si="409"/>
        <v>0</v>
      </c>
      <c r="AZ334" s="481"/>
      <c r="BA334" s="99">
        <f t="shared" si="410"/>
        <v>0</v>
      </c>
      <c r="BB334" s="82"/>
      <c r="BC334" s="82"/>
      <c r="BD334" s="82"/>
    </row>
    <row r="335" spans="1:56" x14ac:dyDescent="0.2">
      <c r="A335" s="121"/>
      <c r="B335" s="370"/>
      <c r="C335" s="116">
        <f>+'[8]Sch B-4'!$J263</f>
        <v>0</v>
      </c>
      <c r="F335" s="310" t="s">
        <v>134</v>
      </c>
      <c r="G335" s="184"/>
      <c r="H335" s="75">
        <v>5</v>
      </c>
      <c r="I335"/>
      <c r="J335" s="231">
        <f t="shared" si="411"/>
        <v>0</v>
      </c>
      <c r="K335" s="177"/>
      <c r="L335" s="115">
        <f t="shared" si="392"/>
        <v>0</v>
      </c>
      <c r="M335" s="230"/>
      <c r="N335" s="115">
        <f t="shared" si="393"/>
        <v>0</v>
      </c>
      <c r="O335" s="230"/>
      <c r="P335" s="115">
        <f t="shared" si="394"/>
        <v>0</v>
      </c>
      <c r="Q335" s="230"/>
      <c r="R335" s="115">
        <f t="shared" si="395"/>
        <v>0</v>
      </c>
      <c r="S335" s="230"/>
      <c r="T335" s="115">
        <f t="shared" si="396"/>
        <v>0</v>
      </c>
      <c r="U335" s="230"/>
      <c r="V335" s="115">
        <f t="shared" si="397"/>
        <v>0</v>
      </c>
      <c r="W335" s="230"/>
      <c r="X335" s="115">
        <f t="shared" si="398"/>
        <v>0</v>
      </c>
      <c r="Y335" s="116"/>
      <c r="Z335" s="99">
        <f t="shared" si="341"/>
        <v>0</v>
      </c>
      <c r="AC335" s="310" t="s">
        <v>134</v>
      </c>
      <c r="AE335" s="154">
        <f t="shared" si="399"/>
        <v>5</v>
      </c>
      <c r="AG335" s="82">
        <f t="shared" si="400"/>
        <v>0</v>
      </c>
      <c r="AH335" s="481"/>
      <c r="AI335" s="69">
        <f t="shared" si="401"/>
        <v>0</v>
      </c>
      <c r="AJ335" s="69"/>
      <c r="AK335" s="69">
        <f t="shared" si="402"/>
        <v>0</v>
      </c>
      <c r="AL335" s="69"/>
      <c r="AM335" s="69">
        <f t="shared" si="403"/>
        <v>0</v>
      </c>
      <c r="AN335" s="69"/>
      <c r="AO335" s="69">
        <f t="shared" si="404"/>
        <v>0</v>
      </c>
      <c r="AP335" s="69"/>
      <c r="AQ335" s="69">
        <f t="shared" si="405"/>
        <v>0</v>
      </c>
      <c r="AR335" s="69"/>
      <c r="AS335" s="69">
        <f t="shared" si="406"/>
        <v>0</v>
      </c>
      <c r="AT335" s="69"/>
      <c r="AU335" s="69">
        <f t="shared" si="407"/>
        <v>0</v>
      </c>
      <c r="AV335" s="69"/>
      <c r="AW335" s="69">
        <f t="shared" si="408"/>
        <v>0</v>
      </c>
      <c r="AX335" s="69"/>
      <c r="AY335" s="69">
        <f t="shared" si="409"/>
        <v>0</v>
      </c>
      <c r="AZ335" s="481"/>
      <c r="BA335" s="99">
        <f t="shared" si="410"/>
        <v>0</v>
      </c>
      <c r="BB335" s="82"/>
      <c r="BC335" s="82"/>
      <c r="BD335" s="82"/>
    </row>
    <row r="336" spans="1:56" s="509" customFormat="1" x14ac:dyDescent="0.2">
      <c r="A336" s="510"/>
      <c r="B336" s="511"/>
      <c r="C336" s="116">
        <f>+'[8]Sch B-4'!$J264</f>
        <v>2168171</v>
      </c>
      <c r="D336" s="412"/>
      <c r="E336" s="116"/>
      <c r="F336" s="310" t="s">
        <v>135</v>
      </c>
      <c r="G336" s="63"/>
      <c r="H336" s="75">
        <v>4</v>
      </c>
      <c r="J336" s="231">
        <f t="shared" si="411"/>
        <v>2168171</v>
      </c>
      <c r="K336" s="84"/>
      <c r="L336" s="179">
        <f t="shared" si="392"/>
        <v>1017305.8332</v>
      </c>
      <c r="M336" s="116"/>
      <c r="N336" s="179">
        <f t="shared" si="393"/>
        <v>615977.3811</v>
      </c>
      <c r="O336" s="116"/>
      <c r="P336" s="179">
        <f t="shared" si="394"/>
        <v>85209.12030000001</v>
      </c>
      <c r="Q336" s="116"/>
      <c r="R336" s="179">
        <f t="shared" si="395"/>
        <v>161095.10530000002</v>
      </c>
      <c r="S336" s="116"/>
      <c r="T336" s="179">
        <f t="shared" si="396"/>
        <v>0</v>
      </c>
      <c r="U336" s="116"/>
      <c r="V336" s="179">
        <f t="shared" si="397"/>
        <v>133342.5165</v>
      </c>
      <c r="W336" s="116"/>
      <c r="X336" s="179">
        <f t="shared" si="398"/>
        <v>155241.04360000003</v>
      </c>
      <c r="Y336" s="116"/>
      <c r="Z336" s="99">
        <f t="shared" si="341"/>
        <v>0</v>
      </c>
      <c r="AC336" s="310" t="s">
        <v>135</v>
      </c>
      <c r="AE336" s="154">
        <f t="shared" si="399"/>
        <v>4</v>
      </c>
      <c r="AG336" s="82">
        <f t="shared" si="400"/>
        <v>2168171</v>
      </c>
      <c r="AI336" s="182">
        <f t="shared" si="401"/>
        <v>749103.08050000004</v>
      </c>
      <c r="AJ336" s="182"/>
      <c r="AK336" s="182">
        <f t="shared" si="402"/>
        <v>0</v>
      </c>
      <c r="AL336" s="182"/>
      <c r="AM336" s="182">
        <f t="shared" si="403"/>
        <v>1130484.3594</v>
      </c>
      <c r="AN336" s="182"/>
      <c r="AO336" s="182">
        <f t="shared" si="404"/>
        <v>0</v>
      </c>
      <c r="AP336" s="182"/>
      <c r="AQ336" s="182">
        <f t="shared" si="405"/>
        <v>0</v>
      </c>
      <c r="AR336" s="182"/>
      <c r="AS336" s="182">
        <f t="shared" si="406"/>
        <v>0</v>
      </c>
      <c r="AT336" s="182"/>
      <c r="AU336" s="182">
        <f t="shared" si="407"/>
        <v>0</v>
      </c>
      <c r="AV336" s="182"/>
      <c r="AW336" s="182">
        <f t="shared" si="408"/>
        <v>133342.5165</v>
      </c>
      <c r="AX336" s="182"/>
      <c r="AY336" s="182">
        <f t="shared" si="409"/>
        <v>155241.04360000003</v>
      </c>
      <c r="BA336" s="99">
        <f t="shared" si="410"/>
        <v>0</v>
      </c>
      <c r="BB336" s="82"/>
      <c r="BC336" s="82"/>
      <c r="BD336" s="82"/>
    </row>
    <row r="337" spans="1:56" s="480" customFormat="1" x14ac:dyDescent="0.2">
      <c r="A337" s="121"/>
      <c r="B337" s="122"/>
      <c r="C337" s="116">
        <f>+'[8]Sch B-4'!$J265</f>
        <v>719327</v>
      </c>
      <c r="D337" s="412"/>
      <c r="E337" s="116"/>
      <c r="F337" s="310" t="s">
        <v>898</v>
      </c>
      <c r="G337" s="184"/>
      <c r="H337" s="75">
        <v>6</v>
      </c>
      <c r="J337" s="231">
        <f t="shared" si="411"/>
        <v>719327</v>
      </c>
      <c r="K337" s="177"/>
      <c r="L337" s="115">
        <f t="shared" si="392"/>
        <v>350743.84520000004</v>
      </c>
      <c r="M337" s="230"/>
      <c r="N337" s="115">
        <f t="shared" si="393"/>
        <v>210403.14749999999</v>
      </c>
      <c r="O337" s="230"/>
      <c r="P337" s="115">
        <f t="shared" si="394"/>
        <v>32513.580399999999</v>
      </c>
      <c r="Q337" s="230"/>
      <c r="R337" s="115">
        <f t="shared" si="395"/>
        <v>63948.170300000005</v>
      </c>
      <c r="S337" s="230"/>
      <c r="T337" s="115">
        <f t="shared" si="396"/>
        <v>16328.722899999999</v>
      </c>
      <c r="U337" s="230"/>
      <c r="V337" s="115">
        <f t="shared" si="397"/>
        <v>21004.348399999999</v>
      </c>
      <c r="W337" s="230"/>
      <c r="X337" s="115">
        <f t="shared" si="398"/>
        <v>24385.185300000001</v>
      </c>
      <c r="Y337" s="116"/>
      <c r="Z337" s="99">
        <f t="shared" ref="Z337" si="412">SUM(L337:X337)-J337</f>
        <v>0</v>
      </c>
      <c r="AC337" s="310" t="s">
        <v>898</v>
      </c>
      <c r="AE337" s="154">
        <f t="shared" si="399"/>
        <v>6</v>
      </c>
      <c r="AG337" s="82">
        <f t="shared" si="400"/>
        <v>719327</v>
      </c>
      <c r="AH337" s="481"/>
      <c r="AI337" s="69">
        <f t="shared" si="401"/>
        <v>355948.60764120001</v>
      </c>
      <c r="AJ337" s="69"/>
      <c r="AK337" s="69">
        <f t="shared" si="402"/>
        <v>219250.86960000001</v>
      </c>
      <c r="AL337" s="69"/>
      <c r="AM337" s="69">
        <f t="shared" si="403"/>
        <v>98715.028140959999</v>
      </c>
      <c r="AN337" s="69"/>
      <c r="AO337" s="69">
        <f t="shared" si="404"/>
        <v>0</v>
      </c>
      <c r="AP337" s="69"/>
      <c r="AQ337" s="69">
        <f t="shared" si="405"/>
        <v>0</v>
      </c>
      <c r="AR337" s="69"/>
      <c r="AS337" s="69">
        <f t="shared" si="406"/>
        <v>0</v>
      </c>
      <c r="AT337" s="69"/>
      <c r="AU337" s="69">
        <f t="shared" si="407"/>
        <v>0</v>
      </c>
      <c r="AV337" s="69"/>
      <c r="AW337" s="69">
        <f t="shared" si="408"/>
        <v>20994.853283599998</v>
      </c>
      <c r="AX337" s="69"/>
      <c r="AY337" s="69">
        <f t="shared" si="409"/>
        <v>24417.641334240001</v>
      </c>
      <c r="AZ337" s="481"/>
      <c r="BA337" s="99">
        <f t="shared" si="410"/>
        <v>0</v>
      </c>
      <c r="BB337" s="82"/>
      <c r="BC337" s="82"/>
      <c r="BD337" s="82"/>
    </row>
    <row r="338" spans="1:56" x14ac:dyDescent="0.2">
      <c r="A338" s="121"/>
      <c r="B338" s="122"/>
      <c r="C338" s="116">
        <f>+'[8]Sch B-4'!$J266</f>
        <v>31550</v>
      </c>
      <c r="F338" s="310" t="s">
        <v>136</v>
      </c>
      <c r="G338" s="184"/>
      <c r="H338" s="75">
        <v>9</v>
      </c>
      <c r="I338"/>
      <c r="J338" s="231">
        <f t="shared" si="411"/>
        <v>31550</v>
      </c>
      <c r="K338" s="177"/>
      <c r="L338" s="115">
        <f t="shared" si="392"/>
        <v>26170.725000000002</v>
      </c>
      <c r="M338" s="230"/>
      <c r="N338" s="115">
        <f t="shared" si="393"/>
        <v>4076.26</v>
      </c>
      <c r="O338" s="230"/>
      <c r="P338" s="115">
        <f t="shared" si="394"/>
        <v>123.04499999999999</v>
      </c>
      <c r="Q338" s="230"/>
      <c r="R338" s="115">
        <f t="shared" si="395"/>
        <v>731.95999999999992</v>
      </c>
      <c r="S338" s="230"/>
      <c r="T338" s="115">
        <f t="shared" si="396"/>
        <v>72.564999999999998</v>
      </c>
      <c r="U338" s="230"/>
      <c r="V338" s="115">
        <f t="shared" si="397"/>
        <v>375.44500000000005</v>
      </c>
      <c r="W338" s="230"/>
      <c r="X338" s="115">
        <f t="shared" si="398"/>
        <v>0</v>
      </c>
      <c r="Y338" s="116"/>
      <c r="Z338" s="99">
        <f t="shared" si="341"/>
        <v>0</v>
      </c>
      <c r="AC338" s="310" t="s">
        <v>136</v>
      </c>
      <c r="AE338" s="154">
        <f t="shared" si="399"/>
        <v>9</v>
      </c>
      <c r="AG338" s="82">
        <f t="shared" si="400"/>
        <v>31550</v>
      </c>
      <c r="AH338" s="481"/>
      <c r="AI338" s="69">
        <f t="shared" si="401"/>
        <v>0</v>
      </c>
      <c r="AJ338" s="69"/>
      <c r="AK338" s="69">
        <f t="shared" si="402"/>
        <v>0</v>
      </c>
      <c r="AL338" s="69"/>
      <c r="AM338" s="69">
        <f t="shared" si="403"/>
        <v>0</v>
      </c>
      <c r="AN338" s="69"/>
      <c r="AO338" s="69">
        <f t="shared" si="404"/>
        <v>31174.555</v>
      </c>
      <c r="AP338" s="69"/>
      <c r="AQ338" s="69">
        <f t="shared" si="405"/>
        <v>0</v>
      </c>
      <c r="AR338" s="69"/>
      <c r="AS338" s="69">
        <f t="shared" si="406"/>
        <v>0</v>
      </c>
      <c r="AT338" s="69"/>
      <c r="AU338" s="69">
        <f t="shared" si="407"/>
        <v>0</v>
      </c>
      <c r="AV338" s="69"/>
      <c r="AW338" s="69">
        <f t="shared" si="408"/>
        <v>375.44500000000005</v>
      </c>
      <c r="AX338" s="69"/>
      <c r="AY338" s="69">
        <f t="shared" si="409"/>
        <v>0</v>
      </c>
      <c r="AZ338" s="481"/>
      <c r="BA338" s="99">
        <f t="shared" si="410"/>
        <v>0</v>
      </c>
      <c r="BB338" s="82"/>
      <c r="BC338" s="82"/>
      <c r="BD338" s="82"/>
    </row>
    <row r="339" spans="1:56" x14ac:dyDescent="0.2">
      <c r="A339" s="121"/>
      <c r="B339" s="122"/>
      <c r="C339" s="116">
        <f>+'[8]Sch B-4'!$J267</f>
        <v>217</v>
      </c>
      <c r="F339" s="310" t="s">
        <v>137</v>
      </c>
      <c r="G339" s="184"/>
      <c r="H339" s="75">
        <v>10</v>
      </c>
      <c r="I339"/>
      <c r="J339" s="231">
        <f t="shared" si="411"/>
        <v>217</v>
      </c>
      <c r="K339" s="177"/>
      <c r="L339" s="115">
        <f t="shared" si="392"/>
        <v>179.0684</v>
      </c>
      <c r="M339" s="230"/>
      <c r="N339" s="115">
        <f t="shared" si="393"/>
        <v>24.195499999999999</v>
      </c>
      <c r="O339" s="230"/>
      <c r="P339" s="115">
        <f t="shared" si="394"/>
        <v>0.23870000000000002</v>
      </c>
      <c r="Q339" s="230"/>
      <c r="R339" s="115">
        <f t="shared" si="395"/>
        <v>2.9077999999999999</v>
      </c>
      <c r="S339" s="230"/>
      <c r="T339" s="115">
        <f t="shared" si="396"/>
        <v>0.13019999999999998</v>
      </c>
      <c r="U339" s="230"/>
      <c r="V339" s="115">
        <f t="shared" si="397"/>
        <v>10.4594</v>
      </c>
      <c r="W339" s="230"/>
      <c r="X339" s="115">
        <f t="shared" si="398"/>
        <v>0</v>
      </c>
      <c r="Y339" s="116"/>
      <c r="Z339" s="99">
        <f t="shared" si="341"/>
        <v>0</v>
      </c>
      <c r="AC339" s="310" t="s">
        <v>137</v>
      </c>
      <c r="AE339" s="154">
        <f t="shared" si="399"/>
        <v>10</v>
      </c>
      <c r="AG339" s="82">
        <f t="shared" si="400"/>
        <v>217</v>
      </c>
      <c r="AH339" s="481"/>
      <c r="AI339" s="69">
        <f t="shared" si="401"/>
        <v>0</v>
      </c>
      <c r="AJ339" s="69"/>
      <c r="AK339" s="69">
        <f t="shared" si="402"/>
        <v>0</v>
      </c>
      <c r="AL339" s="69"/>
      <c r="AM339" s="69">
        <f t="shared" si="403"/>
        <v>0</v>
      </c>
      <c r="AN339" s="69"/>
      <c r="AO339" s="69">
        <f t="shared" si="404"/>
        <v>0</v>
      </c>
      <c r="AP339" s="69"/>
      <c r="AQ339" s="69">
        <f t="shared" si="405"/>
        <v>206.54059999999998</v>
      </c>
      <c r="AR339" s="69"/>
      <c r="AS339" s="69">
        <f t="shared" si="406"/>
        <v>0</v>
      </c>
      <c r="AT339" s="69"/>
      <c r="AU339" s="69">
        <f t="shared" si="407"/>
        <v>0</v>
      </c>
      <c r="AV339" s="69"/>
      <c r="AW339" s="69">
        <f t="shared" si="408"/>
        <v>10.4594</v>
      </c>
      <c r="AX339" s="69"/>
      <c r="AY339" s="69">
        <f t="shared" si="409"/>
        <v>0</v>
      </c>
      <c r="AZ339" s="481"/>
      <c r="BA339" s="99">
        <f t="shared" si="410"/>
        <v>0</v>
      </c>
      <c r="BB339" s="82"/>
      <c r="BC339" s="82"/>
      <c r="BD339" s="82"/>
    </row>
    <row r="340" spans="1:56" x14ac:dyDescent="0.2">
      <c r="A340" s="121"/>
      <c r="B340" s="122"/>
      <c r="C340" s="116">
        <f>+'[8]Sch B-4'!$J268</f>
        <v>87017</v>
      </c>
      <c r="F340" s="310" t="s">
        <v>138</v>
      </c>
      <c r="G340" s="184"/>
      <c r="H340" s="75">
        <v>8</v>
      </c>
      <c r="I340"/>
      <c r="J340" s="231">
        <f t="shared" si="411"/>
        <v>87017</v>
      </c>
      <c r="K340" s="177"/>
      <c r="L340" s="115">
        <f t="shared" si="392"/>
        <v>0</v>
      </c>
      <c r="M340" s="230"/>
      <c r="N340" s="115">
        <f t="shared" si="393"/>
        <v>0</v>
      </c>
      <c r="O340" s="230"/>
      <c r="P340" s="115">
        <f t="shared" si="394"/>
        <v>0</v>
      </c>
      <c r="Q340" s="230"/>
      <c r="R340" s="115">
        <f t="shared" si="395"/>
        <v>0</v>
      </c>
      <c r="S340" s="230"/>
      <c r="T340" s="115">
        <f t="shared" si="396"/>
        <v>0</v>
      </c>
      <c r="U340" s="230"/>
      <c r="V340" s="115">
        <f t="shared" si="397"/>
        <v>0</v>
      </c>
      <c r="W340" s="230"/>
      <c r="X340" s="115">
        <f t="shared" si="398"/>
        <v>87017</v>
      </c>
      <c r="Y340" s="116"/>
      <c r="Z340" s="99">
        <f t="shared" si="341"/>
        <v>0</v>
      </c>
      <c r="AC340" s="310" t="s">
        <v>138</v>
      </c>
      <c r="AE340" s="154">
        <f t="shared" si="399"/>
        <v>8</v>
      </c>
      <c r="AG340" s="82">
        <f t="shared" si="400"/>
        <v>87017</v>
      </c>
      <c r="AH340" s="481"/>
      <c r="AI340" s="69">
        <f t="shared" si="401"/>
        <v>0</v>
      </c>
      <c r="AJ340" s="69"/>
      <c r="AK340" s="69">
        <f t="shared" si="402"/>
        <v>0</v>
      </c>
      <c r="AL340" s="69"/>
      <c r="AM340" s="69">
        <f t="shared" si="403"/>
        <v>0</v>
      </c>
      <c r="AN340" s="69"/>
      <c r="AO340" s="69">
        <f t="shared" si="404"/>
        <v>0</v>
      </c>
      <c r="AP340" s="69"/>
      <c r="AQ340" s="69">
        <f t="shared" si="405"/>
        <v>0</v>
      </c>
      <c r="AR340" s="69"/>
      <c r="AS340" s="69">
        <f t="shared" si="406"/>
        <v>0</v>
      </c>
      <c r="AT340" s="69"/>
      <c r="AU340" s="69">
        <f t="shared" si="407"/>
        <v>0</v>
      </c>
      <c r="AV340" s="69"/>
      <c r="AW340" s="69">
        <f t="shared" si="408"/>
        <v>0</v>
      </c>
      <c r="AX340" s="69"/>
      <c r="AY340" s="69">
        <f t="shared" si="409"/>
        <v>87017</v>
      </c>
      <c r="AZ340" s="481"/>
      <c r="BA340" s="99">
        <f t="shared" si="410"/>
        <v>0</v>
      </c>
      <c r="BB340" s="82"/>
      <c r="BC340" s="82"/>
      <c r="BD340" s="82"/>
    </row>
    <row r="341" spans="1:56" x14ac:dyDescent="0.2">
      <c r="A341" s="121"/>
      <c r="B341" s="122"/>
      <c r="C341" s="116">
        <f>+'[8]Sch B-4'!$J269</f>
        <v>2704125</v>
      </c>
      <c r="F341" s="310" t="s">
        <v>139</v>
      </c>
      <c r="G341" s="184"/>
      <c r="H341" s="75">
        <v>15</v>
      </c>
      <c r="I341"/>
      <c r="J341" s="231">
        <f t="shared" si="411"/>
        <v>2704125</v>
      </c>
      <c r="K341" s="177"/>
      <c r="L341" s="115">
        <f t="shared" si="392"/>
        <v>1850432.7375</v>
      </c>
      <c r="M341" s="230"/>
      <c r="N341" s="115">
        <f t="shared" si="393"/>
        <v>499992.71250000002</v>
      </c>
      <c r="O341" s="230"/>
      <c r="P341" s="115">
        <f t="shared" si="394"/>
        <v>62465.287499999999</v>
      </c>
      <c r="Q341" s="230"/>
      <c r="R341" s="115">
        <f t="shared" si="395"/>
        <v>135747.07500000001</v>
      </c>
      <c r="S341" s="230"/>
      <c r="T341" s="115">
        <f t="shared" si="396"/>
        <v>35153.625</v>
      </c>
      <c r="U341" s="230"/>
      <c r="V341" s="115">
        <f t="shared" si="397"/>
        <v>43536.412499999999</v>
      </c>
      <c r="W341" s="230"/>
      <c r="X341" s="115">
        <f t="shared" si="398"/>
        <v>76797.150000000009</v>
      </c>
      <c r="Y341" s="116"/>
      <c r="Z341" s="99">
        <f t="shared" ref="Z341:Z352" si="413">SUM(L341:X341)-J341</f>
        <v>0</v>
      </c>
      <c r="AC341" s="310" t="s">
        <v>139</v>
      </c>
      <c r="AE341" s="154">
        <f t="shared" si="399"/>
        <v>15</v>
      </c>
      <c r="AG341" s="82">
        <f t="shared" si="400"/>
        <v>2704125</v>
      </c>
      <c r="AH341" s="481"/>
      <c r="AI341" s="69">
        <f t="shared" si="401"/>
        <v>691715.17500000005</v>
      </c>
      <c r="AJ341" s="69"/>
      <c r="AK341" s="69">
        <f t="shared" si="402"/>
        <v>407782.05</v>
      </c>
      <c r="AL341" s="69"/>
      <c r="AM341" s="69">
        <f t="shared" si="403"/>
        <v>87072.824999999997</v>
      </c>
      <c r="AN341" s="69"/>
      <c r="AO341" s="69">
        <f t="shared" si="404"/>
        <v>446180.625</v>
      </c>
      <c r="AP341" s="69"/>
      <c r="AQ341" s="69">
        <f t="shared" si="405"/>
        <v>183880.5</v>
      </c>
      <c r="AR341" s="69"/>
      <c r="AS341" s="69">
        <f t="shared" si="406"/>
        <v>573004.08750000002</v>
      </c>
      <c r="AT341" s="69"/>
      <c r="AU341" s="69">
        <f t="shared" si="407"/>
        <v>198212.36250000002</v>
      </c>
      <c r="AV341" s="69"/>
      <c r="AW341" s="69">
        <f t="shared" si="408"/>
        <v>39480.224999999999</v>
      </c>
      <c r="AX341" s="69"/>
      <c r="AY341" s="69">
        <f t="shared" si="409"/>
        <v>76797.150000000009</v>
      </c>
      <c r="AZ341" s="481"/>
      <c r="BA341" s="99">
        <f t="shared" si="410"/>
        <v>0</v>
      </c>
      <c r="BB341" s="82"/>
      <c r="BC341" s="82"/>
      <c r="BD341" s="82"/>
    </row>
    <row r="342" spans="1:56" x14ac:dyDescent="0.2">
      <c r="A342" s="222"/>
      <c r="B342" s="223"/>
      <c r="C342" s="116">
        <f>+'[8]Sch B-1'!$K$91+'[8]Sch B-1'!$K$93</f>
        <v>6051037</v>
      </c>
      <c r="F342" s="310" t="s">
        <v>140</v>
      </c>
      <c r="G342" s="184"/>
      <c r="H342" s="75" t="s">
        <v>4</v>
      </c>
      <c r="I342"/>
      <c r="J342" s="231">
        <f t="shared" si="411"/>
        <v>6051037</v>
      </c>
      <c r="K342" s="177"/>
      <c r="L342" s="115">
        <f t="shared" ca="1" si="392"/>
        <v>3968270.0646000002</v>
      </c>
      <c r="M342" s="230"/>
      <c r="N342" s="115">
        <f t="shared" ca="1" si="393"/>
        <v>1234411.548</v>
      </c>
      <c r="O342" s="230"/>
      <c r="P342" s="115">
        <f t="shared" ca="1" si="394"/>
        <v>170034.1397</v>
      </c>
      <c r="Q342" s="230"/>
      <c r="R342" s="115">
        <f t="shared" ca="1" si="395"/>
        <v>355800.97560000001</v>
      </c>
      <c r="S342" s="230"/>
      <c r="T342" s="115">
        <f t="shared" ca="1" si="396"/>
        <v>101052.31789999999</v>
      </c>
      <c r="U342" s="230"/>
      <c r="V342" s="115">
        <f t="shared" ca="1" si="397"/>
        <v>83504.310599999997</v>
      </c>
      <c r="W342" s="230"/>
      <c r="X342" s="115">
        <f t="shared" ca="1" si="398"/>
        <v>137963.64360000001</v>
      </c>
      <c r="Y342" s="116"/>
      <c r="Z342" s="99">
        <f t="shared" ca="1" si="413"/>
        <v>0</v>
      </c>
      <c r="AC342" s="310" t="s">
        <v>140</v>
      </c>
      <c r="AE342" s="154" t="str">
        <f t="shared" si="399"/>
        <v>15A</v>
      </c>
      <c r="AG342" s="82">
        <f t="shared" si="400"/>
        <v>6051037</v>
      </c>
      <c r="AI342" s="69">
        <f t="shared" ca="1" si="401"/>
        <v>2306655.3043999998</v>
      </c>
      <c r="AJ342" s="69"/>
      <c r="AK342" s="69">
        <f t="shared" ca="1" si="402"/>
        <v>729755.06220000004</v>
      </c>
      <c r="AL342" s="69"/>
      <c r="AM342" s="69">
        <f t="shared" ca="1" si="403"/>
        <v>150065.7176</v>
      </c>
      <c r="AN342" s="69"/>
      <c r="AO342" s="69">
        <f t="shared" ca="1" si="404"/>
        <v>815679.78760000004</v>
      </c>
      <c r="AP342" s="69"/>
      <c r="AQ342" s="69">
        <f t="shared" ca="1" si="405"/>
        <v>320099.85730000003</v>
      </c>
      <c r="AR342" s="69"/>
      <c r="AS342" s="69">
        <f t="shared" ca="1" si="406"/>
        <v>1224124.7851</v>
      </c>
      <c r="AT342" s="69"/>
      <c r="AU342" s="69">
        <f t="shared" ca="1" si="407"/>
        <v>289844.67230000003</v>
      </c>
      <c r="AV342" s="69"/>
      <c r="AW342" s="69">
        <f t="shared" ca="1" si="408"/>
        <v>76848.169899999994</v>
      </c>
      <c r="AX342" s="69"/>
      <c r="AY342" s="69">
        <f t="shared" ca="1" si="409"/>
        <v>137963.64360000001</v>
      </c>
      <c r="AZ342" s="481"/>
      <c r="BA342" s="99">
        <f t="shared" ref="BA342:BA343" ca="1" si="414">SUM(AI342:AY342)-AG342</f>
        <v>0</v>
      </c>
      <c r="BB342" s="82"/>
      <c r="BC342" s="82"/>
      <c r="BD342" s="82"/>
    </row>
    <row r="343" spans="1:56" s="481" customFormat="1" x14ac:dyDescent="0.2">
      <c r="A343" s="222"/>
      <c r="B343" s="223"/>
      <c r="C343" s="116">
        <v>0</v>
      </c>
      <c r="D343" s="412"/>
      <c r="E343" s="116"/>
      <c r="F343" s="310" t="s">
        <v>926</v>
      </c>
      <c r="G343" s="184"/>
      <c r="H343" s="75">
        <v>17</v>
      </c>
      <c r="J343" s="231">
        <f t="shared" si="411"/>
        <v>0</v>
      </c>
      <c r="K343" s="177"/>
      <c r="L343" s="115">
        <f t="shared" si="392"/>
        <v>0</v>
      </c>
      <c r="M343" s="230"/>
      <c r="N343" s="115">
        <f t="shared" si="393"/>
        <v>0</v>
      </c>
      <c r="O343" s="230"/>
      <c r="P343" s="115">
        <f t="shared" si="394"/>
        <v>0</v>
      </c>
      <c r="Q343" s="230"/>
      <c r="R343" s="115">
        <f t="shared" si="395"/>
        <v>0</v>
      </c>
      <c r="S343" s="230"/>
      <c r="T343" s="115">
        <f t="shared" si="396"/>
        <v>0</v>
      </c>
      <c r="U343" s="230"/>
      <c r="V343" s="115">
        <f t="shared" si="397"/>
        <v>0</v>
      </c>
      <c r="W343" s="230"/>
      <c r="X343" s="115">
        <f t="shared" si="398"/>
        <v>0</v>
      </c>
      <c r="Y343" s="116"/>
      <c r="Z343" s="99">
        <f t="shared" ref="Z343" si="415">SUM(L343:X343)-J343</f>
        <v>0</v>
      </c>
      <c r="AC343" s="310" t="s">
        <v>926</v>
      </c>
      <c r="AE343" s="154">
        <f t="shared" ref="AE343" si="416">+H343</f>
        <v>17</v>
      </c>
      <c r="AG343" s="82">
        <f t="shared" si="400"/>
        <v>0</v>
      </c>
      <c r="AI343" s="69">
        <f t="shared" si="401"/>
        <v>0</v>
      </c>
      <c r="AJ343" s="69"/>
      <c r="AK343" s="69">
        <f t="shared" si="402"/>
        <v>0</v>
      </c>
      <c r="AL343" s="69"/>
      <c r="AM343" s="69">
        <f t="shared" si="403"/>
        <v>0</v>
      </c>
      <c r="AN343" s="69"/>
      <c r="AO343" s="69">
        <f t="shared" si="404"/>
        <v>0</v>
      </c>
      <c r="AP343" s="69"/>
      <c r="AQ343" s="69">
        <f t="shared" si="405"/>
        <v>0</v>
      </c>
      <c r="AR343" s="69"/>
      <c r="AS343" s="69">
        <f t="shared" si="406"/>
        <v>0</v>
      </c>
      <c r="AT343" s="69"/>
      <c r="AU343" s="69">
        <f t="shared" si="407"/>
        <v>0</v>
      </c>
      <c r="AV343" s="69"/>
      <c r="AW343" s="69">
        <f t="shared" si="408"/>
        <v>0</v>
      </c>
      <c r="AX343" s="69"/>
      <c r="AY343" s="69">
        <f t="shared" si="409"/>
        <v>0</v>
      </c>
      <c r="BA343" s="99">
        <f t="shared" si="414"/>
        <v>0</v>
      </c>
      <c r="BB343" s="82"/>
      <c r="BC343" s="82"/>
      <c r="BD343" s="82"/>
    </row>
    <row r="344" spans="1:56" x14ac:dyDescent="0.2">
      <c r="A344" s="121"/>
      <c r="B344" s="122"/>
      <c r="C344" s="116">
        <f>+'[8]Sch B-1'!$K99</f>
        <v>-78268967</v>
      </c>
      <c r="F344" s="310" t="s">
        <v>141</v>
      </c>
      <c r="G344" s="184"/>
      <c r="H344" s="75">
        <v>17</v>
      </c>
      <c r="I344"/>
      <c r="J344" s="231">
        <f t="shared" si="411"/>
        <v>-78268967</v>
      </c>
      <c r="K344" s="177"/>
      <c r="L344" s="115">
        <f t="shared" si="392"/>
        <v>-39948480.756799996</v>
      </c>
      <c r="M344" s="230"/>
      <c r="N344" s="115">
        <f t="shared" si="393"/>
        <v>-20459507.9738</v>
      </c>
      <c r="O344" s="230"/>
      <c r="P344" s="115">
        <f t="shared" si="394"/>
        <v>-3044662.8162999996</v>
      </c>
      <c r="Q344" s="230"/>
      <c r="R344" s="115">
        <f t="shared" si="395"/>
        <v>-6089325.6325999992</v>
      </c>
      <c r="S344" s="230"/>
      <c r="T344" s="115">
        <f t="shared" si="396"/>
        <v>-1604513.8235000002</v>
      </c>
      <c r="U344" s="230"/>
      <c r="V344" s="115">
        <f t="shared" si="397"/>
        <v>-2363722.8034000001</v>
      </c>
      <c r="W344" s="230"/>
      <c r="X344" s="115">
        <f t="shared" si="398"/>
        <v>-4758753.1935999999</v>
      </c>
      <c r="Y344" s="116"/>
      <c r="Z344" s="99">
        <f t="shared" si="413"/>
        <v>0</v>
      </c>
      <c r="AC344" s="310" t="s">
        <v>141</v>
      </c>
      <c r="AE344" s="154">
        <f t="shared" si="399"/>
        <v>17</v>
      </c>
      <c r="AG344" s="82">
        <f t="shared" si="400"/>
        <v>-78268967</v>
      </c>
      <c r="AI344" s="69">
        <f t="shared" si="401"/>
        <v>-33319099.251900002</v>
      </c>
      <c r="AJ344" s="69"/>
      <c r="AK344" s="69">
        <f t="shared" si="402"/>
        <v>-20537776.9408</v>
      </c>
      <c r="AL344" s="69"/>
      <c r="AM344" s="69">
        <f t="shared" si="403"/>
        <v>-8672201.5436000004</v>
      </c>
      <c r="AN344" s="69"/>
      <c r="AO344" s="69">
        <f t="shared" si="404"/>
        <v>-5017040.7847000007</v>
      </c>
      <c r="AP344" s="69"/>
      <c r="AQ344" s="69">
        <f t="shared" si="405"/>
        <v>-1768878.6542</v>
      </c>
      <c r="AR344" s="69"/>
      <c r="AS344" s="69">
        <f t="shared" si="406"/>
        <v>-1510591.0631000001</v>
      </c>
      <c r="AT344" s="69"/>
      <c r="AU344" s="69">
        <f t="shared" si="407"/>
        <v>-406998.62839999999</v>
      </c>
      <c r="AV344" s="69"/>
      <c r="AW344" s="69">
        <f t="shared" si="408"/>
        <v>-2316761.4232000001</v>
      </c>
      <c r="AX344" s="69"/>
      <c r="AY344" s="69">
        <f t="shared" si="409"/>
        <v>-4719618.7100999998</v>
      </c>
      <c r="BA344" s="99">
        <f t="shared" ref="BA344:BA353" si="417">SUM(AI344:AY344)-AG344</f>
        <v>0</v>
      </c>
      <c r="BB344" s="82"/>
      <c r="BC344" s="82"/>
      <c r="BD344" s="82"/>
    </row>
    <row r="345" spans="1:56" x14ac:dyDescent="0.2">
      <c r="A345" s="121"/>
      <c r="B345" s="122"/>
      <c r="C345" s="116">
        <f>+'[8]Sch B-1'!$K101</f>
        <v>-31363</v>
      </c>
      <c r="F345" s="310" t="s">
        <v>142</v>
      </c>
      <c r="G345" s="184"/>
      <c r="H345" s="75">
        <v>17</v>
      </c>
      <c r="I345"/>
      <c r="J345" s="231">
        <f t="shared" si="411"/>
        <v>-31363</v>
      </c>
      <c r="K345" s="177"/>
      <c r="L345" s="115">
        <f t="shared" si="392"/>
        <v>-16007.6752</v>
      </c>
      <c r="M345" s="230"/>
      <c r="N345" s="115">
        <f t="shared" si="393"/>
        <v>-8198.2882000000009</v>
      </c>
      <c r="O345" s="230"/>
      <c r="P345" s="115">
        <f t="shared" si="394"/>
        <v>-1220.0206999999998</v>
      </c>
      <c r="Q345" s="230"/>
      <c r="R345" s="115">
        <f t="shared" si="395"/>
        <v>-2440.0413999999996</v>
      </c>
      <c r="S345" s="230"/>
      <c r="T345" s="115">
        <f t="shared" si="396"/>
        <v>-642.94150000000002</v>
      </c>
      <c r="U345" s="230"/>
      <c r="V345" s="115">
        <f t="shared" si="397"/>
        <v>-947.1626</v>
      </c>
      <c r="W345" s="230"/>
      <c r="X345" s="115">
        <f t="shared" si="398"/>
        <v>-1906.8704</v>
      </c>
      <c r="Y345" s="116"/>
      <c r="Z345" s="99">
        <f t="shared" si="413"/>
        <v>0</v>
      </c>
      <c r="AC345" s="310" t="s">
        <v>142</v>
      </c>
      <c r="AE345" s="154">
        <f t="shared" si="399"/>
        <v>17</v>
      </c>
      <c r="AG345" s="82">
        <f t="shared" si="400"/>
        <v>-31363</v>
      </c>
      <c r="AI345" s="69">
        <f t="shared" si="401"/>
        <v>-13351.2291</v>
      </c>
      <c r="AJ345" s="69"/>
      <c r="AK345" s="69">
        <f t="shared" si="402"/>
        <v>-8229.6512000000002</v>
      </c>
      <c r="AL345" s="69"/>
      <c r="AM345" s="69">
        <f t="shared" si="403"/>
        <v>-3475.0203999999999</v>
      </c>
      <c r="AN345" s="69"/>
      <c r="AO345" s="69">
        <f t="shared" si="404"/>
        <v>-2010.3683000000001</v>
      </c>
      <c r="AP345" s="69"/>
      <c r="AQ345" s="69">
        <f t="shared" si="405"/>
        <v>-708.80379999999991</v>
      </c>
      <c r="AR345" s="69"/>
      <c r="AS345" s="69">
        <f t="shared" si="406"/>
        <v>-605.30590000000007</v>
      </c>
      <c r="AT345" s="69"/>
      <c r="AU345" s="69">
        <f t="shared" si="407"/>
        <v>-163.08759999999998</v>
      </c>
      <c r="AV345" s="69"/>
      <c r="AW345" s="69">
        <f t="shared" si="408"/>
        <v>-928.34480000000008</v>
      </c>
      <c r="AX345" s="69"/>
      <c r="AY345" s="69">
        <f t="shared" si="409"/>
        <v>-1891.1888999999999</v>
      </c>
      <c r="BA345" s="99">
        <f t="shared" si="417"/>
        <v>0</v>
      </c>
      <c r="BB345" s="82"/>
      <c r="BC345" s="82"/>
      <c r="BD345" s="82"/>
    </row>
    <row r="346" spans="1:56" x14ac:dyDescent="0.2">
      <c r="A346" s="121"/>
      <c r="B346" s="122"/>
      <c r="C346" s="116">
        <f>+'[8]Sch B-1'!$K103</f>
        <v>9539974</v>
      </c>
      <c r="F346" s="310" t="s">
        <v>927</v>
      </c>
      <c r="G346" s="184"/>
      <c r="H346" s="793">
        <v>5</v>
      </c>
      <c r="I346" s="319"/>
      <c r="J346" s="231">
        <f t="shared" si="411"/>
        <v>9539974</v>
      </c>
      <c r="K346" s="177"/>
      <c r="L346" s="115">
        <f t="shared" si="392"/>
        <v>3955273.2203999995</v>
      </c>
      <c r="M346" s="230"/>
      <c r="N346" s="115">
        <f t="shared" si="393"/>
        <v>2395487.4713999997</v>
      </c>
      <c r="O346" s="230"/>
      <c r="P346" s="115">
        <f t="shared" si="394"/>
        <v>331037.09779999999</v>
      </c>
      <c r="Q346" s="230"/>
      <c r="R346" s="115">
        <f t="shared" si="395"/>
        <v>624868.29700000002</v>
      </c>
      <c r="S346" s="230"/>
      <c r="T346" s="115">
        <f t="shared" si="396"/>
        <v>191753.4774</v>
      </c>
      <c r="U346" s="230"/>
      <c r="V346" s="115">
        <f t="shared" si="397"/>
        <v>943503.42859999998</v>
      </c>
      <c r="W346" s="230"/>
      <c r="X346" s="115">
        <f t="shared" si="398"/>
        <v>1098051.0074</v>
      </c>
      <c r="Y346" s="116"/>
      <c r="Z346" s="99">
        <f t="shared" si="413"/>
        <v>0</v>
      </c>
      <c r="AC346" s="310" t="s">
        <v>927</v>
      </c>
      <c r="AE346" s="154">
        <f t="shared" si="399"/>
        <v>5</v>
      </c>
      <c r="AG346" s="82">
        <f t="shared" si="400"/>
        <v>9539974</v>
      </c>
      <c r="AI346" s="69">
        <f t="shared" si="401"/>
        <v>2988873.8541999995</v>
      </c>
      <c r="AJ346" s="69"/>
      <c r="AK346" s="69">
        <f t="shared" si="402"/>
        <v>0</v>
      </c>
      <c r="AL346" s="69"/>
      <c r="AM346" s="69">
        <f t="shared" si="403"/>
        <v>4509545.7098000003</v>
      </c>
      <c r="AN346" s="69"/>
      <c r="AO346" s="69">
        <f t="shared" si="404"/>
        <v>0</v>
      </c>
      <c r="AP346" s="69"/>
      <c r="AQ346" s="69">
        <f t="shared" si="405"/>
        <v>0</v>
      </c>
      <c r="AR346" s="69"/>
      <c r="AS346" s="69">
        <f t="shared" si="406"/>
        <v>0</v>
      </c>
      <c r="AT346" s="69"/>
      <c r="AU346" s="69">
        <f t="shared" si="407"/>
        <v>0</v>
      </c>
      <c r="AV346" s="69"/>
      <c r="AW346" s="69">
        <f t="shared" si="408"/>
        <v>943503.42859999998</v>
      </c>
      <c r="AX346" s="69"/>
      <c r="AY346" s="69">
        <f t="shared" si="409"/>
        <v>1098051.0074</v>
      </c>
      <c r="BA346" s="99">
        <f t="shared" si="417"/>
        <v>0</v>
      </c>
      <c r="BB346" s="82"/>
      <c r="BC346" s="82"/>
      <c r="BD346" s="82"/>
    </row>
    <row r="347" spans="1:56" x14ac:dyDescent="0.2">
      <c r="A347" s="121"/>
      <c r="B347" s="122"/>
      <c r="C347" s="116">
        <f>+'[8]Sch B-1'!$K105</f>
        <v>1360408</v>
      </c>
      <c r="F347" s="310" t="s">
        <v>973</v>
      </c>
      <c r="G347" s="184"/>
      <c r="H347" s="793">
        <v>2</v>
      </c>
      <c r="I347" s="319"/>
      <c r="J347" s="231">
        <f t="shared" si="411"/>
        <v>1360408</v>
      </c>
      <c r="K347" s="177"/>
      <c r="L347" s="115">
        <f t="shared" si="392"/>
        <v>696392.85519999999</v>
      </c>
      <c r="M347" s="230"/>
      <c r="N347" s="115">
        <f t="shared" si="393"/>
        <v>416420.88879999996</v>
      </c>
      <c r="O347" s="230"/>
      <c r="P347" s="115">
        <f t="shared" si="394"/>
        <v>66796.032800000001</v>
      </c>
      <c r="Q347" s="230"/>
      <c r="R347" s="115">
        <f t="shared" si="395"/>
        <v>132503.73919999998</v>
      </c>
      <c r="S347" s="230"/>
      <c r="T347" s="115">
        <f t="shared" si="396"/>
        <v>43533.056000000004</v>
      </c>
      <c r="U347" s="230"/>
      <c r="V347" s="115">
        <f t="shared" si="397"/>
        <v>2176.6528000000003</v>
      </c>
      <c r="W347" s="230"/>
      <c r="X347" s="115">
        <f t="shared" si="398"/>
        <v>2584.7752</v>
      </c>
      <c r="Y347" s="116"/>
      <c r="Z347" s="99">
        <f t="shared" si="413"/>
        <v>0</v>
      </c>
      <c r="AC347" s="310" t="s">
        <v>143</v>
      </c>
      <c r="AE347" s="154">
        <f t="shared" si="399"/>
        <v>2</v>
      </c>
      <c r="AG347" s="82">
        <f t="shared" si="400"/>
        <v>1360408</v>
      </c>
      <c r="AI347" s="69">
        <f t="shared" si="401"/>
        <v>772575.70319999999</v>
      </c>
      <c r="AJ347" s="69"/>
      <c r="AK347" s="69">
        <f t="shared" si="402"/>
        <v>583070.86879999994</v>
      </c>
      <c r="AL347" s="69"/>
      <c r="AM347" s="69">
        <f t="shared" si="403"/>
        <v>0</v>
      </c>
      <c r="AN347" s="69"/>
      <c r="AO347" s="69">
        <f t="shared" si="404"/>
        <v>0</v>
      </c>
      <c r="AP347" s="69"/>
      <c r="AQ347" s="69">
        <f t="shared" si="405"/>
        <v>0</v>
      </c>
      <c r="AR347" s="69"/>
      <c r="AS347" s="69">
        <f t="shared" si="406"/>
        <v>0</v>
      </c>
      <c r="AT347" s="69"/>
      <c r="AU347" s="69">
        <f t="shared" si="407"/>
        <v>0</v>
      </c>
      <c r="AV347" s="69"/>
      <c r="AW347" s="69">
        <f t="shared" si="408"/>
        <v>2176.6528000000003</v>
      </c>
      <c r="AX347" s="69"/>
      <c r="AY347" s="69">
        <f t="shared" si="409"/>
        <v>2584.7752</v>
      </c>
      <c r="BA347" s="99">
        <f t="shared" si="417"/>
        <v>0</v>
      </c>
      <c r="BB347" s="82"/>
      <c r="BC347" s="82"/>
      <c r="BD347" s="82"/>
    </row>
    <row r="348" spans="1:56" x14ac:dyDescent="0.2">
      <c r="A348" s="222"/>
      <c r="B348" s="223"/>
      <c r="C348" s="116">
        <f>+'[8]Sch B-1'!$K107</f>
        <v>1120412</v>
      </c>
      <c r="F348" s="310" t="s">
        <v>144</v>
      </c>
      <c r="G348" s="184"/>
      <c r="H348" s="75">
        <v>17</v>
      </c>
      <c r="I348"/>
      <c r="J348" s="231">
        <f t="shared" si="411"/>
        <v>1120412</v>
      </c>
      <c r="K348" s="177"/>
      <c r="L348" s="304">
        <f t="shared" si="392"/>
        <v>571858.28479999991</v>
      </c>
      <c r="M348" s="230"/>
      <c r="N348" s="304">
        <f t="shared" si="393"/>
        <v>292875.69680000003</v>
      </c>
      <c r="O348" s="230"/>
      <c r="P348" s="304">
        <f t="shared" si="394"/>
        <v>43584.0268</v>
      </c>
      <c r="Q348" s="230"/>
      <c r="R348" s="304">
        <f t="shared" si="395"/>
        <v>87168.053599999999</v>
      </c>
      <c r="S348" s="230"/>
      <c r="T348" s="304">
        <f t="shared" si="396"/>
        <v>22968.446</v>
      </c>
      <c r="U348" s="230"/>
      <c r="V348" s="304">
        <f t="shared" si="397"/>
        <v>33836.4424</v>
      </c>
      <c r="W348" s="230"/>
      <c r="X348" s="304">
        <f t="shared" si="398"/>
        <v>68121.049599999998</v>
      </c>
      <c r="Y348" s="116"/>
      <c r="Z348" s="99">
        <f t="shared" si="413"/>
        <v>0</v>
      </c>
      <c r="AC348" s="310" t="s">
        <v>144</v>
      </c>
      <c r="AE348" s="154">
        <f t="shared" si="399"/>
        <v>17</v>
      </c>
      <c r="AG348" s="186">
        <f t="shared" si="400"/>
        <v>1120412</v>
      </c>
      <c r="AI348" s="70">
        <f t="shared" si="401"/>
        <v>476959.38840000005</v>
      </c>
      <c r="AJ348" s="481"/>
      <c r="AK348" s="70">
        <f t="shared" si="402"/>
        <v>293996.10880000005</v>
      </c>
      <c r="AL348" s="481"/>
      <c r="AM348" s="70">
        <f t="shared" si="403"/>
        <v>124141.64959999999</v>
      </c>
      <c r="AN348" s="481"/>
      <c r="AO348" s="70">
        <f t="shared" si="404"/>
        <v>71818.409200000009</v>
      </c>
      <c r="AP348" s="481"/>
      <c r="AQ348" s="70">
        <f t="shared" si="405"/>
        <v>25321.3112</v>
      </c>
      <c r="AR348" s="481"/>
      <c r="AS348" s="70">
        <f t="shared" si="406"/>
        <v>21623.9516</v>
      </c>
      <c r="AT348" s="481"/>
      <c r="AU348" s="70">
        <f t="shared" si="407"/>
        <v>5826.1423999999997</v>
      </c>
      <c r="AV348" s="481"/>
      <c r="AW348" s="70">
        <f t="shared" si="408"/>
        <v>33164.195200000002</v>
      </c>
      <c r="AX348" s="481"/>
      <c r="AY348" s="70">
        <f t="shared" si="409"/>
        <v>67560.843599999993</v>
      </c>
      <c r="BA348" s="99">
        <f t="shared" si="417"/>
        <v>0</v>
      </c>
      <c r="BB348" s="82"/>
      <c r="BC348" s="82"/>
      <c r="BD348" s="82"/>
    </row>
    <row r="349" spans="1:56" x14ac:dyDescent="0.2">
      <c r="A349" s="121"/>
      <c r="B349" s="122"/>
      <c r="C349" s="370"/>
      <c r="F349"/>
      <c r="G349" s="184"/>
      <c r="H349" s="75"/>
      <c r="I349"/>
      <c r="J349" s="174"/>
      <c r="K349"/>
      <c r="L349" s="174"/>
      <c r="M349"/>
      <c r="N349" s="174"/>
      <c r="O349"/>
      <c r="P349" s="174"/>
      <c r="Q349"/>
      <c r="R349" s="174"/>
      <c r="S349"/>
      <c r="T349" s="174"/>
      <c r="U349"/>
      <c r="V349" s="174"/>
      <c r="W349"/>
      <c r="X349" s="174"/>
      <c r="Z349" s="99">
        <f t="shared" si="413"/>
        <v>0</v>
      </c>
      <c r="AC349"/>
      <c r="AE349" s="154"/>
      <c r="AG349" s="297"/>
      <c r="AI349" s="297"/>
      <c r="AK349" s="297"/>
      <c r="AM349" s="297"/>
      <c r="AO349" s="297"/>
      <c r="AQ349" s="297"/>
      <c r="AS349" s="297"/>
      <c r="AU349" s="297"/>
      <c r="AW349" s="297"/>
      <c r="AY349" s="297"/>
      <c r="BA349" s="99">
        <f t="shared" si="417"/>
        <v>0</v>
      </c>
      <c r="BB349" s="82"/>
      <c r="BC349" s="82"/>
      <c r="BD349" s="82"/>
    </row>
    <row r="350" spans="1:56" x14ac:dyDescent="0.2">
      <c r="A350" s="121"/>
      <c r="B350" s="122"/>
      <c r="C350" s="370"/>
      <c r="F350" t="s">
        <v>280</v>
      </c>
      <c r="G350" s="184"/>
      <c r="H350" s="75"/>
      <c r="I350"/>
      <c r="J350" s="174">
        <f>SUM(J332:J349)</f>
        <v>-51034941</v>
      </c>
      <c r="K350"/>
      <c r="L350" s="174">
        <f ca="1">SUM(L332:L349)</f>
        <v>-25744836.800799996</v>
      </c>
      <c r="M350"/>
      <c r="N350" s="174">
        <f ca="1">SUM(N332:N349)</f>
        <v>-13731844.439299997</v>
      </c>
      <c r="O350"/>
      <c r="P350" s="174">
        <f ca="1">SUM(P332:P349)</f>
        <v>-2083097.5538999997</v>
      </c>
      <c r="Q350"/>
      <c r="R350" s="174">
        <f ca="1">SUM(R332:R349)</f>
        <v>-4190640.4827999994</v>
      </c>
      <c r="S350"/>
      <c r="T350" s="174">
        <f ca="1">SUM(T332:T349)</f>
        <v>-1082833.5926000001</v>
      </c>
      <c r="U350"/>
      <c r="V350" s="174">
        <f ca="1">SUM(V332:V349)</f>
        <v>-1097806.9081999999</v>
      </c>
      <c r="W350"/>
      <c r="X350" s="174">
        <f ca="1">SUM(X332:X349)</f>
        <v>-3103881.2224000003</v>
      </c>
      <c r="Z350" s="99">
        <f t="shared" ca="1" si="413"/>
        <v>0</v>
      </c>
      <c r="AC350" t="s">
        <v>280</v>
      </c>
      <c r="AD350" s="184"/>
      <c r="AE350" s="75"/>
      <c r="AG350" s="174">
        <f>SUM(AG332:AG349)</f>
        <v>-51034941</v>
      </c>
      <c r="AI350" s="174">
        <f ca="1">SUM(AI332:AI349)</f>
        <v>-23012537.914758805</v>
      </c>
      <c r="AK350" s="174">
        <f ca="1">SUM(AK332:AK349)</f>
        <v>-16819273.114</v>
      </c>
      <c r="AM350" s="174">
        <f ca="1">SUM(AM332:AM349)</f>
        <v>-2575651.2744590398</v>
      </c>
      <c r="AO350" s="174">
        <f ca="1">SUM(AO332:AO349)</f>
        <v>-3654197.7762000007</v>
      </c>
      <c r="AQ350" s="174">
        <f ca="1">SUM(AQ332:AQ349)</f>
        <v>-1240079.2489</v>
      </c>
      <c r="AS350" s="174">
        <f ca="1">SUM(AS332:AS349)</f>
        <v>307556.45519999973</v>
      </c>
      <c r="AU350" s="174">
        <f ca="1">SUM(AU332:AU349)</f>
        <v>86721.461200000034</v>
      </c>
      <c r="AW350" s="174">
        <f ca="1">SUM(AW332:AW349)</f>
        <v>-1062220.7807164001</v>
      </c>
      <c r="AY350" s="174">
        <f ca="1">SUM(AY332:AY349)</f>
        <v>-3065258.8073657602</v>
      </c>
      <c r="BA350" s="99">
        <f t="shared" ca="1" si="417"/>
        <v>0</v>
      </c>
      <c r="BB350" s="82"/>
      <c r="BC350" s="82"/>
      <c r="BD350" s="82"/>
    </row>
    <row r="351" spans="1:56" x14ac:dyDescent="0.2">
      <c r="A351" s="121"/>
      <c r="B351" s="122"/>
      <c r="C351" s="370"/>
      <c r="F351"/>
      <c r="G351" s="184"/>
      <c r="H351" s="75"/>
      <c r="I351"/>
      <c r="J351" s="174"/>
      <c r="K351"/>
      <c r="L351" s="174"/>
      <c r="M351"/>
      <c r="N351" s="174"/>
      <c r="O351"/>
      <c r="P351" s="174"/>
      <c r="Q351"/>
      <c r="R351" s="174"/>
      <c r="S351"/>
      <c r="T351" s="174"/>
      <c r="U351"/>
      <c r="V351" s="174"/>
      <c r="W351"/>
      <c r="X351" s="174"/>
      <c r="Z351" s="99">
        <f t="shared" si="413"/>
        <v>0</v>
      </c>
      <c r="AC351"/>
      <c r="AD351" s="184"/>
      <c r="AE351" s="75"/>
      <c r="AG351" s="174"/>
      <c r="AI351" s="174"/>
      <c r="AK351" s="174"/>
      <c r="AM351" s="174"/>
      <c r="AO351" s="174"/>
      <c r="AQ351" s="174"/>
      <c r="AS351" s="174"/>
      <c r="AU351" s="174"/>
      <c r="AW351" s="174"/>
      <c r="AY351" s="174"/>
      <c r="BA351" s="99">
        <f t="shared" si="417"/>
        <v>0</v>
      </c>
      <c r="BB351" s="82"/>
      <c r="BC351" s="82"/>
      <c r="BD351" s="82"/>
    </row>
    <row r="352" spans="1:56" ht="13.5" thickBot="1" x14ac:dyDescent="0.25">
      <c r="A352" s="121"/>
      <c r="B352" s="122"/>
      <c r="C352" s="370"/>
      <c r="F352" t="s">
        <v>281</v>
      </c>
      <c r="G352" s="184"/>
      <c r="H352" s="75"/>
      <c r="I352"/>
      <c r="J352" s="311">
        <f>J329+J350</f>
        <v>403896142.35827643</v>
      </c>
      <c r="K352"/>
      <c r="L352" s="311">
        <f ca="1">L329+L350</f>
        <v>206100839.51034138</v>
      </c>
      <c r="M352"/>
      <c r="N352" s="311">
        <f ca="1">N329+N350</f>
        <v>105201304.90164655</v>
      </c>
      <c r="O352"/>
      <c r="P352" s="311">
        <f ca="1">P329+P350</f>
        <v>15632890.023243736</v>
      </c>
      <c r="Q352"/>
      <c r="R352" s="311">
        <f ca="1">R329+R350</f>
        <v>31207207.37528713</v>
      </c>
      <c r="S352"/>
      <c r="T352" s="311">
        <f ca="1">T329+T350</f>
        <v>8277579.7752298238</v>
      </c>
      <c r="U352"/>
      <c r="V352" s="311">
        <f ca="1">V329+V350</f>
        <v>12706425.935659299</v>
      </c>
      <c r="W352"/>
      <c r="X352" s="311">
        <f ca="1">X329+X350</f>
        <v>24769894.836868554</v>
      </c>
      <c r="Z352" s="99">
        <f t="shared" ca="1" si="413"/>
        <v>0</v>
      </c>
      <c r="AC352" t="s">
        <v>281</v>
      </c>
      <c r="AD352" s="184"/>
      <c r="AE352" s="75"/>
      <c r="AG352" s="311">
        <f>AG329+AG350</f>
        <v>403896142.35827643</v>
      </c>
      <c r="AI352" s="311">
        <f ca="1">AI329+AI350</f>
        <v>170820723.15559459</v>
      </c>
      <c r="AK352" s="311">
        <f ca="1">AK329+AK350</f>
        <v>102843253.03636539</v>
      </c>
      <c r="AM352" s="311">
        <f ca="1">AM329+AM350</f>
        <v>47553105.381793387</v>
      </c>
      <c r="AO352" s="311">
        <f ca="1">AO329+AO350</f>
        <v>25605079.090528775</v>
      </c>
      <c r="AQ352" s="311">
        <f ca="1">AQ329+AQ350</f>
        <v>9047383.7013987489</v>
      </c>
      <c r="AS352" s="311">
        <f ca="1">AS329+AS350</f>
        <v>8694088.9158479683</v>
      </c>
      <c r="AU352" s="311">
        <f ca="1">AU329+AU350</f>
        <v>2280072.0444411454</v>
      </c>
      <c r="AW352" s="311">
        <f ca="1">AW329+AW350</f>
        <v>12484125.196993556</v>
      </c>
      <c r="AY352" s="311">
        <f ca="1">AY329+AY350</f>
        <v>24568311.835312892</v>
      </c>
      <c r="BA352" s="99">
        <f t="shared" ca="1" si="417"/>
        <v>0</v>
      </c>
      <c r="BB352" s="82"/>
      <c r="BC352" s="82"/>
      <c r="BD352" s="82"/>
    </row>
    <row r="353" spans="1:54" ht="13.5" thickTop="1" x14ac:dyDescent="0.2">
      <c r="A353" s="121"/>
      <c r="B353" s="122"/>
      <c r="C353" s="371"/>
      <c r="D353" s="413"/>
      <c r="E353" s="403"/>
      <c r="F353" s="108"/>
      <c r="G353" s="175"/>
      <c r="H353" s="176"/>
      <c r="J353" s="83"/>
      <c r="K353" s="177"/>
      <c r="L353" s="83"/>
      <c r="M353" s="109"/>
      <c r="N353" s="83"/>
      <c r="O353" s="109"/>
      <c r="P353" s="83"/>
      <c r="Q353" s="109"/>
      <c r="R353" s="83"/>
      <c r="S353" s="109"/>
      <c r="T353" s="83"/>
      <c r="U353" s="109"/>
      <c r="V353" s="83"/>
      <c r="W353" s="109"/>
      <c r="X353" s="83"/>
      <c r="Z353" s="99"/>
      <c r="AC353" s="108"/>
      <c r="AE353" s="154"/>
      <c r="AG353" s="297"/>
      <c r="AH353" s="84"/>
      <c r="AI353" s="83"/>
      <c r="AJ353" s="83"/>
      <c r="AK353" s="83"/>
      <c r="AL353" s="83"/>
      <c r="AM353" s="83"/>
      <c r="AN353" s="83"/>
      <c r="AO353" s="83"/>
      <c r="AP353" s="83"/>
      <c r="AQ353" s="83"/>
      <c r="AR353" s="83"/>
      <c r="AS353" s="83"/>
      <c r="AT353" s="83"/>
      <c r="AU353" s="83"/>
      <c r="AV353" s="83"/>
      <c r="AW353" s="83"/>
      <c r="AX353" s="83"/>
      <c r="AY353" s="83"/>
      <c r="BA353" s="99">
        <f t="shared" si="417"/>
        <v>0</v>
      </c>
    </row>
    <row r="354" spans="1:54" x14ac:dyDescent="0.2">
      <c r="A354" s="121"/>
      <c r="B354" s="122"/>
      <c r="C354" s="371"/>
      <c r="D354" s="413"/>
      <c r="E354" s="403"/>
      <c r="F354" s="108"/>
      <c r="G354" s="175"/>
      <c r="H354" s="176"/>
      <c r="J354" s="83"/>
      <c r="K354" s="177"/>
      <c r="L354" s="83"/>
      <c r="M354" s="109"/>
      <c r="N354" s="83"/>
      <c r="O354" s="109"/>
      <c r="P354" s="83"/>
      <c r="Q354" s="109"/>
      <c r="R354" s="83"/>
      <c r="S354" s="109"/>
      <c r="T354" s="83"/>
      <c r="U354" s="109"/>
      <c r="V354" s="83"/>
      <c r="W354" s="109"/>
      <c r="X354" s="83"/>
      <c r="Z354" s="99"/>
      <c r="AC354" s="108"/>
      <c r="AE354" s="154"/>
      <c r="AG354" s="297"/>
      <c r="AH354" s="84"/>
      <c r="AI354" s="83"/>
      <c r="AJ354" s="83"/>
      <c r="AK354" s="83"/>
      <c r="AL354" s="83"/>
      <c r="AM354" s="83"/>
      <c r="AN354" s="83"/>
      <c r="AO354" s="83"/>
      <c r="AP354" s="83"/>
      <c r="AQ354" s="83"/>
      <c r="AR354" s="83"/>
      <c r="AS354" s="83"/>
      <c r="AT354" s="83"/>
      <c r="AU354" s="83"/>
      <c r="AV354" s="83"/>
      <c r="AW354" s="83"/>
      <c r="AX354" s="83"/>
      <c r="AY354" s="83"/>
      <c r="BA354" s="99"/>
    </row>
    <row r="355" spans="1:54" x14ac:dyDescent="0.2">
      <c r="A355" s="177"/>
      <c r="B355" s="177"/>
      <c r="C355" s="371"/>
      <c r="D355" s="413"/>
      <c r="E355" s="403"/>
      <c r="F355" s="175"/>
      <c r="G355" s="175"/>
      <c r="H355" s="176"/>
      <c r="J355" s="298"/>
      <c r="K355" s="298"/>
      <c r="L355" s="298"/>
      <c r="M355" s="298"/>
      <c r="N355" s="298"/>
      <c r="O355" s="298"/>
      <c r="P355" s="298"/>
      <c r="Q355" s="298"/>
      <c r="R355" s="298"/>
      <c r="S355" s="298"/>
      <c r="T355" s="298"/>
      <c r="U355" s="298"/>
      <c r="V355" s="298"/>
      <c r="W355" s="298"/>
      <c r="X355" s="298"/>
      <c r="Z355" s="99"/>
      <c r="AC355" s="175"/>
      <c r="AG355" s="298"/>
      <c r="AH355" s="298"/>
      <c r="AI355" s="298"/>
      <c r="AJ355" s="298"/>
      <c r="AK355" s="298"/>
      <c r="AL355" s="298"/>
      <c r="AM355" s="298"/>
      <c r="AN355" s="298"/>
      <c r="AO355" s="298"/>
      <c r="AP355" s="298"/>
      <c r="AQ355" s="298"/>
      <c r="AR355" s="298"/>
      <c r="AS355" s="298"/>
      <c r="AT355" s="298"/>
      <c r="AU355" s="298"/>
      <c r="AV355" s="298"/>
      <c r="AW355" s="298"/>
      <c r="AX355" s="298"/>
      <c r="AY355" s="298"/>
      <c r="BA355" s="99"/>
    </row>
    <row r="356" spans="1:54" x14ac:dyDescent="0.2">
      <c r="C356" s="370"/>
      <c r="AA356" s="99"/>
      <c r="AC356" s="63"/>
      <c r="AG356" s="84"/>
      <c r="AH356" s="84"/>
      <c r="AI356" s="84"/>
      <c r="AJ356" s="84"/>
      <c r="AK356" s="84"/>
      <c r="AL356" s="84"/>
      <c r="AM356" s="84"/>
      <c r="AN356" s="84"/>
      <c r="AO356" s="84"/>
      <c r="AP356" s="84"/>
      <c r="AQ356" s="84"/>
      <c r="AR356" s="84"/>
      <c r="AS356" s="84"/>
      <c r="AT356" s="84"/>
      <c r="AU356" s="84"/>
      <c r="AV356" s="84"/>
      <c r="AW356" s="84"/>
      <c r="AX356" s="84"/>
      <c r="AY356" s="84"/>
    </row>
    <row r="357" spans="1:54" x14ac:dyDescent="0.2">
      <c r="C357" s="370"/>
      <c r="AA357" s="99"/>
      <c r="AQ357" s="363">
        <f ca="1">+AS367+AU367</f>
        <v>0.25020000000000003</v>
      </c>
      <c r="AS357" s="363">
        <f ca="1">+AS373+AU373</f>
        <v>2.7099999999999999E-2</v>
      </c>
    </row>
    <row r="358" spans="1:54" x14ac:dyDescent="0.2">
      <c r="C358" s="370"/>
      <c r="AA358" s="99"/>
    </row>
    <row r="359" spans="1:54" x14ac:dyDescent="0.2">
      <c r="C359" s="370"/>
      <c r="AA359" s="99"/>
    </row>
    <row r="360" spans="1:54" x14ac:dyDescent="0.2">
      <c r="C360" s="370"/>
      <c r="F360" s="123" t="s">
        <v>169</v>
      </c>
      <c r="J360" s="77">
        <f>+J82+J83+J84</f>
        <v>960284.03473388217</v>
      </c>
      <c r="L360" s="77">
        <f>+L82+L83+L84</f>
        <v>767787.3910601309</v>
      </c>
      <c r="M360" s="59"/>
      <c r="N360" s="77">
        <f>+N82+N83+N84</f>
        <v>136395.65005205976</v>
      </c>
      <c r="O360" s="59"/>
      <c r="P360" s="77">
        <f>+P82+P83+P84</f>
        <v>6661.0751748797684</v>
      </c>
      <c r="Q360" s="59"/>
      <c r="R360" s="77">
        <f>+R82+R83+R84</f>
        <v>26608.601529564017</v>
      </c>
      <c r="S360" s="59"/>
      <c r="T360" s="77">
        <f>+T82+T83+T84</f>
        <v>2496.2555478852837</v>
      </c>
      <c r="U360" s="59"/>
      <c r="V360" s="77">
        <f>+V82+V83+V84</f>
        <v>15030.397315188951</v>
      </c>
      <c r="W360" s="59"/>
      <c r="X360" s="77">
        <f>+X82+X83+X84</f>
        <v>5304.6640541734369</v>
      </c>
      <c r="Z360" s="99">
        <f>SUM(L360:X360)-J360</f>
        <v>0</v>
      </c>
      <c r="AA360" s="99"/>
      <c r="AC360" s="123" t="s">
        <v>169</v>
      </c>
      <c r="AD360" s="63"/>
      <c r="AE360" s="74"/>
      <c r="AF360" s="59"/>
      <c r="AG360" s="77">
        <f>+AG82+AG83+AG84</f>
        <v>960284.03473388217</v>
      </c>
      <c r="AH360" s="59"/>
      <c r="AI360" s="77">
        <f>+AI82+AI83+AI84</f>
        <v>30453.884600164369</v>
      </c>
      <c r="AJ360" s="59"/>
      <c r="AK360" s="77">
        <f>+AK82+AK83+AK84</f>
        <v>6359.2057034970721</v>
      </c>
      <c r="AL360" s="59"/>
      <c r="AM360" s="77">
        <f>+AM82+AM83+AM84</f>
        <v>33218.061953694501</v>
      </c>
      <c r="AN360" s="59"/>
      <c r="AO360" s="77">
        <f>+AO82+AO83+AO84</f>
        <v>869917.82110716379</v>
      </c>
      <c r="AP360" s="59"/>
      <c r="AQ360" s="77">
        <f>+AQ82+AQ83+AQ84</f>
        <v>0</v>
      </c>
      <c r="AR360" s="59"/>
      <c r="AS360" s="77">
        <f>+AS82+AS83+AS84</f>
        <v>0</v>
      </c>
      <c r="AT360" s="59"/>
      <c r="AU360" s="77">
        <f>+AU82+AU83+AU84</f>
        <v>0</v>
      </c>
      <c r="AV360" s="59"/>
      <c r="AW360" s="77">
        <f>+AW82+AW83+AW84</f>
        <v>15030.397315188951</v>
      </c>
      <c r="AX360" s="59"/>
      <c r="AY360" s="77">
        <f>+AY82+AY83+AY84</f>
        <v>5304.6640541734369</v>
      </c>
      <c r="BA360" s="99">
        <f>SUM(AI360:AY360)-AG360</f>
        <v>0</v>
      </c>
    </row>
    <row r="361" spans="1:54" x14ac:dyDescent="0.2">
      <c r="C361" s="370"/>
      <c r="F361" s="123" t="s">
        <v>166</v>
      </c>
      <c r="L361" s="137">
        <f>ROUND(L360/$J360,4)+0.0001</f>
        <v>0.79959999999999998</v>
      </c>
      <c r="M361" s="137"/>
      <c r="N361" s="137">
        <f>ROUND(N360/$J360,4)</f>
        <v>0.14199999999999999</v>
      </c>
      <c r="O361" s="137"/>
      <c r="P361" s="137">
        <f t="shared" ref="P361:X361" si="418">ROUND(P360/$J360,4)</f>
        <v>6.8999999999999999E-3</v>
      </c>
      <c r="Q361" s="137"/>
      <c r="R361" s="137">
        <f t="shared" si="418"/>
        <v>2.7699999999999999E-2</v>
      </c>
      <c r="S361" s="137"/>
      <c r="T361" s="137">
        <f t="shared" si="418"/>
        <v>2.5999999999999999E-3</v>
      </c>
      <c r="U361" s="137"/>
      <c r="V361" s="137">
        <f t="shared" si="418"/>
        <v>1.5699999999999999E-2</v>
      </c>
      <c r="W361" s="137"/>
      <c r="X361" s="137">
        <f t="shared" si="418"/>
        <v>5.4999999999999997E-3</v>
      </c>
      <c r="Y361" s="138"/>
      <c r="Z361" s="137">
        <f>SUM(L361:X361)</f>
        <v>1</v>
      </c>
      <c r="AA361" s="99"/>
      <c r="AC361" s="123" t="s">
        <v>166</v>
      </c>
      <c r="AD361" s="63"/>
      <c r="AE361" s="74"/>
      <c r="AF361" s="59"/>
      <c r="AG361" s="77"/>
      <c r="AH361" s="59"/>
      <c r="AI361" s="137">
        <f>ROUND(AI360/$J360,4)</f>
        <v>3.1699999999999999E-2</v>
      </c>
      <c r="AJ361" s="137"/>
      <c r="AK361" s="137">
        <f>ROUND(AK360/$J360,4)</f>
        <v>6.6E-3</v>
      </c>
      <c r="AL361" s="137"/>
      <c r="AM361" s="137">
        <f>ROUND(AM360/$J360,4)</f>
        <v>3.4599999999999999E-2</v>
      </c>
      <c r="AN361" s="137"/>
      <c r="AO361" s="137">
        <f>ROUND(AO360/$J360,4)</f>
        <v>0.90590000000000004</v>
      </c>
      <c r="AP361" s="137"/>
      <c r="AQ361" s="137">
        <f>ROUND(AQ360/$J360,4)</f>
        <v>0</v>
      </c>
      <c r="AR361" s="137"/>
      <c r="AS361" s="137">
        <f>ROUND(AS360/$J360,4)</f>
        <v>0</v>
      </c>
      <c r="AT361" s="137"/>
      <c r="AU361" s="137">
        <f>ROUND(AU360/$J360,4)</f>
        <v>0</v>
      </c>
      <c r="AV361" s="137"/>
      <c r="AW361" s="137">
        <f>ROUND(AW360/$J360,4)</f>
        <v>1.5699999999999999E-2</v>
      </c>
      <c r="AX361" s="137"/>
      <c r="AY361" s="137">
        <f>ROUND(AY360/$J360,4)</f>
        <v>5.4999999999999997E-3</v>
      </c>
      <c r="AZ361" s="138"/>
      <c r="BA361" s="137">
        <f>SUM(AI361:AY361)</f>
        <v>1</v>
      </c>
    </row>
    <row r="362" spans="1:54" x14ac:dyDescent="0.2">
      <c r="C362" s="370"/>
      <c r="F362" s="123" t="s">
        <v>170</v>
      </c>
      <c r="J362" s="77">
        <f>+J102+J103+J104+J105+J106+J110</f>
        <v>727156.04809661582</v>
      </c>
      <c r="L362" s="77">
        <f>+L102+L103+L104+L105+L106+L110</f>
        <v>439609.41552021337</v>
      </c>
      <c r="M362" s="59"/>
      <c r="N362" s="77">
        <f>+N102+N103+N104+N105+N106+N110</f>
        <v>116585.6672638052</v>
      </c>
      <c r="O362" s="59"/>
      <c r="P362" s="77">
        <f>+P102+P103+P104+P105+P106+P110</f>
        <v>10887.416191711582</v>
      </c>
      <c r="Q362" s="59"/>
      <c r="R362" s="77">
        <f>+R102+R103+R104+R105+R106+R110</f>
        <v>25756.491190315646</v>
      </c>
      <c r="S362" s="59"/>
      <c r="T362" s="77">
        <f>+T102+T103+T104+T105+T106+T110</f>
        <v>1906.9798408093775</v>
      </c>
      <c r="U362" s="59"/>
      <c r="V362" s="77">
        <f>+V102+V103+V104+V105+V106+V110</f>
        <v>28973.118785156152</v>
      </c>
      <c r="W362" s="59"/>
      <c r="X362" s="77">
        <f>+X102+X103+X104+X105+X106+X110</f>
        <v>103436.95930460458</v>
      </c>
      <c r="Z362" s="99">
        <f>SUM(L362:X362)-J362</f>
        <v>0</v>
      </c>
      <c r="AA362" s="99"/>
      <c r="AC362" s="123" t="s">
        <v>170</v>
      </c>
      <c r="AD362" s="63"/>
      <c r="AE362" s="74"/>
      <c r="AF362" s="59"/>
      <c r="AG362" s="77">
        <f>+AG102+AG103+AG104+AG105+AG106+AG110</f>
        <v>727156.04809661582</v>
      </c>
      <c r="AH362" s="59"/>
      <c r="AI362" s="77">
        <f>+AI102+AI103+AI104+AI105+AI106+AI110</f>
        <v>95702.618348938937</v>
      </c>
      <c r="AJ362" s="59"/>
      <c r="AK362" s="77">
        <f>+AK102+AK103+AK104+AK105+AK106+AK110</f>
        <v>19984.0724569138</v>
      </c>
      <c r="AL362" s="59"/>
      <c r="AM362" s="77">
        <f>+AM102+AM103+AM104+AM105+AM106+AM110</f>
        <v>104389.16240684368</v>
      </c>
      <c r="AN362" s="59"/>
      <c r="AO362" s="77">
        <f>+AO102+AO103+AO104+AO105+AO106+AO110</f>
        <v>111683.50144441797</v>
      </c>
      <c r="AP362" s="59"/>
      <c r="AQ362" s="77">
        <f>+AQ102+AQ103+AQ104+AQ105+AQ106+AQ110</f>
        <v>262986.61534974078</v>
      </c>
      <c r="AR362" s="59"/>
      <c r="AS362" s="77">
        <f>+AS102+AS103+AS104+AS105+AS106+AS110</f>
        <v>0</v>
      </c>
      <c r="AT362" s="59"/>
      <c r="AU362" s="77">
        <f>+AU102+AU103+AU104+AU105+AU106+AU110</f>
        <v>0</v>
      </c>
      <c r="AV362" s="59"/>
      <c r="AW362" s="77">
        <f>+AW102+AW103+AW104+AW105+AW106+AW110</f>
        <v>28973.118785156152</v>
      </c>
      <c r="AX362" s="59"/>
      <c r="AY362" s="77">
        <f>+AY102+AY103+AY104+AY105+AY106+AY110</f>
        <v>103436.95930460458</v>
      </c>
      <c r="BA362" s="99">
        <f>SUM(AI362:AY362)-AG362</f>
        <v>0</v>
      </c>
    </row>
    <row r="363" spans="1:54" x14ac:dyDescent="0.2">
      <c r="C363" s="370"/>
      <c r="F363" s="123" t="s">
        <v>167</v>
      </c>
      <c r="J363" s="124"/>
      <c r="K363" s="124"/>
      <c r="L363" s="137">
        <f>ROUND(L362/$J362,4)+0.0001</f>
        <v>0.60470000000000002</v>
      </c>
      <c r="M363" s="137"/>
      <c r="N363" s="137">
        <f>ROUND(N362/$J362,4)</f>
        <v>0.1603</v>
      </c>
      <c r="O363" s="137"/>
      <c r="P363" s="137">
        <f>ROUND(P362/$J362,4)</f>
        <v>1.4999999999999999E-2</v>
      </c>
      <c r="Q363" s="137"/>
      <c r="R363" s="137">
        <f>ROUND(R362/$J362,4)</f>
        <v>3.5400000000000001E-2</v>
      </c>
      <c r="S363" s="137"/>
      <c r="T363" s="137">
        <f>ROUND(T362/$J362,4)</f>
        <v>2.5999999999999999E-3</v>
      </c>
      <c r="U363" s="137"/>
      <c r="V363" s="137">
        <f>ROUND(V362/$J362,4)</f>
        <v>3.9800000000000002E-2</v>
      </c>
      <c r="W363" s="137"/>
      <c r="X363" s="137">
        <f>ROUND(X362/$J362,4)</f>
        <v>0.14219999999999999</v>
      </c>
      <c r="Y363" s="138"/>
      <c r="Z363" s="137">
        <f>SUM(L363:X363)</f>
        <v>1</v>
      </c>
      <c r="AA363" s="99"/>
      <c r="AC363" s="123" t="s">
        <v>167</v>
      </c>
      <c r="AD363" s="63"/>
      <c r="AE363" s="74"/>
      <c r="AF363" s="59"/>
      <c r="AG363" s="124"/>
      <c r="AH363" s="124"/>
      <c r="AI363" s="137">
        <f>ROUND(AI362/$J362,4)</f>
        <v>0.13159999999999999</v>
      </c>
      <c r="AJ363" s="137"/>
      <c r="AK363" s="137">
        <f>ROUND(AK362/$J362,4)</f>
        <v>2.75E-2</v>
      </c>
      <c r="AL363" s="137"/>
      <c r="AM363" s="137">
        <f>ROUND(AM362/$J362,4)</f>
        <v>0.14360000000000001</v>
      </c>
      <c r="AN363" s="137"/>
      <c r="AO363" s="137">
        <f>ROUND(AO362/$J362,4)</f>
        <v>0.15359999999999999</v>
      </c>
      <c r="AP363" s="137"/>
      <c r="AQ363" s="137">
        <f>ROUND(AQ362/$J362,4)</f>
        <v>0.36170000000000002</v>
      </c>
      <c r="AR363" s="137"/>
      <c r="AS363" s="137">
        <f>ROUND(AS362/$J362,4)</f>
        <v>0</v>
      </c>
      <c r="AT363" s="137"/>
      <c r="AU363" s="137">
        <f>ROUND(AU362/$J362,4)</f>
        <v>0</v>
      </c>
      <c r="AV363" s="137"/>
      <c r="AW363" s="137">
        <f>ROUND(AW362/$J362,4)</f>
        <v>3.9800000000000002E-2</v>
      </c>
      <c r="AX363" s="137"/>
      <c r="AY363" s="137">
        <f>ROUND(AY362/$J362,4)</f>
        <v>0.14219999999999999</v>
      </c>
      <c r="AZ363" s="138"/>
      <c r="BA363" s="137">
        <f>SUM(AI363:AY363)</f>
        <v>0.99999999999999989</v>
      </c>
    </row>
    <row r="364" spans="1:54" x14ac:dyDescent="0.2">
      <c r="C364" s="370"/>
      <c r="F364" s="123" t="s">
        <v>171</v>
      </c>
      <c r="J364" s="77">
        <f>+J29-J14-J15-J19+J40-J32+J75-J47-J48+J114+J132</f>
        <v>10789046.563671675</v>
      </c>
      <c r="L364" s="77">
        <f>+L29-L14-L15-L19+L40-L32+L75-L47-L48+L114+L132</f>
        <v>7384255.9617905635</v>
      </c>
      <c r="M364" s="59"/>
      <c r="N364" s="77">
        <f>+N29-N14-N15-N19+N40-N32+N75-N47-N48+N114+N132</f>
        <v>1994458.977125067</v>
      </c>
      <c r="O364" s="59"/>
      <c r="P364" s="77">
        <f>+P29-P14-P15-P19+P40-P32+P75-P47-P48+P114+P132</f>
        <v>249416.02335752815</v>
      </c>
      <c r="Q364" s="59"/>
      <c r="R364" s="77">
        <f>+R29-R14-R15-R19+R40-R32+R75-R47-R48+R114+R132</f>
        <v>541499.26887183671</v>
      </c>
      <c r="S364" s="59"/>
      <c r="T364" s="77">
        <f>+T29-T14-T15-T19+T40-T32+T75-T47-T48+T114+T132</f>
        <v>139894.74815115388</v>
      </c>
      <c r="U364" s="59"/>
      <c r="V364" s="77">
        <f>+V29-V14-V15-V19+V40-V32+V75-V47-V48+V114+V132</f>
        <v>173534.62213794517</v>
      </c>
      <c r="W364" s="59"/>
      <c r="X364" s="77">
        <f>+X29-X14-X15-X19+X40-X32+X75-X47-X48+X114+X132</f>
        <v>305986.96223757992</v>
      </c>
      <c r="Z364" s="99">
        <f>SUM(L364:X364)-J364</f>
        <v>0</v>
      </c>
      <c r="AA364" s="99"/>
      <c r="AC364" s="123" t="s">
        <v>171</v>
      </c>
      <c r="AD364" s="63"/>
      <c r="AE364" s="74"/>
      <c r="AF364" s="59"/>
      <c r="AG364" s="77">
        <f>+AG29-AG14-AG15-AG19+AG40-AG32+AG75-AG47-AG48+AG114+AG132</f>
        <v>10789046.563671675</v>
      </c>
      <c r="AH364" s="59"/>
      <c r="AI364" s="77">
        <f>+AI29-AI14-AI15-AI19+AI40-AI32+AI75-AI47-AI48+AI114+AI132</f>
        <v>2761290.0240165493</v>
      </c>
      <c r="AJ364" s="59"/>
      <c r="AK364" s="77">
        <f>+AK29-AK14-AK15-AK19+AK40-AK32+AK75-AK47-AK48+AK114+AK132</f>
        <v>1627224.690961841</v>
      </c>
      <c r="AL364" s="59"/>
      <c r="AM364" s="77">
        <f>+AM29-AM14-AM15-AM19+AM40-AM32+AM75-AM47-AM48+AM114+AM132</f>
        <v>347135.11870874057</v>
      </c>
      <c r="AN364" s="59"/>
      <c r="AO364" s="77">
        <f>+AO29-AO14-AO15-AO19+AO40-AO32+AO75-AO47-AO48+AO114+AO132</f>
        <v>1780095.2766143656</v>
      </c>
      <c r="AP364" s="59"/>
      <c r="AQ364" s="77">
        <f>+AQ29-AQ14-AQ15-AQ19+AQ40-AQ32+AQ75-AQ47-AQ48+AQ114+AQ132</f>
        <v>733135.57867538382</v>
      </c>
      <c r="AR364" s="59"/>
      <c r="AS364" s="77">
        <f>+AS29-AS14-AS15-AS19+AS40-AS32+AS75-AS47-AS48+AS114+AS132</f>
        <v>2286343.8977764612</v>
      </c>
      <c r="AT364" s="59"/>
      <c r="AU364" s="77">
        <f>+AU29-AU14-AU15-AU19+AU40-AU32+AU75-AU47-AU48+AU114+AU132</f>
        <v>790359.8087853234</v>
      </c>
      <c r="AV364" s="59"/>
      <c r="AW364" s="77">
        <f>+AW29-AW14-AW15-AW19+AW40-AW32+AW75-AW47-AW48+AW114+AW132</f>
        <v>157475.20589543125</v>
      </c>
      <c r="AX364" s="59"/>
      <c r="AY364" s="77">
        <f>+AY29-AY14-AY15-AY19+AY40-AY32+AY75-AY47-AY48+AY114+AY132</f>
        <v>305986.96223757992</v>
      </c>
      <c r="AZ364" s="59"/>
      <c r="BA364" s="99">
        <f>SUM(AI364:AY364)-AG364</f>
        <v>0</v>
      </c>
      <c r="BB364" s="82"/>
    </row>
    <row r="365" spans="1:54" x14ac:dyDescent="0.2">
      <c r="C365" s="370"/>
      <c r="F365" s="123" t="s">
        <v>168</v>
      </c>
      <c r="L365" s="137">
        <f>ROUND(L364/$J364,4)-0.0001</f>
        <v>0.68430000000000002</v>
      </c>
      <c r="M365" s="137"/>
      <c r="N365" s="137">
        <f>ROUND(N364/$J364,4)</f>
        <v>0.18490000000000001</v>
      </c>
      <c r="O365" s="137"/>
      <c r="P365" s="137">
        <f>ROUND(P364/$J364,4)</f>
        <v>2.3099999999999999E-2</v>
      </c>
      <c r="Q365" s="137"/>
      <c r="R365" s="137">
        <f>ROUND(R364/$J364,4)</f>
        <v>5.0200000000000002E-2</v>
      </c>
      <c r="S365" s="137"/>
      <c r="T365" s="137">
        <f>ROUND(T364/$J364,4)</f>
        <v>1.2999999999999999E-2</v>
      </c>
      <c r="U365" s="137"/>
      <c r="V365" s="137">
        <f>ROUND(V364/$J364,4)</f>
        <v>1.61E-2</v>
      </c>
      <c r="W365" s="137"/>
      <c r="X365" s="137">
        <f>ROUND(X364/$J364,4)</f>
        <v>2.8400000000000002E-2</v>
      </c>
      <c r="Y365" s="138"/>
      <c r="Z365" s="137">
        <f>SUM(L365:X365)</f>
        <v>1</v>
      </c>
      <c r="AA365" s="99"/>
      <c r="AC365" s="123" t="s">
        <v>168</v>
      </c>
      <c r="AD365" s="63"/>
      <c r="AE365" s="74"/>
      <c r="AF365" s="59"/>
      <c r="AG365" s="77"/>
      <c r="AH365" s="59"/>
      <c r="AI365" s="137">
        <f>ROUND(AI364/$J364,4)-0.0001</f>
        <v>0.25580000000000003</v>
      </c>
      <c r="AJ365" s="137"/>
      <c r="AK365" s="137">
        <f>ROUND(AK364/$J364,4)</f>
        <v>0.15079999999999999</v>
      </c>
      <c r="AL365" s="137"/>
      <c r="AM365" s="137">
        <f>ROUND(AM364/$J364,4)</f>
        <v>3.2199999999999999E-2</v>
      </c>
      <c r="AN365" s="137"/>
      <c r="AO365" s="137">
        <f>ROUND(AO364/$J364,4)</f>
        <v>0.16500000000000001</v>
      </c>
      <c r="AP365" s="137"/>
      <c r="AQ365" s="137">
        <f>ROUND(AQ364/$J364,4)</f>
        <v>6.8000000000000005E-2</v>
      </c>
      <c r="AR365" s="137"/>
      <c r="AS365" s="137">
        <f>ROUND(AS364/$J364,4)</f>
        <v>0.21190000000000001</v>
      </c>
      <c r="AT365" s="137"/>
      <c r="AU365" s="137">
        <f>ROUND(AU364/$J364,4)</f>
        <v>7.3300000000000004E-2</v>
      </c>
      <c r="AV365" s="137"/>
      <c r="AW365" s="137">
        <f>ROUND(AW364/$J364,4)</f>
        <v>1.46E-2</v>
      </c>
      <c r="AX365" s="137"/>
      <c r="AY365" s="137">
        <f>ROUND(AY364/$J364,4)</f>
        <v>2.8400000000000002E-2</v>
      </c>
      <c r="AZ365" s="138"/>
      <c r="BA365" s="137">
        <f>SUM(AI365:AY365)</f>
        <v>0.99999999999999989</v>
      </c>
    </row>
    <row r="366" spans="1:54" x14ac:dyDescent="0.2">
      <c r="C366" s="370"/>
      <c r="F366" s="123" t="s">
        <v>5</v>
      </c>
      <c r="J366" s="77">
        <f>+J173</f>
        <v>34381915.147216797</v>
      </c>
      <c r="L366" s="77">
        <f ca="1">+L173</f>
        <v>22548156.177911002</v>
      </c>
      <c r="M366" s="59"/>
      <c r="N366" s="77">
        <f ca="1">+N173</f>
        <v>7014722.3728229757</v>
      </c>
      <c r="O366" s="59"/>
      <c r="P366" s="77">
        <f ca="1">+P173</f>
        <v>964534.21600263251</v>
      </c>
      <c r="Q366" s="59"/>
      <c r="R366" s="77">
        <f ca="1">+R173</f>
        <v>2021242.3379745414</v>
      </c>
      <c r="S366" s="59"/>
      <c r="T366" s="77">
        <f ca="1">+T173</f>
        <v>575420.8031307261</v>
      </c>
      <c r="U366" s="59"/>
      <c r="V366" s="77">
        <f ca="1">+V173</f>
        <v>473940.52185554354</v>
      </c>
      <c r="W366" s="59"/>
      <c r="X366" s="77">
        <f ca="1">+X173</f>
        <v>783898.71751936967</v>
      </c>
      <c r="Y366" s="138"/>
      <c r="Z366" s="99">
        <f ca="1">SUM(L366:X366)-J366</f>
        <v>0</v>
      </c>
      <c r="AA366" s="99"/>
      <c r="AC366" s="123" t="s">
        <v>5</v>
      </c>
      <c r="AD366" s="63"/>
      <c r="AE366" s="74"/>
      <c r="AF366" s="59"/>
      <c r="AG366" s="77">
        <f>+AG173</f>
        <v>34381915.147216797</v>
      </c>
      <c r="AH366" s="59"/>
      <c r="AI366" s="77">
        <f ca="1">+AI173</f>
        <v>13107945.097471667</v>
      </c>
      <c r="AJ366" s="59"/>
      <c r="AK366" s="77">
        <f ca="1">+AK173</f>
        <v>4147390.459041568</v>
      </c>
      <c r="AL366" s="59"/>
      <c r="AM366" s="77">
        <f ca="1">+AM173</f>
        <v>850959.45408175734</v>
      </c>
      <c r="AN366" s="59"/>
      <c r="AO366" s="77">
        <f ca="1">+AO173</f>
        <v>4635164.1035862193</v>
      </c>
      <c r="AP366" s="59"/>
      <c r="AQ366" s="77">
        <f ca="1">+AQ173</f>
        <v>1818557.4854453197</v>
      </c>
      <c r="AR366" s="59"/>
      <c r="AS366" s="77">
        <f ca="1">+AS173</f>
        <v>6956468.5768818967</v>
      </c>
      <c r="AT366" s="59"/>
      <c r="AU366" s="77">
        <f ca="1">+AU173</f>
        <v>1643616.471557948</v>
      </c>
      <c r="AV366" s="59"/>
      <c r="AW366" s="77">
        <f ca="1">+AW173</f>
        <v>438001.93863104843</v>
      </c>
      <c r="AX366" s="59"/>
      <c r="AY366" s="77">
        <f ca="1">+AY173</f>
        <v>783811.56051936978</v>
      </c>
      <c r="AZ366" s="138"/>
      <c r="BA366" s="99">
        <f ca="1">SUM(AI366:AY366)-AG366</f>
        <v>0</v>
      </c>
    </row>
    <row r="367" spans="1:54" x14ac:dyDescent="0.2">
      <c r="C367" s="370"/>
      <c r="F367" s="123" t="s">
        <v>6</v>
      </c>
      <c r="L367" s="137">
        <f ca="1">+ROUND(L366/$J$366,4)</f>
        <v>0.65580000000000005</v>
      </c>
      <c r="M367" s="59"/>
      <c r="N367" s="137">
        <f ca="1">+ROUND(N366/$J$366,4)</f>
        <v>0.20399999999999999</v>
      </c>
      <c r="O367" s="59"/>
      <c r="P367" s="137">
        <f ca="1">+ROUND(P366/$J$366,4)</f>
        <v>2.81E-2</v>
      </c>
      <c r="Q367" s="59"/>
      <c r="R367" s="137">
        <f ca="1">+ROUND(R366/$J$366,4)</f>
        <v>5.8799999999999998E-2</v>
      </c>
      <c r="S367" s="59"/>
      <c r="T367" s="137">
        <f ca="1">+ROUND(T366/$J$366,4)</f>
        <v>1.67E-2</v>
      </c>
      <c r="U367" s="59"/>
      <c r="V367" s="137">
        <f ca="1">+ROUND(V366/$J$366,4)</f>
        <v>1.38E-2</v>
      </c>
      <c r="W367" s="59"/>
      <c r="X367" s="137">
        <f ca="1">+ROUND(X366/$J$366,4)</f>
        <v>2.2800000000000001E-2</v>
      </c>
      <c r="Y367" s="138"/>
      <c r="Z367" s="137">
        <f ca="1">SUM(L367:X367)</f>
        <v>1</v>
      </c>
      <c r="AA367" s="99"/>
      <c r="AC367" s="123" t="s">
        <v>6</v>
      </c>
      <c r="AD367" s="63"/>
      <c r="AE367" s="74"/>
      <c r="AF367" s="59"/>
      <c r="AG367" s="77"/>
      <c r="AH367" s="59"/>
      <c r="AI367" s="137">
        <f ca="1">+ROUND(AI366/$AG$366,4)</f>
        <v>0.38119999999999998</v>
      </c>
      <c r="AJ367" s="59"/>
      <c r="AK367" s="137">
        <f ca="1">+ROUND(AK366/$AG$366,4)</f>
        <v>0.1206</v>
      </c>
      <c r="AL367" s="59"/>
      <c r="AM367" s="137">
        <f ca="1">+ROUND(AM366/$AG$366,4)</f>
        <v>2.4799999999999999E-2</v>
      </c>
      <c r="AN367" s="59"/>
      <c r="AO367" s="137">
        <f ca="1">+ROUND(AO366/$AG$366,4)</f>
        <v>0.1348</v>
      </c>
      <c r="AP367" s="59"/>
      <c r="AQ367" s="137">
        <f ca="1">+ROUND(AQ366/$AG$366,4)</f>
        <v>5.2900000000000003E-2</v>
      </c>
      <c r="AR367" s="59"/>
      <c r="AS367" s="137">
        <f ca="1">+ROUND(AS366/$AG$366,4)</f>
        <v>0.20230000000000001</v>
      </c>
      <c r="AT367" s="59"/>
      <c r="AU367" s="137">
        <f ca="1">+ROUND(AU366/$AG$366,4)+0.0001</f>
        <v>4.7900000000000005E-2</v>
      </c>
      <c r="AV367" s="59"/>
      <c r="AW367" s="137">
        <f ca="1">+ROUND(AW366/$AG$366,4)</f>
        <v>1.2699999999999999E-2</v>
      </c>
      <c r="AX367" s="59"/>
      <c r="AY367" s="137">
        <f ca="1">+ROUND(AY366/$AG$366,4)</f>
        <v>2.2800000000000001E-2</v>
      </c>
      <c r="AZ367" s="138"/>
      <c r="BA367" s="137">
        <f ca="1">SUM(AI367:AY367)</f>
        <v>1.0000000000000002</v>
      </c>
    </row>
    <row r="368" spans="1:54" s="417" customFormat="1" x14ac:dyDescent="0.2">
      <c r="C368" s="116"/>
      <c r="D368" s="412"/>
      <c r="E368" s="116"/>
      <c r="F368" s="123" t="s">
        <v>172</v>
      </c>
      <c r="G368" s="63"/>
      <c r="H368" s="75"/>
      <c r="J368" s="116">
        <f>+J24+J45+J46+J67+J68+J79+J80+J100+J117+J119+J137+J82+J83+J84+J101+J102+J103+J104+J105+J106+J36</f>
        <v>7352130.4441282181</v>
      </c>
      <c r="K368" s="481"/>
      <c r="L368" s="116">
        <f>+L24+L45+L46+L67+L68+L79+L80+L100+L117+L119+L137+L82+L83+L84+L101+L102+L103+L104+L105+L106+L36</f>
        <v>4778960.4330627518</v>
      </c>
      <c r="M368" s="481"/>
      <c r="N368" s="116">
        <f>+N24+N45+N46+N67+N68+N79+N80+N100+N117+N119+N137+N82+N83+N84+N101+N102+N103+N104+N105+N106+N36</f>
        <v>1516893.4866306172</v>
      </c>
      <c r="O368" s="481"/>
      <c r="P368" s="116">
        <f>+P24+P45+P46+P67+P68+P79+P80+P100+P117+P119+P137+P82+P83+P84+P101+P102+P103+P104+P105+P106+P36</f>
        <v>190824.39500439743</v>
      </c>
      <c r="Q368" s="481"/>
      <c r="R368" s="116">
        <f>+R24+R45+R46+R67+R68+R79+R80+R100+R117+R119+R137+R82+R83+R84+R101+R102+R103+R104+R105+R106+R36</f>
        <v>416300.93735839659</v>
      </c>
      <c r="S368" s="481"/>
      <c r="T368" s="116">
        <f>+T24+T45+T46+T67+T68+T79+T80+T100+T117+T119+T137+T82+T83+T84+T101+T102+T103+T104+T105+T106+T36</f>
        <v>112168.89071891659</v>
      </c>
      <c r="U368" s="481"/>
      <c r="V368" s="116">
        <f>+V24+V45+V46+V67+V68+V79+V80+V100+V117+V119+V137+V82+V83+V84+V101+V102+V103+V104+V105+V106+V36</f>
        <v>104335.77720558604</v>
      </c>
      <c r="W368" s="481"/>
      <c r="X368" s="116">
        <f>+X24+X45+X46+X67+X68+X79+X80+X100+X117+X119+X137+X82+X83+X84+X101+X102+X103+X104+X105+X106+X36</f>
        <v>232646.52414755221</v>
      </c>
      <c r="Y368" s="481"/>
      <c r="Z368" s="116">
        <f>+Z24+Z45+Z46+Z67+Z68+Z79+Z80+Z100+Z117+Z119+Z137+Z82+Z83+Z84+Z101+Z102+Z103+Z104+Z105+Z106+Z36</f>
        <v>0</v>
      </c>
      <c r="AA368" s="99"/>
      <c r="AC368" s="123" t="s">
        <v>172</v>
      </c>
      <c r="AD368" s="63"/>
      <c r="AE368" s="75"/>
      <c r="AG368" s="116">
        <f>+AG24+AG45+AG46+AG67+AG68+AG79+AG80+AG100+AG117+AG119+AG137+AG82+AG83+AG84+AG101+AG102+AG103+AG104+AG105+AG106+AG36</f>
        <v>7352130.4441282181</v>
      </c>
      <c r="AH368" s="481"/>
      <c r="AI368" s="116">
        <f>+AI24+AI45+AI46+AI67+AI68+AI79+AI80+AI100+AI117+AI119+AI137+AI82+AI83+AI84+AI101+AI102+AI103+AI104+AI105+AI106+AI36</f>
        <v>2073064.5605876453</v>
      </c>
      <c r="AJ368" s="481"/>
      <c r="AK368" s="116">
        <f>+AK24+AK45+AK46+AK67+AK68+AK79+AK80+AK100+AK117+AK119+AK137+AK82+AK83+AK84+AK101+AK102+AK103+AK104+AK105+AK106+AK36</f>
        <v>1418912.409574762</v>
      </c>
      <c r="AL368" s="481"/>
      <c r="AM368" s="116">
        <f>+AM24+AM45+AM46+AM67+AM68+AM79+AM80+AM100+AM117+AM119+AM137+AM82+AM83+AM84+AM101+AM102+AM103+AM104+AM105+AM106+AM36</f>
        <v>226260.80564375047</v>
      </c>
      <c r="AN368" s="481"/>
      <c r="AO368" s="116">
        <f>+AO24+AO45+AO46+AO67+AO68+AO79+AO80+AO100+AO117+AO119+AO137+AO82+AO83+AO84+AO101+AO102+AO103+AO104+AO105+AO106+AO36</f>
        <v>1783049.3541664458</v>
      </c>
      <c r="AP368" s="481"/>
      <c r="AQ368" s="116">
        <f>+AQ24+AQ45+AQ46+AQ67+AQ68+AQ79+AQ80+AQ100+AQ117+AQ119+AQ137+AQ82+AQ83+AQ84+AQ101+AQ102+AQ103+AQ104+AQ105+AQ106+AQ36</f>
        <v>576363.20298431499</v>
      </c>
      <c r="AR368" s="481"/>
      <c r="AS368" s="116">
        <f>+AS24+AS45+AS46+AS67+AS68+AS79+AS80+AS100+AS117+AS119+AS137+AS82+AS83+AS84+AS101+AS102+AS103+AS104+AS105+AS106+AS36</f>
        <v>852360.05566912959</v>
      </c>
      <c r="AT368" s="481"/>
      <c r="AU368" s="116">
        <f>+AU24+AU45+AU46+AU67+AU68+AU79+AU80+AU100+AU117+AU119+AU137+AU82+AU83+AU84+AU101+AU102+AU103+AU104+AU105+AU106+AU36</f>
        <v>90966.183394785679</v>
      </c>
      <c r="AV368" s="481"/>
      <c r="AW368" s="116">
        <f>+AW24+AW45+AW46+AW67+AW68+AW79+AW80+AW100+AW117+AW119+AW137+AW82+AW83+AW84+AW101+AW102+AW103+AW104+AW105+AW106+AW36</f>
        <v>98507.347959831663</v>
      </c>
      <c r="AX368" s="481"/>
      <c r="AY368" s="116">
        <f>+AY24+AY45+AY46+AY67+AY68+AY79+AY80+AY100+AY117+AY119+AY137+AY82+AY83+AY84+AY101+AY102+AY103+AY104+AY105+AY106+AY36</f>
        <v>232646.52414755221</v>
      </c>
      <c r="BA368" s="99">
        <f>SUM(AI368:AY368)-AG368</f>
        <v>0</v>
      </c>
    </row>
    <row r="369" spans="3:53" s="417" customFormat="1" x14ac:dyDescent="0.2">
      <c r="C369" s="116"/>
      <c r="D369" s="412"/>
      <c r="E369" s="116"/>
      <c r="F369" s="123" t="s">
        <v>173</v>
      </c>
      <c r="G369" s="63"/>
      <c r="H369" s="75"/>
      <c r="J369" s="82"/>
      <c r="L369" s="363">
        <f>ROUND(L368/$J368,4)</f>
        <v>0.65</v>
      </c>
      <c r="M369" s="363"/>
      <c r="N369" s="363">
        <f>ROUND(N368/$J368,4)</f>
        <v>0.20630000000000001</v>
      </c>
      <c r="O369" s="363"/>
      <c r="P369" s="363">
        <f>ROUND(P368/$J368,4)</f>
        <v>2.5999999999999999E-2</v>
      </c>
      <c r="Q369" s="363"/>
      <c r="R369" s="363">
        <f>ROUND(R368/$J368,4)</f>
        <v>5.6599999999999998E-2</v>
      </c>
      <c r="S369" s="363"/>
      <c r="T369" s="363">
        <f>ROUND(T368/$J368,4)</f>
        <v>1.5299999999999999E-2</v>
      </c>
      <c r="U369" s="363"/>
      <c r="V369" s="363">
        <f>ROUND(V368/$J368,4)</f>
        <v>1.4200000000000001E-2</v>
      </c>
      <c r="W369" s="363"/>
      <c r="X369" s="363">
        <f>ROUND(X368/$J368,4)</f>
        <v>3.1600000000000003E-2</v>
      </c>
      <c r="Z369" s="363">
        <f>SUM(L369:X369)</f>
        <v>1</v>
      </c>
      <c r="AA369" s="99"/>
      <c r="AC369" s="123" t="s">
        <v>173</v>
      </c>
      <c r="AD369" s="63"/>
      <c r="AE369" s="75"/>
      <c r="AG369" s="82"/>
      <c r="AI369" s="363">
        <f>ROUND(AI368/$J368,4)</f>
        <v>0.28199999999999997</v>
      </c>
      <c r="AJ369" s="363"/>
      <c r="AK369" s="363">
        <f>ROUND(AK368/$J368,4)</f>
        <v>0.193</v>
      </c>
      <c r="AL369" s="363"/>
      <c r="AM369" s="363">
        <f>ROUND(AM368/$J368,4)</f>
        <v>3.0800000000000001E-2</v>
      </c>
      <c r="AN369" s="363"/>
      <c r="AO369" s="363">
        <f>ROUND(AO368/$J368,4)</f>
        <v>0.24249999999999999</v>
      </c>
      <c r="AP369" s="363"/>
      <c r="AQ369" s="363">
        <f>ROUND(AQ368/$J368,4)</f>
        <v>7.8399999999999997E-2</v>
      </c>
      <c r="AR369" s="363"/>
      <c r="AS369" s="363">
        <f>ROUND(AS368/$J368,4)</f>
        <v>0.1159</v>
      </c>
      <c r="AT369" s="363"/>
      <c r="AU369" s="363">
        <f>ROUND(AU368/$J368,4)</f>
        <v>1.24E-2</v>
      </c>
      <c r="AV369" s="363"/>
      <c r="AW369" s="363">
        <f>ROUND(AW368/$J368,4)</f>
        <v>1.34E-2</v>
      </c>
      <c r="AX369" s="363"/>
      <c r="AY369" s="363">
        <f>ROUND(AY368/$J368,4)</f>
        <v>3.1600000000000003E-2</v>
      </c>
      <c r="BA369" s="363">
        <f>SUM(AI369:AY369)</f>
        <v>0.99999999999999989</v>
      </c>
    </row>
    <row r="370" spans="3:53" x14ac:dyDescent="0.2">
      <c r="C370" s="370"/>
      <c r="F370" s="123" t="s">
        <v>174</v>
      </c>
      <c r="J370" s="77">
        <f>+SUM(J281:J326)+SUM(J333:J341)</f>
        <v>463660482.91129774</v>
      </c>
      <c r="L370" s="77">
        <f>+SUM(L281:L326)+SUM(L333:L341)</f>
        <v>236636627.04600343</v>
      </c>
      <c r="M370" s="59"/>
      <c r="N370" s="77">
        <f>+SUM(N281:N326)+SUM(N333:N341)</f>
        <v>121208484.54060632</v>
      </c>
      <c r="O370" s="59"/>
      <c r="P370" s="77">
        <f>+SUM(P281:P326)+SUM(P333:P341)</f>
        <v>18049265.799556263</v>
      </c>
      <c r="Q370" s="59"/>
      <c r="R370" s="77">
        <f>+SUM(R281:R326)+SUM(R333:R341)</f>
        <v>36062520.456712186</v>
      </c>
      <c r="S370" s="59"/>
      <c r="T370" s="77">
        <f>+SUM(T281:T326)+SUM(T333:T341)</f>
        <v>9513913.9947667588</v>
      </c>
      <c r="U370" s="59"/>
      <c r="V370" s="77">
        <f>+SUM(V281:V326)+SUM(V333:V341)</f>
        <v>13994057.48216054</v>
      </c>
      <c r="W370" s="59"/>
      <c r="X370" s="77">
        <f>+SUM(X281:X326)+SUM(X333:X341)</f>
        <v>28195613.591492247</v>
      </c>
      <c r="Z370" s="99">
        <f>SUM(L370:X370)-J370</f>
        <v>0</v>
      </c>
      <c r="AA370" s="99"/>
      <c r="AC370" s="123" t="s">
        <v>174</v>
      </c>
      <c r="AD370" s="63"/>
      <c r="AE370" s="74"/>
      <c r="AF370" s="59"/>
      <c r="AG370" s="77">
        <f>+SUM(AG281:AG326)+SUM(AG333:AG341)</f>
        <v>463660482.91129774</v>
      </c>
      <c r="AH370" s="59"/>
      <c r="AI370" s="77">
        <f>+SUM(AI281:AI326)+SUM(AI333:AI341)</f>
        <v>197410517.13551575</v>
      </c>
      <c r="AJ370" s="59"/>
      <c r="AK370" s="77">
        <f>+SUM(AK281:AK326)+SUM(AK333:AK341)</f>
        <v>121660642.41207819</v>
      </c>
      <c r="AL370" s="59"/>
      <c r="AM370" s="77">
        <f>+SUM(AM281:AM326)+SUM(AM333:AM341)</f>
        <v>51393600.112868145</v>
      </c>
      <c r="AN370" s="59"/>
      <c r="AO370" s="77">
        <f>+SUM(AO281:AO326)+SUM(AO333:AO341)</f>
        <v>29706879.490277439</v>
      </c>
      <c r="AP370" s="59"/>
      <c r="AQ370" s="77">
        <f>+SUM(AQ281:AQ326)+SUM(AQ333:AQ341)</f>
        <v>10461060.009997029</v>
      </c>
      <c r="AR370" s="59"/>
      <c r="AS370" s="77">
        <f>+SUM(AS281:AS326)+SUM(AS333:AS341)</f>
        <v>8950578.2901212797</v>
      </c>
      <c r="AT370" s="59"/>
      <c r="AU370" s="77">
        <f>+SUM(AU281:AU326)+SUM(AU333:AU341)</f>
        <v>2389149.3218168556</v>
      </c>
      <c r="AV370" s="59"/>
      <c r="AW370" s="77">
        <f>+SUM(AW281:AW326)+SUM(AW333:AW341)</f>
        <v>13732383.428462986</v>
      </c>
      <c r="AX370" s="59"/>
      <c r="AY370" s="77">
        <f>+SUM(AY281:AY326)+SUM(AY333:AY341)</f>
        <v>27955672.710160077</v>
      </c>
      <c r="BA370" s="99">
        <f>SUM(AI370:AY370)-AG370</f>
        <v>0</v>
      </c>
    </row>
    <row r="371" spans="3:53" x14ac:dyDescent="0.2">
      <c r="C371" s="370"/>
      <c r="F371" s="123" t="s">
        <v>175</v>
      </c>
      <c r="L371" s="137">
        <f>ROUND(L370/$J370,4)</f>
        <v>0.51039999999999996</v>
      </c>
      <c r="M371" s="137"/>
      <c r="N371" s="137">
        <f>ROUND(N370/$J370,4)</f>
        <v>0.26140000000000002</v>
      </c>
      <c r="O371" s="137"/>
      <c r="P371" s="137">
        <f>ROUND(P370/$J370,4)</f>
        <v>3.8899999999999997E-2</v>
      </c>
      <c r="Q371" s="137"/>
      <c r="R371" s="137">
        <f>ROUND(R370/$J370,4)</f>
        <v>7.7799999999999994E-2</v>
      </c>
      <c r="S371" s="137"/>
      <c r="T371" s="137">
        <f>ROUND(T370/$J370,4)</f>
        <v>2.0500000000000001E-2</v>
      </c>
      <c r="U371" s="137"/>
      <c r="V371" s="137">
        <f>ROUND(V370/$J370,4)</f>
        <v>3.0200000000000001E-2</v>
      </c>
      <c r="W371" s="137"/>
      <c r="X371" s="137">
        <f>ROUND(X370/$J370,4)</f>
        <v>6.08E-2</v>
      </c>
      <c r="Z371" s="137">
        <f>SUM(L371:X371)</f>
        <v>1</v>
      </c>
      <c r="AA371" s="99"/>
      <c r="AC371" s="123" t="s">
        <v>175</v>
      </c>
      <c r="AD371" s="63"/>
      <c r="AE371" s="74"/>
      <c r="AF371" s="59"/>
      <c r="AG371" s="77"/>
      <c r="AH371" s="59"/>
      <c r="AI371" s="137">
        <f>ROUND(AI370/$J370,4)-0.0001</f>
        <v>0.42570000000000002</v>
      </c>
      <c r="AJ371" s="137"/>
      <c r="AK371" s="137">
        <f>ROUND(AK370/$J370,4)</f>
        <v>0.26240000000000002</v>
      </c>
      <c r="AL371" s="137"/>
      <c r="AM371" s="137">
        <f>ROUND(AM370/$J370,4)</f>
        <v>0.1108</v>
      </c>
      <c r="AN371" s="137"/>
      <c r="AO371" s="137">
        <f>ROUND(AO370/$J370,4)</f>
        <v>6.4100000000000004E-2</v>
      </c>
      <c r="AP371" s="137"/>
      <c r="AQ371" s="137">
        <f>ROUND(AQ370/$J370,4)</f>
        <v>2.2599999999999999E-2</v>
      </c>
      <c r="AR371" s="137"/>
      <c r="AS371" s="137">
        <f>ROUND(AS370/$J370,4)</f>
        <v>1.9300000000000001E-2</v>
      </c>
      <c r="AT371" s="137"/>
      <c r="AU371" s="137">
        <f>ROUND(AU370/$J370,4)</f>
        <v>5.1999999999999998E-3</v>
      </c>
      <c r="AV371" s="137"/>
      <c r="AW371" s="137">
        <f>ROUND(AW370/$J370,4)</f>
        <v>2.9600000000000001E-2</v>
      </c>
      <c r="AX371" s="137"/>
      <c r="AY371" s="137">
        <f>ROUND(AY370/$J370,4)</f>
        <v>6.0299999999999999E-2</v>
      </c>
      <c r="BA371" s="137">
        <f>SUM(AI371:AY371)</f>
        <v>1</v>
      </c>
    </row>
    <row r="372" spans="3:53" x14ac:dyDescent="0.2">
      <c r="C372" s="370"/>
      <c r="F372" s="123" t="s">
        <v>177</v>
      </c>
      <c r="J372" s="77">
        <f>+J352</f>
        <v>403896142.35827643</v>
      </c>
      <c r="L372" s="77">
        <f ca="1">+L352</f>
        <v>206100839.51034138</v>
      </c>
      <c r="M372" s="59"/>
      <c r="N372" s="77">
        <f ca="1">+N352</f>
        <v>105201304.90164655</v>
      </c>
      <c r="O372" s="59"/>
      <c r="P372" s="77">
        <f ca="1">+P352</f>
        <v>15632890.023243736</v>
      </c>
      <c r="Q372" s="59"/>
      <c r="R372" s="77">
        <f ca="1">+R352</f>
        <v>31207207.37528713</v>
      </c>
      <c r="S372" s="59"/>
      <c r="T372" s="77">
        <f ca="1">+T352</f>
        <v>8277579.7752298238</v>
      </c>
      <c r="U372" s="59"/>
      <c r="V372" s="77">
        <f ca="1">+V352</f>
        <v>12706425.935659299</v>
      </c>
      <c r="W372" s="59"/>
      <c r="X372" s="77">
        <f ca="1">+X352</f>
        <v>24769894.836868554</v>
      </c>
      <c r="Z372" s="99">
        <f ca="1">SUM(L372:X372)-J372</f>
        <v>0</v>
      </c>
      <c r="AA372" s="99"/>
      <c r="AC372" s="123" t="s">
        <v>177</v>
      </c>
      <c r="AD372" s="63"/>
      <c r="AE372" s="74"/>
      <c r="AF372" s="59"/>
      <c r="AG372" s="77">
        <f>+AG352</f>
        <v>403896142.35827643</v>
      </c>
      <c r="AH372" s="59"/>
      <c r="AI372" s="77">
        <f t="shared" ref="AI372" ca="1" si="419">+AI352</f>
        <v>170820723.15559459</v>
      </c>
      <c r="AJ372" s="59"/>
      <c r="AK372" s="77">
        <f ca="1">+AK352</f>
        <v>102843253.03636539</v>
      </c>
      <c r="AL372" s="59"/>
      <c r="AM372" s="77">
        <f t="shared" ref="AM372" ca="1" si="420">+AM352</f>
        <v>47553105.381793387</v>
      </c>
      <c r="AN372" s="59"/>
      <c r="AO372" s="77">
        <f t="shared" ref="AO372" ca="1" si="421">+AO352</f>
        <v>25605079.090528775</v>
      </c>
      <c r="AP372" s="59"/>
      <c r="AQ372" s="77">
        <f t="shared" ref="AQ372" ca="1" si="422">+AQ352</f>
        <v>9047383.7013987489</v>
      </c>
      <c r="AR372" s="59"/>
      <c r="AS372" s="77">
        <f t="shared" ref="AS372" ca="1" si="423">+AS352</f>
        <v>8694088.9158479683</v>
      </c>
      <c r="AT372" s="59"/>
      <c r="AU372" s="77">
        <f t="shared" ref="AU372" ca="1" si="424">+AU352</f>
        <v>2280072.0444411454</v>
      </c>
      <c r="AV372" s="59"/>
      <c r="AW372" s="77">
        <f t="shared" ref="AW372" ca="1" si="425">+AW352</f>
        <v>12484125.196993556</v>
      </c>
      <c r="AX372" s="59"/>
      <c r="AY372" s="77">
        <f t="shared" ref="AY372" ca="1" si="426">+AY352</f>
        <v>24568311.835312892</v>
      </c>
      <c r="BA372" s="99">
        <f ca="1">SUM(AI372:AY372)-AG372</f>
        <v>0</v>
      </c>
    </row>
    <row r="373" spans="3:53" x14ac:dyDescent="0.2">
      <c r="C373" s="370"/>
      <c r="F373" s="123" t="s">
        <v>176</v>
      </c>
      <c r="L373" s="137">
        <f ca="1">ROUND(L372/$J372,4)-0.0001</f>
        <v>0.51019999999999999</v>
      </c>
      <c r="M373" s="137"/>
      <c r="N373" s="137">
        <f ca="1">ROUND(N372/$J372,4)</f>
        <v>0.26050000000000001</v>
      </c>
      <c r="O373" s="137"/>
      <c r="P373" s="137">
        <f ca="1">ROUND(P372/$J372,4)</f>
        <v>3.8699999999999998E-2</v>
      </c>
      <c r="Q373" s="137"/>
      <c r="R373" s="137">
        <f ca="1">ROUND(R372/$J372,4)</f>
        <v>7.7299999999999994E-2</v>
      </c>
      <c r="S373" s="137"/>
      <c r="T373" s="137">
        <f ca="1">ROUND(T372/$J372,4)</f>
        <v>2.0500000000000001E-2</v>
      </c>
      <c r="U373" s="137"/>
      <c r="V373" s="137">
        <f ca="1">ROUND(V372/$J372,4)</f>
        <v>3.15E-2</v>
      </c>
      <c r="W373" s="137"/>
      <c r="X373" s="137">
        <f ca="1">ROUND(X372/$J372,4)</f>
        <v>6.13E-2</v>
      </c>
      <c r="Z373" s="137">
        <f ca="1">SUM(L373:X373)</f>
        <v>0.99999999999999989</v>
      </c>
      <c r="AA373" s="99"/>
      <c r="AC373" s="123" t="s">
        <v>176</v>
      </c>
      <c r="AD373" s="63"/>
      <c r="AE373" s="74"/>
      <c r="AF373" s="59"/>
      <c r="AG373" s="77"/>
      <c r="AH373" s="59"/>
      <c r="AI373" s="137">
        <f ca="1">ROUND(AI372/$J372,4)+0.0002</f>
        <v>0.42309999999999998</v>
      </c>
      <c r="AJ373" s="137"/>
      <c r="AK373" s="137">
        <f ca="1">ROUND(AK372/$J372,4)</f>
        <v>0.25459999999999999</v>
      </c>
      <c r="AL373" s="137"/>
      <c r="AM373" s="137">
        <f ca="1">ROUND(AM372/$J372,4)</f>
        <v>0.1177</v>
      </c>
      <c r="AN373" s="137"/>
      <c r="AO373" s="137">
        <f ca="1">ROUND(AO372/$J372,4)</f>
        <v>6.3399999999999998E-2</v>
      </c>
      <c r="AP373" s="137"/>
      <c r="AQ373" s="137">
        <f ca="1">ROUND(AQ372/$J372,4)</f>
        <v>2.24E-2</v>
      </c>
      <c r="AR373" s="137"/>
      <c r="AS373" s="137">
        <f ca="1">ROUND(AS372/$J372,4)</f>
        <v>2.1499999999999998E-2</v>
      </c>
      <c r="AT373" s="137"/>
      <c r="AU373" s="137">
        <f ca="1">ROUND(AU372/$J372,4)</f>
        <v>5.5999999999999999E-3</v>
      </c>
      <c r="AV373" s="137"/>
      <c r="AW373" s="137">
        <f ca="1">ROUND(AW372/$J372,4)</f>
        <v>3.09E-2</v>
      </c>
      <c r="AX373" s="137"/>
      <c r="AY373" s="137">
        <f ca="1">ROUND(AY372/$J372,4)</f>
        <v>6.08E-2</v>
      </c>
      <c r="BA373" s="137">
        <f ca="1">SUM(AI373:AY373)</f>
        <v>1</v>
      </c>
    </row>
    <row r="374" spans="3:53" x14ac:dyDescent="0.2">
      <c r="C374" s="370"/>
      <c r="F374" s="123" t="s">
        <v>178</v>
      </c>
      <c r="J374" s="77">
        <f>+J29+J40+J75+J114+J132+SUM(J137:J149)+SUM(J151:J167)+J236+J243+J246+J247+J250+J255+J258+J248</f>
        <v>101320740.23823117</v>
      </c>
      <c r="L374" s="77">
        <f ca="1">+L29+L40+L75+L114+L132+SUM(L137:L149)+SUM(L151:L167)+L236+L243+L246+L247+L250+L255+L258+L248</f>
        <v>57752087.028571285</v>
      </c>
      <c r="M374" s="59"/>
      <c r="N374" s="77">
        <f ca="1">+N29+N40+N75+N114+N132+SUM(N137:N149)+SUM(N151:N167)+N236+N243+N246+N247+N250+N255+N258+N248</f>
        <v>23999074.60035773</v>
      </c>
      <c r="O374" s="59"/>
      <c r="P374" s="77">
        <f ca="1">+P29+P40+P75+P114+P132+SUM(P137:P149)+SUM(P151:P167)+P236+P243+P246+P247+P250+P255+P258+P248</f>
        <v>3450367.0974716018</v>
      </c>
      <c r="Q374" s="59"/>
      <c r="R374" s="77">
        <f ca="1">+R29+R40+R75+R114+R132+SUM(R137:R149)+SUM(R151:R167)+R236+R243+R246+R247+R250+R255+R258+R248</f>
        <v>7023371.0490241433</v>
      </c>
      <c r="S374" s="59"/>
      <c r="T374" s="77">
        <f ca="1">+T29+T40+T75+T114+T132+SUM(T137:T149)+SUM(T151:T167)+T236+T243+T246+T247+T250+T255+T258+T248</f>
        <v>1903271.2537328682</v>
      </c>
      <c r="U374" s="59"/>
      <c r="V374" s="77">
        <f ca="1">+V29+V40+V75+V114+V132+SUM(V137:V149)+SUM(V151:V167)+V236+V243+V246+V247+V250+V255+V258+V248</f>
        <v>2486056.4909485462</v>
      </c>
      <c r="W374" s="59"/>
      <c r="X374" s="77">
        <f ca="1">+X29+X40+X75+X114+X132+SUM(X137:X149)+SUM(X151:X167)+X236+X243+X246+X247+X250+X255+X258+X248</f>
        <v>4706512.7181249978</v>
      </c>
      <c r="Z374" s="99">
        <f ca="1">SUM(L374:X374)-J374</f>
        <v>0</v>
      </c>
      <c r="AA374" s="99"/>
      <c r="AC374" s="123" t="s">
        <v>178</v>
      </c>
      <c r="AD374" s="63"/>
      <c r="AE374" s="74"/>
      <c r="AF374" s="59"/>
      <c r="AG374" s="77">
        <f>+AG29+AG40+AG75+AG114+AG132+SUM(AG137:AG149)+SUM(AG151:AG167)+AG236+AG243+AG246+AG247+AG250+AG255+AG258+AG248</f>
        <v>101320740.23823117</v>
      </c>
      <c r="AH374" s="59"/>
      <c r="AI374" s="77">
        <f ca="1">+AI29+AI40+AI75+AI114+AI132+SUM(AI137:AI149)+SUM(AI151:AI167)+AI236+AI243+AI246+AI247+AI250+AI255+AI258+AI248</f>
        <v>40280363.762618728</v>
      </c>
      <c r="AJ374" s="59"/>
      <c r="AK374" s="77">
        <f ca="1">+AK29+AK40+AK75+AK114+AK132+SUM(AK137:AK149)+SUM(AK151:AK167)+AK236+AK243+AK246+AK247+AK250+AK255+AK258+AK248</f>
        <v>20674840.286221534</v>
      </c>
      <c r="AL374" s="59"/>
      <c r="AM374" s="77">
        <f ca="1">+AM29+AM40+AM75+AM114+AM132+SUM(AM137:AM149)+SUM(AM151:AM167)+AM236+AM243+AM246+AM247+AM250+AM255+AM258+AM248</f>
        <v>8024970.1274130261</v>
      </c>
      <c r="AN374" s="59"/>
      <c r="AO374" s="77">
        <f ca="1">+AO29+AO40+AO75+AO114+AO132+SUM(AO137:AO149)+SUM(AO151:AO167)+AO236+AO243+AO246+AO247+AO250+AO255+AO258+AO248</f>
        <v>9810679.904108867</v>
      </c>
      <c r="AP374" s="59"/>
      <c r="AQ374" s="77">
        <f ca="1">+AQ29+AQ40+AQ75+AQ114+AQ132+SUM(AQ137:AQ149)+SUM(AQ151:AQ167)+AQ236+AQ243+AQ246+AQ247+AQ250+AQ255+AQ258+AQ248</f>
        <v>4450974.744717408</v>
      </c>
      <c r="AR374" s="59"/>
      <c r="AS374" s="77">
        <f ca="1">+AS29+AS40+AS75+AS114+AS132+SUM(AS137:AS149)+SUM(AS151:AS167)+AS236+AS243+AS246+AS247+AS250+AS255+AS258+AS248</f>
        <v>8814439.6747216769</v>
      </c>
      <c r="AT374" s="59"/>
      <c r="AU374" s="77">
        <f ca="1">+AU29+AU40+AU75+AU114+AU132+SUM(AU137:AU149)+SUM(AU151:AU167)+AU236+AU243+AU246+AU247+AU250+AU255+AU258+AU248</f>
        <v>2177853.1980125783</v>
      </c>
      <c r="AV374" s="59"/>
      <c r="AW374" s="77">
        <f ca="1">+AW29+AW40+AW75+AW114+AW132+SUM(AW137:AW149)+SUM(AW151:AW167)+AW236+AW243+AW246+AW247+AW250+AW255+AW258+AW248</f>
        <v>2410114.2120502559</v>
      </c>
      <c r="AX374" s="59"/>
      <c r="AY374" s="77">
        <f ca="1">+AY29+AY40+AY75+AY114+AY132+SUM(AY137:AY149)+SUM(AY151:AY167)+AY236+AY243+AY246+AY247+AY250+AY255+AY258+AY248</f>
        <v>4676504.328367101</v>
      </c>
      <c r="BA374" s="99">
        <f ca="1">SUM(AI374:AY374)-AG374</f>
        <v>0</v>
      </c>
    </row>
    <row r="375" spans="3:53" x14ac:dyDescent="0.2">
      <c r="C375" s="370"/>
      <c r="F375" s="123" t="s">
        <v>179</v>
      </c>
      <c r="L375" s="137">
        <f ca="1">ROUND(L374/$J374,4)-0.0001</f>
        <v>0.56989999999999996</v>
      </c>
      <c r="M375" s="137"/>
      <c r="N375" s="137">
        <f ca="1">ROUND(N374/$J374,4)</f>
        <v>0.2369</v>
      </c>
      <c r="O375" s="137"/>
      <c r="P375" s="137">
        <f ca="1">ROUND(P374/$J374,4)</f>
        <v>3.4099999999999998E-2</v>
      </c>
      <c r="Q375" s="137"/>
      <c r="R375" s="137">
        <f ca="1">ROUND(R374/$J374,4)</f>
        <v>6.93E-2</v>
      </c>
      <c r="S375" s="137"/>
      <c r="T375" s="137">
        <f ca="1">ROUND(T374/$J374,4)</f>
        <v>1.8800000000000001E-2</v>
      </c>
      <c r="U375" s="137"/>
      <c r="V375" s="137">
        <f ca="1">ROUND(V374/$J374,4)</f>
        <v>2.4500000000000001E-2</v>
      </c>
      <c r="W375" s="137"/>
      <c r="X375" s="137">
        <f ca="1">ROUND(X374/$J374,4)</f>
        <v>4.65E-2</v>
      </c>
      <c r="Z375" s="137">
        <f ca="1">SUM(L375:X375)</f>
        <v>1</v>
      </c>
      <c r="AA375" s="99"/>
      <c r="AC375" s="123" t="s">
        <v>179</v>
      </c>
      <c r="AD375" s="63"/>
      <c r="AE375" s="74"/>
      <c r="AF375" s="59"/>
      <c r="AG375" s="77"/>
      <c r="AH375" s="59"/>
      <c r="AI375" s="137">
        <f ca="1">ROUND(AI374/$J374,4)-0.0001</f>
        <v>0.39750000000000002</v>
      </c>
      <c r="AJ375" s="137"/>
      <c r="AK375" s="137">
        <f ca="1">ROUND(AK374/$J374,4)</f>
        <v>0.2041</v>
      </c>
      <c r="AL375" s="137"/>
      <c r="AM375" s="137">
        <f ca="1">ROUND(AM374/$J374,4)</f>
        <v>7.9200000000000007E-2</v>
      </c>
      <c r="AN375" s="137"/>
      <c r="AO375" s="137">
        <f ca="1">ROUND(AO374/$J374,4)</f>
        <v>9.6799999999999997E-2</v>
      </c>
      <c r="AP375" s="137"/>
      <c r="AQ375" s="137">
        <f ca="1">ROUND(AQ374/$J374,4)</f>
        <v>4.3900000000000002E-2</v>
      </c>
      <c r="AR375" s="137"/>
      <c r="AS375" s="137">
        <f ca="1">ROUND(AS374/$J374,4)</f>
        <v>8.6999999999999994E-2</v>
      </c>
      <c r="AT375" s="137"/>
      <c r="AU375" s="137">
        <f ca="1">ROUND(AU374/$J374,4)</f>
        <v>2.1499999999999998E-2</v>
      </c>
      <c r="AV375" s="137"/>
      <c r="AW375" s="137">
        <f ca="1">ROUND(AW374/$J374,4)</f>
        <v>2.3800000000000002E-2</v>
      </c>
      <c r="AX375" s="137"/>
      <c r="AY375" s="137">
        <f ca="1">ROUND(AY374/$J374,4)</f>
        <v>4.6199999999999998E-2</v>
      </c>
      <c r="BA375" s="137">
        <f ca="1">SUM(AI375:AY375)</f>
        <v>1</v>
      </c>
    </row>
    <row r="376" spans="3:53" x14ac:dyDescent="0.2">
      <c r="C376" s="370"/>
      <c r="F376" s="123"/>
      <c r="L376" s="137"/>
      <c r="M376" s="137"/>
      <c r="N376" s="137"/>
      <c r="O376" s="137"/>
      <c r="P376" s="137"/>
      <c r="Q376" s="137"/>
      <c r="R376" s="137"/>
      <c r="S376" s="137"/>
      <c r="T376" s="137"/>
      <c r="U376" s="137"/>
      <c r="V376" s="137"/>
      <c r="W376" s="137"/>
      <c r="X376" s="137"/>
      <c r="Z376" s="137"/>
      <c r="AA376" s="99"/>
    </row>
    <row r="377" spans="3:53" x14ac:dyDescent="0.2">
      <c r="C377" s="370"/>
      <c r="F377" s="123"/>
      <c r="L377" s="137"/>
      <c r="M377" s="137"/>
      <c r="N377" s="137"/>
      <c r="O377" s="137"/>
      <c r="P377" s="137"/>
      <c r="Q377" s="137"/>
      <c r="R377" s="137"/>
      <c r="S377" s="137"/>
      <c r="T377" s="137"/>
      <c r="U377" s="137"/>
      <c r="V377" s="137"/>
      <c r="W377" s="137"/>
      <c r="X377" s="137"/>
      <c r="Z377" s="137"/>
      <c r="AA377" s="99"/>
    </row>
    <row r="378" spans="3:53" x14ac:dyDescent="0.2">
      <c r="C378" s="370"/>
      <c r="F378" s="123"/>
      <c r="L378" s="137"/>
      <c r="M378" s="137"/>
      <c r="N378" s="137"/>
      <c r="O378" s="137"/>
      <c r="P378" s="137"/>
      <c r="Q378" s="137"/>
      <c r="R378" s="137"/>
      <c r="S378" s="137"/>
      <c r="T378" s="137"/>
      <c r="U378" s="137"/>
      <c r="V378" s="137"/>
      <c r="W378" s="137"/>
      <c r="X378" s="137"/>
      <c r="Z378" s="137"/>
      <c r="AA378" s="99"/>
    </row>
    <row r="379" spans="3:53" x14ac:dyDescent="0.2">
      <c r="C379" s="370"/>
      <c r="Z379" s="125"/>
      <c r="AB379" s="127"/>
      <c r="AC379" s="60"/>
      <c r="AD379" s="127"/>
      <c r="AE379" s="127"/>
      <c r="AF379" s="127"/>
      <c r="AG379" s="127"/>
      <c r="AH379" s="127"/>
      <c r="AI379" s="127"/>
      <c r="AJ379" s="127"/>
      <c r="AK379" s="127"/>
      <c r="AL379" s="127"/>
      <c r="AM379" s="127"/>
      <c r="AN379" s="127"/>
      <c r="AO379" s="127"/>
    </row>
    <row r="380" spans="3:53" x14ac:dyDescent="0.2">
      <c r="C380" s="370"/>
      <c r="L380" s="126" t="s">
        <v>190</v>
      </c>
      <c r="Z380" s="125"/>
      <c r="AB380" s="127"/>
      <c r="AC380" s="60"/>
      <c r="AD380" s="127"/>
      <c r="AE380" s="127"/>
      <c r="AF380" s="127"/>
      <c r="AG380" s="127"/>
      <c r="AH380" s="127"/>
      <c r="AI380" s="127"/>
      <c r="AJ380" s="127"/>
      <c r="AK380" s="127"/>
      <c r="AL380" s="127"/>
      <c r="AM380" s="127"/>
      <c r="AN380" s="127"/>
      <c r="AO380" s="127"/>
    </row>
    <row r="381" spans="3:53" x14ac:dyDescent="0.2">
      <c r="C381" s="370"/>
      <c r="K381" s="127"/>
      <c r="L381" s="128">
        <v>2</v>
      </c>
      <c r="M381" s="127"/>
      <c r="N381" s="127">
        <v>4</v>
      </c>
      <c r="O381" s="127"/>
      <c r="P381" s="127">
        <v>6</v>
      </c>
      <c r="Q381" s="127"/>
      <c r="R381" s="127">
        <v>8</v>
      </c>
      <c r="S381" s="127"/>
      <c r="T381" s="127">
        <v>10</v>
      </c>
      <c r="U381" s="127"/>
      <c r="V381" s="127">
        <v>12</v>
      </c>
      <c r="W381" s="127"/>
      <c r="X381" s="127">
        <v>14</v>
      </c>
      <c r="Y381" s="127"/>
      <c r="Z381" s="127">
        <v>20</v>
      </c>
      <c r="AI381" s="157">
        <v>2</v>
      </c>
      <c r="AJ381" s="157"/>
      <c r="AK381" s="157">
        <v>4</v>
      </c>
      <c r="AL381" s="157"/>
      <c r="AM381" s="157">
        <v>6</v>
      </c>
      <c r="AN381" s="157"/>
      <c r="AO381" s="157">
        <v>8</v>
      </c>
      <c r="AP381" s="157"/>
      <c r="AQ381" s="157">
        <v>10</v>
      </c>
      <c r="AR381" s="157"/>
      <c r="AS381" s="157">
        <v>12</v>
      </c>
      <c r="AT381" s="157"/>
      <c r="AU381" s="157">
        <v>14</v>
      </c>
      <c r="AV381" s="157"/>
      <c r="AW381" s="157">
        <v>16</v>
      </c>
      <c r="AX381" s="157"/>
      <c r="AY381" s="157">
        <v>18</v>
      </c>
    </row>
    <row r="382" spans="3:53" x14ac:dyDescent="0.2">
      <c r="C382" s="370"/>
      <c r="K382" s="125"/>
      <c r="L382" s="129" t="s">
        <v>208</v>
      </c>
      <c r="M382" s="127"/>
      <c r="N382" s="130" t="s">
        <v>209</v>
      </c>
      <c r="O382" s="127"/>
      <c r="P382" s="130" t="s">
        <v>210</v>
      </c>
      <c r="Q382" s="127"/>
      <c r="R382" s="130" t="s">
        <v>194</v>
      </c>
      <c r="S382" s="127"/>
      <c r="T382" s="130" t="s">
        <v>335</v>
      </c>
      <c r="U382" s="131"/>
      <c r="V382" s="130" t="s">
        <v>154</v>
      </c>
      <c r="W382" s="127"/>
      <c r="X382" s="130" t="s">
        <v>155</v>
      </c>
      <c r="Y382" s="127"/>
      <c r="Z382" s="130" t="s">
        <v>337</v>
      </c>
      <c r="AI382" s="158"/>
      <c r="AJ382" s="158"/>
      <c r="AK382" s="158"/>
      <c r="AL382" s="158"/>
      <c r="AM382" s="158"/>
      <c r="AN382" s="158"/>
      <c r="AO382" s="158"/>
      <c r="AP382" s="158"/>
      <c r="AQ382" s="158"/>
      <c r="AR382" s="158"/>
      <c r="AS382" s="158" t="s">
        <v>442</v>
      </c>
      <c r="AT382" s="158"/>
      <c r="AU382" s="158" t="s">
        <v>578</v>
      </c>
      <c r="AV382" s="158"/>
      <c r="AW382" s="158" t="s">
        <v>577</v>
      </c>
      <c r="AX382" s="158"/>
      <c r="AY382" s="158" t="s">
        <v>155</v>
      </c>
    </row>
    <row r="383" spans="3:53" x14ac:dyDescent="0.2">
      <c r="C383" s="370"/>
      <c r="K383" s="125"/>
      <c r="L383" s="128"/>
      <c r="M383" s="125"/>
      <c r="N383" s="125"/>
      <c r="O383" s="125"/>
      <c r="P383" s="125"/>
      <c r="Q383" s="125"/>
      <c r="R383" s="125"/>
      <c r="S383" s="125"/>
      <c r="T383" s="125"/>
      <c r="U383" s="125"/>
      <c r="V383" s="125"/>
      <c r="W383" s="125"/>
      <c r="X383" s="125"/>
      <c r="Y383" s="125"/>
      <c r="Z383" s="125"/>
      <c r="AI383" s="158" t="s">
        <v>439</v>
      </c>
      <c r="AJ383" s="158"/>
      <c r="AK383" s="158" t="s">
        <v>440</v>
      </c>
      <c r="AL383" s="158"/>
      <c r="AM383" s="158" t="s">
        <v>441</v>
      </c>
      <c r="AN383" s="158"/>
      <c r="AO383" s="158" t="s">
        <v>395</v>
      </c>
      <c r="AP383" s="158"/>
      <c r="AQ383" s="158" t="s">
        <v>342</v>
      </c>
      <c r="AR383" s="158"/>
      <c r="AS383" s="158" t="s">
        <v>443</v>
      </c>
      <c r="AT383" s="158"/>
      <c r="AU383" s="158" t="s">
        <v>579</v>
      </c>
      <c r="AV383" s="158"/>
      <c r="AW383" s="158" t="s">
        <v>338</v>
      </c>
      <c r="AX383" s="158"/>
      <c r="AY383" s="158" t="s">
        <v>338</v>
      </c>
    </row>
    <row r="384" spans="3:53" x14ac:dyDescent="0.2">
      <c r="C384" s="370"/>
      <c r="K384" s="125"/>
      <c r="L384" s="128"/>
      <c r="M384" s="125"/>
      <c r="N384" s="132"/>
      <c r="O384" s="125"/>
      <c r="P384" s="132"/>
      <c r="Q384" s="125"/>
      <c r="R384" s="132"/>
      <c r="S384" s="125"/>
      <c r="T384" s="132"/>
      <c r="U384" s="125"/>
      <c r="V384" s="132"/>
      <c r="W384" s="125"/>
      <c r="X384" s="132"/>
      <c r="Y384" s="125"/>
      <c r="Z384" s="132"/>
    </row>
    <row r="385" spans="3:53" x14ac:dyDescent="0.2">
      <c r="C385" s="370"/>
      <c r="K385" s="125">
        <v>1</v>
      </c>
      <c r="L385" s="135">
        <f>'F 1-2'!K15</f>
        <v>0.49109999999999998</v>
      </c>
      <c r="M385" s="135"/>
      <c r="N385" s="135">
        <f>'F 1-2'!K16</f>
        <v>0.3075</v>
      </c>
      <c r="O385" s="135"/>
      <c r="P385" s="135">
        <f>'F 1-2'!K17</f>
        <v>5.45E-2</v>
      </c>
      <c r="Q385" s="135"/>
      <c r="R385" s="135">
        <f>'F 1-2'!K18</f>
        <v>0.1053</v>
      </c>
      <c r="S385" s="135"/>
      <c r="T385" s="135">
        <f>'F 1-2'!K19</f>
        <v>3.5499999999999997E-2</v>
      </c>
      <c r="U385" s="135"/>
      <c r="V385" s="135">
        <f>'F 1-2'!K20</f>
        <v>2.8E-3</v>
      </c>
      <c r="W385" s="135"/>
      <c r="X385" s="135">
        <f>'F 1-2'!K21</f>
        <v>3.3E-3</v>
      </c>
      <c r="Y385" s="133"/>
      <c r="Z385" s="133">
        <f t="shared" ref="Z385:Z394" si="427">SUM(L385:Y385)</f>
        <v>0.99999999999999989</v>
      </c>
      <c r="AA385" t="str">
        <f>IF(Z385=1,"ok","&lt;&lt;&lt;&lt;??")</f>
        <v>ok</v>
      </c>
      <c r="AH385" s="157">
        <v>1</v>
      </c>
      <c r="AI385" s="156">
        <f>1-AW385-AY385</f>
        <v>0.99390000000000001</v>
      </c>
      <c r="AJ385" s="156"/>
      <c r="AK385" s="156">
        <v>0</v>
      </c>
      <c r="AL385" s="156"/>
      <c r="AM385" s="156">
        <v>0</v>
      </c>
      <c r="AN385" s="156"/>
      <c r="AO385" s="156">
        <v>0</v>
      </c>
      <c r="AP385" s="156"/>
      <c r="AQ385" s="156">
        <v>0</v>
      </c>
      <c r="AR385" s="156"/>
      <c r="AS385" s="156">
        <v>0</v>
      </c>
      <c r="AT385" s="156"/>
      <c r="AU385" s="156"/>
      <c r="AV385" s="156"/>
      <c r="AW385" s="156">
        <f>+'F 1-2'!K20</f>
        <v>2.8E-3</v>
      </c>
      <c r="AX385" s="156"/>
      <c r="AY385" s="156">
        <f>+'F 1-2'!K21</f>
        <v>3.3E-3</v>
      </c>
      <c r="AZ385" s="156"/>
      <c r="BA385" s="156">
        <f>SUM(AI385:AY385)</f>
        <v>1</v>
      </c>
    </row>
    <row r="386" spans="3:53" x14ac:dyDescent="0.2">
      <c r="C386" s="370"/>
      <c r="K386" s="125">
        <v>2</v>
      </c>
      <c r="L386" s="135">
        <f>'F 1-2'!M38</f>
        <v>0.51190000000000002</v>
      </c>
      <c r="M386" s="135"/>
      <c r="N386" s="135">
        <f>'F 1-2'!M39</f>
        <v>0.30609999999999998</v>
      </c>
      <c r="O386" s="135"/>
      <c r="P386" s="135">
        <f>'F 1-2'!M40</f>
        <v>4.9099999999999998E-2</v>
      </c>
      <c r="Q386" s="135"/>
      <c r="R386" s="135">
        <f>'F 1-2'!M41</f>
        <v>9.7399999999999987E-2</v>
      </c>
      <c r="S386" s="135"/>
      <c r="T386" s="135">
        <f>'F 1-2'!M42</f>
        <v>3.2000000000000001E-2</v>
      </c>
      <c r="U386" s="135"/>
      <c r="V386" s="135">
        <f>'F 1-2'!M43</f>
        <v>1.6000000000000001E-3</v>
      </c>
      <c r="W386" s="135"/>
      <c r="X386" s="135">
        <f>'F 1-2'!M44</f>
        <v>1.9E-3</v>
      </c>
      <c r="Y386" s="133"/>
      <c r="Z386" s="133">
        <f t="shared" si="427"/>
        <v>1.0000000000000002</v>
      </c>
      <c r="AA386" t="str">
        <f t="shared" ref="AA386:AA405" si="428">IF(Z386=1,"ok","&lt;&lt;&lt;&lt;??")</f>
        <v>ok</v>
      </c>
      <c r="AH386" s="157">
        <v>2</v>
      </c>
      <c r="AI386" s="156">
        <f>+'F 2 B'!H29-'COS 1'!AW386-AY386</f>
        <v>0.56789999999999996</v>
      </c>
      <c r="AJ386" s="156"/>
      <c r="AK386" s="156">
        <f>+'F 2 B'!H31</f>
        <v>0.42859999999999998</v>
      </c>
      <c r="AL386" s="156"/>
      <c r="AM386" s="156">
        <v>0</v>
      </c>
      <c r="AN386" s="156"/>
      <c r="AO386" s="156">
        <v>0</v>
      </c>
      <c r="AP386" s="156"/>
      <c r="AQ386" s="156">
        <v>0</v>
      </c>
      <c r="AR386" s="156"/>
      <c r="AS386" s="156">
        <v>0</v>
      </c>
      <c r="AT386" s="156"/>
      <c r="AU386" s="156"/>
      <c r="AV386" s="156"/>
      <c r="AW386" s="156">
        <f>+'F 1-2'!G43</f>
        <v>1.6000000000000001E-3</v>
      </c>
      <c r="AX386" s="156"/>
      <c r="AY386" s="156">
        <f>+'F 1-2'!M44</f>
        <v>1.9E-3</v>
      </c>
      <c r="AZ386" s="156"/>
      <c r="BA386" s="156">
        <f>SUM(AI386:AY386)</f>
        <v>1</v>
      </c>
    </row>
    <row r="387" spans="3:53" x14ac:dyDescent="0.2">
      <c r="C387" s="370"/>
      <c r="K387" s="125">
        <v>3</v>
      </c>
      <c r="L387" s="135">
        <f>'F 3-4'!P17</f>
        <v>0.46989999999999998</v>
      </c>
      <c r="M387" s="135"/>
      <c r="N387" s="135">
        <f>'F 3-4'!P18</f>
        <v>0.28089999999999998</v>
      </c>
      <c r="O387" s="135"/>
      <c r="P387" s="135">
        <f>'F 3-4'!P19</f>
        <v>4.5100000000000001E-2</v>
      </c>
      <c r="Q387" s="135"/>
      <c r="R387" s="135">
        <f>'F 3-4'!P20</f>
        <v>8.929999999999999E-2</v>
      </c>
      <c r="S387" s="135"/>
      <c r="T387" s="135">
        <f>'F 3-4'!P21</f>
        <v>2.93E-2</v>
      </c>
      <c r="U387" s="135"/>
      <c r="V387" s="135">
        <f>'F 3-4'!P22</f>
        <v>3.95E-2</v>
      </c>
      <c r="W387" s="135"/>
      <c r="X387" s="135">
        <f>'F 3-4'!P23</f>
        <v>4.5999999999999999E-2</v>
      </c>
      <c r="Y387" s="133"/>
      <c r="Z387" s="133">
        <f t="shared" si="427"/>
        <v>1</v>
      </c>
      <c r="AA387" t="str">
        <f t="shared" si="428"/>
        <v>ok</v>
      </c>
      <c r="AH387" s="157">
        <v>3</v>
      </c>
      <c r="AI387" s="156">
        <f>+'F 3-4'!F15</f>
        <v>0.52439999999999998</v>
      </c>
      <c r="AJ387" s="156"/>
      <c r="AK387" s="156">
        <f>+'F 3-4'!J15</f>
        <v>0.39329999999999998</v>
      </c>
      <c r="AL387" s="156"/>
      <c r="AM387" s="156">
        <v>0</v>
      </c>
      <c r="AN387" s="156"/>
      <c r="AO387" s="156">
        <v>0</v>
      </c>
      <c r="AP387" s="156"/>
      <c r="AQ387" s="156">
        <v>0</v>
      </c>
      <c r="AR387" s="156"/>
      <c r="AS387" s="156">
        <v>0</v>
      </c>
      <c r="AT387" s="156"/>
      <c r="AU387" s="156"/>
      <c r="AV387" s="156"/>
      <c r="AW387" s="156">
        <f>+'F 3-4'!N22</f>
        <v>3.7999999999999999E-2</v>
      </c>
      <c r="AX387" s="156"/>
      <c r="AY387" s="156">
        <f>+'F 3-4'!N23</f>
        <v>4.4299999999999999E-2</v>
      </c>
      <c r="AZ387" s="156"/>
      <c r="BA387" s="156">
        <f t="shared" ref="BA387:BA405" si="429">SUM(AI387:AY387)</f>
        <v>1</v>
      </c>
    </row>
    <row r="388" spans="3:53" x14ac:dyDescent="0.2">
      <c r="C388" s="370"/>
      <c r="K388" s="125">
        <v>4</v>
      </c>
      <c r="L388" s="135">
        <f>'F 3-4'!R45</f>
        <v>0.46920000000000001</v>
      </c>
      <c r="M388" s="135"/>
      <c r="N388" s="135">
        <f>'F 3-4'!R46</f>
        <v>0.28410000000000002</v>
      </c>
      <c r="O388" s="135"/>
      <c r="P388" s="135">
        <f>'F 3-4'!R47</f>
        <v>3.9300000000000002E-2</v>
      </c>
      <c r="Q388" s="135"/>
      <c r="R388" s="135">
        <f>'F 3-4'!R48</f>
        <v>7.4300000000000005E-2</v>
      </c>
      <c r="S388" s="135"/>
      <c r="T388" s="135">
        <f>'F 3-4'!R49</f>
        <v>0</v>
      </c>
      <c r="U388" s="135"/>
      <c r="V388" s="135">
        <f>'F 3-4'!R50</f>
        <v>6.1499999999999999E-2</v>
      </c>
      <c r="W388" s="135"/>
      <c r="X388" s="135">
        <f>'F 3-4'!R51</f>
        <v>7.1600000000000011E-2</v>
      </c>
      <c r="Y388" s="133"/>
      <c r="Z388" s="133">
        <f t="shared" si="427"/>
        <v>1.0000000000000002</v>
      </c>
      <c r="AA388" t="str">
        <f t="shared" si="428"/>
        <v>ok</v>
      </c>
      <c r="AH388" s="157">
        <v>4</v>
      </c>
      <c r="AI388" s="156">
        <f>+'F 3-4'!H43-'F 3-4'!H50-'F 3-4'!H51</f>
        <v>0.34550000000000003</v>
      </c>
      <c r="AJ388" s="156"/>
      <c r="AK388" s="156">
        <v>0</v>
      </c>
      <c r="AL388" s="156"/>
      <c r="AM388" s="156">
        <f>+'F 3-4'!L43</f>
        <v>0.52139999999999997</v>
      </c>
      <c r="AN388" s="156"/>
      <c r="AO388" s="156">
        <v>0</v>
      </c>
      <c r="AP388" s="156"/>
      <c r="AQ388" s="156">
        <v>0</v>
      </c>
      <c r="AR388" s="156"/>
      <c r="AS388" s="156">
        <v>0</v>
      </c>
      <c r="AT388" s="156"/>
      <c r="AU388" s="156"/>
      <c r="AV388" s="156"/>
      <c r="AW388" s="156">
        <f>+'F 3-4'!R50</f>
        <v>6.1499999999999999E-2</v>
      </c>
      <c r="AX388" s="156"/>
      <c r="AY388" s="156">
        <f>+'F 3-4'!R51</f>
        <v>7.1600000000000011E-2</v>
      </c>
      <c r="AZ388" s="156"/>
      <c r="BA388" s="156">
        <f t="shared" si="429"/>
        <v>1</v>
      </c>
    </row>
    <row r="389" spans="3:53" x14ac:dyDescent="0.2">
      <c r="C389" s="370"/>
      <c r="K389" s="125">
        <v>5</v>
      </c>
      <c r="L389" s="135">
        <f>'F 5'!R16</f>
        <v>0.41459999999999997</v>
      </c>
      <c r="M389" s="135"/>
      <c r="N389" s="135">
        <f>'F 5'!R17</f>
        <v>0.25109999999999999</v>
      </c>
      <c r="O389" s="135"/>
      <c r="P389" s="135">
        <f>'F 5'!R18</f>
        <v>3.4700000000000002E-2</v>
      </c>
      <c r="Q389" s="135"/>
      <c r="R389" s="135">
        <f>'F 5'!R19</f>
        <v>6.5500000000000003E-2</v>
      </c>
      <c r="S389" s="135"/>
      <c r="T389" s="135">
        <f>'F 5'!R20</f>
        <v>2.01E-2</v>
      </c>
      <c r="U389" s="135"/>
      <c r="V389" s="135">
        <f>'F 5'!R21</f>
        <v>9.8900000000000002E-2</v>
      </c>
      <c r="W389" s="135"/>
      <c r="X389" s="135">
        <f>'F 5'!R22</f>
        <v>0.11509999999999999</v>
      </c>
      <c r="Y389" s="133"/>
      <c r="Z389" s="133">
        <f t="shared" si="427"/>
        <v>0.99999999999999989</v>
      </c>
      <c r="AA389" t="str">
        <f t="shared" si="428"/>
        <v>ok</v>
      </c>
      <c r="AH389" s="157">
        <v>5</v>
      </c>
      <c r="AI389" s="156">
        <f>+'F 5'!H14-'F 5'!H21-'F 5'!H22</f>
        <v>0.31329999999999997</v>
      </c>
      <c r="AJ389" s="156"/>
      <c r="AK389" s="156">
        <v>0</v>
      </c>
      <c r="AL389" s="156"/>
      <c r="AM389" s="156">
        <f>+'F 5'!L14</f>
        <v>0.47270000000000001</v>
      </c>
      <c r="AN389" s="156"/>
      <c r="AO389" s="156">
        <v>0</v>
      </c>
      <c r="AP389" s="156"/>
      <c r="AQ389" s="156">
        <v>0</v>
      </c>
      <c r="AR389" s="156"/>
      <c r="AS389" s="156">
        <v>0</v>
      </c>
      <c r="AT389" s="156"/>
      <c r="AU389" s="156"/>
      <c r="AV389" s="156"/>
      <c r="AW389" s="156">
        <f>+'F 5'!R21</f>
        <v>9.8900000000000002E-2</v>
      </c>
      <c r="AX389" s="156"/>
      <c r="AY389" s="156">
        <f>+'F 5'!R22</f>
        <v>0.11509999999999999</v>
      </c>
      <c r="AZ389" s="156"/>
      <c r="BA389" s="156">
        <f t="shared" si="429"/>
        <v>1</v>
      </c>
    </row>
    <row r="390" spans="3:53" x14ac:dyDescent="0.2">
      <c r="C390" s="370"/>
      <c r="K390" s="125">
        <v>6</v>
      </c>
      <c r="L390" s="135">
        <f>'F6-7'!P16</f>
        <v>0.48760000000000003</v>
      </c>
      <c r="M390" s="135"/>
      <c r="N390" s="135">
        <f>'F6-7'!P17</f>
        <v>0.29249999999999998</v>
      </c>
      <c r="O390" s="135"/>
      <c r="P390" s="135">
        <f>'F6-7'!P18</f>
        <v>4.5199999999999997E-2</v>
      </c>
      <c r="Q390" s="135"/>
      <c r="R390" s="135">
        <f>'F6-7'!P19</f>
        <v>8.8900000000000007E-2</v>
      </c>
      <c r="S390" s="135"/>
      <c r="T390" s="135">
        <f>'F6-7'!P20</f>
        <v>2.2699999999999998E-2</v>
      </c>
      <c r="U390" s="135"/>
      <c r="V390" s="135">
        <f>'F6-7'!P21</f>
        <v>2.9199999999999997E-2</v>
      </c>
      <c r="W390" s="135"/>
      <c r="X390" s="135">
        <f>'F6-7'!P22</f>
        <v>3.39E-2</v>
      </c>
      <c r="Y390" s="133"/>
      <c r="Z390" s="133">
        <f t="shared" si="427"/>
        <v>1</v>
      </c>
      <c r="AA390" t="str">
        <f t="shared" si="428"/>
        <v>ok</v>
      </c>
      <c r="AH390" s="157">
        <v>6</v>
      </c>
      <c r="AI390" s="156">
        <f>+'F6-7'!AC16</f>
        <v>0.49483560000000004</v>
      </c>
      <c r="AJ390" s="156"/>
      <c r="AK390" s="156">
        <f>+'F6-7'!AC17</f>
        <v>0.30480000000000002</v>
      </c>
      <c r="AL390" s="156"/>
      <c r="AM390" s="156">
        <f>+'F6-7'!AC18</f>
        <v>0.13723247999999999</v>
      </c>
      <c r="AN390" s="156"/>
      <c r="AO390" s="156"/>
      <c r="AP390" s="156"/>
      <c r="AQ390" s="156"/>
      <c r="AR390" s="156"/>
      <c r="AS390" s="156"/>
      <c r="AT390" s="156"/>
      <c r="AU390" s="156"/>
      <c r="AV390" s="156"/>
      <c r="AW390" s="156">
        <f>+'F6-7'!AC19</f>
        <v>2.9186799999999999E-2</v>
      </c>
      <c r="AX390" s="156"/>
      <c r="AY390" s="156">
        <f>+'F6-7'!AC20</f>
        <v>3.3945120000000002E-2</v>
      </c>
      <c r="AZ390" s="156"/>
      <c r="BA390" s="156">
        <f t="shared" si="429"/>
        <v>1</v>
      </c>
    </row>
    <row r="391" spans="3:53" x14ac:dyDescent="0.2">
      <c r="C391" s="370"/>
      <c r="K391" s="125">
        <v>7</v>
      </c>
      <c r="L391" s="135">
        <f>'F6-7'!N56</f>
        <v>0.46939999999999998</v>
      </c>
      <c r="M391" s="135"/>
      <c r="N391" s="135">
        <f>'F6-7'!N57</f>
        <v>0.28349999999999997</v>
      </c>
      <c r="O391" s="135"/>
      <c r="P391" s="135">
        <f>'F6-7'!N58</f>
        <v>4.0400000000000005E-2</v>
      </c>
      <c r="Q391" s="135"/>
      <c r="R391" s="135">
        <f>'F6-7'!N59</f>
        <v>7.7399999999999997E-2</v>
      </c>
      <c r="S391" s="135"/>
      <c r="T391" s="135">
        <f>'F6-7'!N60</f>
        <v>5.8999999999999999E-3</v>
      </c>
      <c r="U391" s="135"/>
      <c r="V391" s="135">
        <f>'F6-7'!N61</f>
        <v>5.7000000000000002E-2</v>
      </c>
      <c r="W391" s="135"/>
      <c r="X391" s="135">
        <f>'F6-7'!N62</f>
        <v>6.6400000000000001E-2</v>
      </c>
      <c r="Y391" s="133"/>
      <c r="Z391" s="133">
        <f t="shared" si="427"/>
        <v>1</v>
      </c>
      <c r="AA391" t="str">
        <f t="shared" si="428"/>
        <v>ok</v>
      </c>
      <c r="AH391" s="157">
        <v>7</v>
      </c>
      <c r="AI391" s="156">
        <f>+'F6-7'!AC55</f>
        <v>0.38119999999999998</v>
      </c>
      <c r="AJ391" s="156"/>
      <c r="AK391" s="156">
        <f>+'F6-7'!AC56</f>
        <v>7.9600000000000004E-2</v>
      </c>
      <c r="AL391" s="156"/>
      <c r="AM391" s="156">
        <f>+'F6-7'!AC57</f>
        <v>0.4158</v>
      </c>
      <c r="AN391" s="156"/>
      <c r="AO391" s="156"/>
      <c r="AP391" s="156"/>
      <c r="AQ391" s="156"/>
      <c r="AR391" s="156"/>
      <c r="AS391" s="156"/>
      <c r="AT391" s="156"/>
      <c r="AU391" s="156"/>
      <c r="AV391" s="156"/>
      <c r="AW391" s="156">
        <f>+'F6-7'!AC58</f>
        <v>5.7000000000000002E-2</v>
      </c>
      <c r="AX391" s="156"/>
      <c r="AY391" s="156">
        <f>+'F6-7'!AC59</f>
        <v>6.6400000000000001E-2</v>
      </c>
      <c r="AZ391" s="156"/>
      <c r="BA391" s="156">
        <f t="shared" si="429"/>
        <v>1</v>
      </c>
    </row>
    <row r="392" spans="3:53" x14ac:dyDescent="0.2">
      <c r="C392" s="370"/>
      <c r="K392" s="125">
        <v>8</v>
      </c>
      <c r="L392" s="135">
        <v>0</v>
      </c>
      <c r="M392" s="135"/>
      <c r="N392" s="135">
        <v>0</v>
      </c>
      <c r="O392" s="135"/>
      <c r="P392" s="135">
        <v>0</v>
      </c>
      <c r="Q392" s="135"/>
      <c r="R392" s="135">
        <v>0</v>
      </c>
      <c r="S392" s="135"/>
      <c r="T392" s="135">
        <v>0</v>
      </c>
      <c r="U392" s="135"/>
      <c r="V392" s="135">
        <v>0</v>
      </c>
      <c r="W392" s="135"/>
      <c r="X392" s="135">
        <v>1</v>
      </c>
      <c r="Y392" s="133"/>
      <c r="Z392" s="133">
        <f t="shared" si="427"/>
        <v>1</v>
      </c>
      <c r="AA392" t="str">
        <f t="shared" si="428"/>
        <v>ok</v>
      </c>
      <c r="AH392" s="157">
        <v>8</v>
      </c>
      <c r="AI392" s="156">
        <v>0</v>
      </c>
      <c r="AJ392" s="156"/>
      <c r="AK392" s="156">
        <v>0</v>
      </c>
      <c r="AL392" s="156"/>
      <c r="AM392" s="156">
        <v>0</v>
      </c>
      <c r="AN392" s="156"/>
      <c r="AO392" s="156">
        <v>0</v>
      </c>
      <c r="AP392" s="156"/>
      <c r="AQ392" s="156">
        <v>0</v>
      </c>
      <c r="AR392" s="156"/>
      <c r="AS392" s="156">
        <v>0</v>
      </c>
      <c r="AT392" s="156"/>
      <c r="AU392" s="156"/>
      <c r="AV392" s="156"/>
      <c r="AW392" s="156">
        <v>0</v>
      </c>
      <c r="AX392" s="156"/>
      <c r="AY392" s="156">
        <v>1</v>
      </c>
      <c r="AZ392" s="156"/>
      <c r="BA392" s="156">
        <f t="shared" si="429"/>
        <v>1</v>
      </c>
    </row>
    <row r="393" spans="3:53" x14ac:dyDescent="0.2">
      <c r="C393" s="370"/>
      <c r="K393" s="125">
        <v>9</v>
      </c>
      <c r="L393" s="135">
        <f>'F8-10'!F27</f>
        <v>0.82950000000000002</v>
      </c>
      <c r="M393" s="135"/>
      <c r="N393" s="135">
        <f>'F8-10'!F28</f>
        <v>0.12920000000000001</v>
      </c>
      <c r="O393" s="135"/>
      <c r="P393" s="135">
        <f>'F8-10'!F29</f>
        <v>3.8999999999999998E-3</v>
      </c>
      <c r="Q393" s="135"/>
      <c r="R393" s="135">
        <f>'F8-10'!F30</f>
        <v>2.3199999999999998E-2</v>
      </c>
      <c r="S393" s="135"/>
      <c r="T393" s="135">
        <f>'F8-10'!F31</f>
        <v>2.3E-3</v>
      </c>
      <c r="U393" s="135"/>
      <c r="V393" s="135">
        <f>'F8-10'!F32</f>
        <v>1.1900000000000001E-2</v>
      </c>
      <c r="W393" s="135"/>
      <c r="X393" s="135">
        <v>0</v>
      </c>
      <c r="Y393" s="133"/>
      <c r="Z393" s="133">
        <f t="shared" si="427"/>
        <v>1</v>
      </c>
      <c r="AA393" t="str">
        <f t="shared" si="428"/>
        <v>ok</v>
      </c>
      <c r="AH393" s="157">
        <v>9</v>
      </c>
      <c r="AI393" s="156">
        <v>0</v>
      </c>
      <c r="AJ393" s="156"/>
      <c r="AK393" s="156">
        <v>0</v>
      </c>
      <c r="AL393" s="156"/>
      <c r="AM393" s="156">
        <v>0</v>
      </c>
      <c r="AN393" s="156"/>
      <c r="AO393" s="156">
        <f>1-AW393</f>
        <v>0.98809999999999998</v>
      </c>
      <c r="AP393" s="156"/>
      <c r="AQ393" s="156">
        <v>0</v>
      </c>
      <c r="AR393" s="156"/>
      <c r="AS393" s="156"/>
      <c r="AT393" s="156"/>
      <c r="AU393" s="156"/>
      <c r="AV393" s="156"/>
      <c r="AW393" s="156">
        <f>+'F8-10'!F32</f>
        <v>1.1900000000000001E-2</v>
      </c>
      <c r="AX393" s="156"/>
      <c r="AY393" s="156">
        <v>0</v>
      </c>
      <c r="AZ393" s="156"/>
      <c r="BA393" s="156">
        <f t="shared" si="429"/>
        <v>1</v>
      </c>
    </row>
    <row r="394" spans="3:53" x14ac:dyDescent="0.2">
      <c r="C394" s="370"/>
      <c r="K394" s="125">
        <v>10</v>
      </c>
      <c r="L394" s="135">
        <f>'F8-10'!F48</f>
        <v>0.82520000000000004</v>
      </c>
      <c r="M394" s="135"/>
      <c r="N394" s="135">
        <f>'F8-10'!F49</f>
        <v>0.1115</v>
      </c>
      <c r="O394" s="135"/>
      <c r="P394" s="135">
        <f>'F8-10'!F50</f>
        <v>1.1000000000000001E-3</v>
      </c>
      <c r="Q394" s="135"/>
      <c r="R394" s="135">
        <f>'F8-10'!F51</f>
        <v>1.34E-2</v>
      </c>
      <c r="S394" s="135"/>
      <c r="T394" s="135">
        <f>'F8-10'!F52</f>
        <v>5.9999999999999995E-4</v>
      </c>
      <c r="U394" s="135"/>
      <c r="V394" s="135">
        <f>'F8-10'!F53</f>
        <v>4.82E-2</v>
      </c>
      <c r="W394" s="135"/>
      <c r="X394" s="135">
        <v>0</v>
      </c>
      <c r="Y394" s="133"/>
      <c r="Z394" s="133">
        <f t="shared" si="427"/>
        <v>1</v>
      </c>
      <c r="AA394" t="str">
        <f t="shared" si="428"/>
        <v>ok</v>
      </c>
      <c r="AH394" s="157">
        <v>10</v>
      </c>
      <c r="AI394" s="156">
        <v>0</v>
      </c>
      <c r="AJ394" s="156"/>
      <c r="AK394" s="156">
        <v>0</v>
      </c>
      <c r="AL394" s="156"/>
      <c r="AM394" s="156">
        <v>0</v>
      </c>
      <c r="AN394" s="156"/>
      <c r="AO394" s="156">
        <v>0</v>
      </c>
      <c r="AP394" s="156"/>
      <c r="AQ394" s="156">
        <f>1-AW394</f>
        <v>0.95179999999999998</v>
      </c>
      <c r="AR394" s="156"/>
      <c r="AS394" s="156">
        <v>0</v>
      </c>
      <c r="AT394" s="156"/>
      <c r="AU394" s="156"/>
      <c r="AV394" s="156"/>
      <c r="AW394" s="156">
        <f>+'F8-10'!F53</f>
        <v>4.82E-2</v>
      </c>
      <c r="AX394" s="156"/>
      <c r="AY394" s="156">
        <v>0</v>
      </c>
      <c r="AZ394" s="156"/>
      <c r="BA394" s="156">
        <f t="shared" si="429"/>
        <v>1</v>
      </c>
    </row>
    <row r="395" spans="3:53" x14ac:dyDescent="0.2">
      <c r="C395" s="370"/>
      <c r="K395" s="125">
        <v>11</v>
      </c>
      <c r="L395" s="136">
        <f>+L361</f>
        <v>0.79959999999999998</v>
      </c>
      <c r="M395" s="136"/>
      <c r="N395" s="136">
        <f>+N361</f>
        <v>0.14199999999999999</v>
      </c>
      <c r="O395" s="136"/>
      <c r="P395" s="136">
        <f>+P361</f>
        <v>6.8999999999999999E-3</v>
      </c>
      <c r="Q395" s="136"/>
      <c r="R395" s="136">
        <f>+R361</f>
        <v>2.7699999999999999E-2</v>
      </c>
      <c r="S395" s="136"/>
      <c r="T395" s="136">
        <f>+T361</f>
        <v>2.5999999999999999E-3</v>
      </c>
      <c r="U395" s="136"/>
      <c r="V395" s="136">
        <f>+V361</f>
        <v>1.5699999999999999E-2</v>
      </c>
      <c r="W395" s="136"/>
      <c r="X395" s="136">
        <f>+X361</f>
        <v>5.4999999999999997E-3</v>
      </c>
      <c r="Y395" s="134"/>
      <c r="Z395" s="133">
        <f t="shared" ref="Z395:Z405" si="430">SUM(L395:Y395)</f>
        <v>1</v>
      </c>
      <c r="AA395" t="str">
        <f t="shared" si="428"/>
        <v>ok</v>
      </c>
      <c r="AH395" s="157">
        <v>11</v>
      </c>
      <c r="AI395" s="156">
        <f>+AI361</f>
        <v>3.1699999999999999E-2</v>
      </c>
      <c r="AJ395" s="156">
        <f t="shared" ref="AJ395:AW395" si="431">+AJ361</f>
        <v>0</v>
      </c>
      <c r="AK395" s="156">
        <f t="shared" si="431"/>
        <v>6.6E-3</v>
      </c>
      <c r="AL395" s="156">
        <f t="shared" si="431"/>
        <v>0</v>
      </c>
      <c r="AM395" s="156">
        <f t="shared" si="431"/>
        <v>3.4599999999999999E-2</v>
      </c>
      <c r="AN395" s="156">
        <f t="shared" si="431"/>
        <v>0</v>
      </c>
      <c r="AO395" s="156">
        <f t="shared" si="431"/>
        <v>0.90590000000000004</v>
      </c>
      <c r="AP395" s="156">
        <f t="shared" si="431"/>
        <v>0</v>
      </c>
      <c r="AQ395" s="156">
        <f t="shared" si="431"/>
        <v>0</v>
      </c>
      <c r="AR395" s="156">
        <f t="shared" si="431"/>
        <v>0</v>
      </c>
      <c r="AS395" s="156">
        <f t="shared" si="431"/>
        <v>0</v>
      </c>
      <c r="AT395" s="156"/>
      <c r="AU395" s="156"/>
      <c r="AV395" s="156">
        <f t="shared" si="431"/>
        <v>0</v>
      </c>
      <c r="AW395" s="156">
        <f t="shared" si="431"/>
        <v>1.5699999999999999E-2</v>
      </c>
      <c r="AX395" s="156">
        <f>+AX361</f>
        <v>0</v>
      </c>
      <c r="AY395" s="156">
        <f>+'F11-12'!F22</f>
        <v>5.4999999999999997E-3</v>
      </c>
      <c r="AZ395" s="156"/>
      <c r="BA395" s="156">
        <f t="shared" si="429"/>
        <v>1</v>
      </c>
    </row>
    <row r="396" spans="3:53" x14ac:dyDescent="0.2">
      <c r="C396" s="370"/>
      <c r="K396" s="125">
        <v>12</v>
      </c>
      <c r="L396" s="136">
        <f>+L363</f>
        <v>0.60470000000000002</v>
      </c>
      <c r="M396" s="136"/>
      <c r="N396" s="136">
        <f>+N363</f>
        <v>0.1603</v>
      </c>
      <c r="O396" s="136"/>
      <c r="P396" s="136">
        <f>+P363</f>
        <v>1.4999999999999999E-2</v>
      </c>
      <c r="Q396" s="136"/>
      <c r="R396" s="136">
        <f>+R363</f>
        <v>3.5400000000000001E-2</v>
      </c>
      <c r="S396" s="136"/>
      <c r="T396" s="136">
        <f>+T363</f>
        <v>2.5999999999999999E-3</v>
      </c>
      <c r="U396" s="136"/>
      <c r="V396" s="136">
        <f>+V363</f>
        <v>3.9800000000000002E-2</v>
      </c>
      <c r="W396" s="136"/>
      <c r="X396" s="136">
        <f>+X363</f>
        <v>0.14219999999999999</v>
      </c>
      <c r="Y396" s="134"/>
      <c r="Z396" s="133">
        <f t="shared" si="430"/>
        <v>1</v>
      </c>
      <c r="AA396" t="str">
        <f t="shared" si="428"/>
        <v>ok</v>
      </c>
      <c r="AH396" s="157">
        <v>12</v>
      </c>
      <c r="AI396" s="156">
        <f>+AI363</f>
        <v>0.13159999999999999</v>
      </c>
      <c r="AJ396" s="156">
        <f t="shared" ref="AJ396:AW396" si="432">+AJ363</f>
        <v>0</v>
      </c>
      <c r="AK396" s="156">
        <f t="shared" si="432"/>
        <v>2.75E-2</v>
      </c>
      <c r="AL396" s="156">
        <f t="shared" si="432"/>
        <v>0</v>
      </c>
      <c r="AM396" s="156">
        <f t="shared" si="432"/>
        <v>0.14360000000000001</v>
      </c>
      <c r="AN396" s="156">
        <f t="shared" si="432"/>
        <v>0</v>
      </c>
      <c r="AO396" s="156">
        <f t="shared" si="432"/>
        <v>0.15359999999999999</v>
      </c>
      <c r="AP396" s="156">
        <f t="shared" si="432"/>
        <v>0</v>
      </c>
      <c r="AQ396" s="156">
        <f t="shared" si="432"/>
        <v>0.36170000000000002</v>
      </c>
      <c r="AR396" s="156">
        <f t="shared" si="432"/>
        <v>0</v>
      </c>
      <c r="AS396" s="156">
        <f t="shared" si="432"/>
        <v>0</v>
      </c>
      <c r="AT396" s="156"/>
      <c r="AU396" s="156"/>
      <c r="AV396" s="156">
        <f t="shared" si="432"/>
        <v>0</v>
      </c>
      <c r="AW396" s="156">
        <f t="shared" si="432"/>
        <v>3.9800000000000002E-2</v>
      </c>
      <c r="AX396" s="156">
        <f>+AX363</f>
        <v>0</v>
      </c>
      <c r="AY396" s="156">
        <f>+'F11-12'!F68</f>
        <v>0.14219999999999999</v>
      </c>
      <c r="AZ396" s="156"/>
      <c r="BA396" s="156">
        <f t="shared" si="429"/>
        <v>0.99999999999999989</v>
      </c>
    </row>
    <row r="397" spans="3:53" x14ac:dyDescent="0.2">
      <c r="C397" s="370"/>
      <c r="K397" s="125">
        <v>13</v>
      </c>
      <c r="L397" s="135">
        <f>+'F13-14'!F13</f>
        <v>0.90080000000000005</v>
      </c>
      <c r="M397" s="135"/>
      <c r="N397" s="135">
        <f>+'F13-14'!F14</f>
        <v>7.0499999999999993E-2</v>
      </c>
      <c r="O397" s="135"/>
      <c r="P397" s="135">
        <f>+'F13-14'!F15</f>
        <v>4.0000000000000002E-4</v>
      </c>
      <c r="Q397" s="135"/>
      <c r="R397" s="135">
        <f>+'F13-14'!F16</f>
        <v>5.8999999999999999E-3</v>
      </c>
      <c r="S397" s="135"/>
      <c r="T397" s="135">
        <f>+'F13-14'!F17</f>
        <v>2.0000000000000001E-4</v>
      </c>
      <c r="U397" s="135"/>
      <c r="V397" s="135">
        <f>+'F13-14'!F18</f>
        <v>2.1899999999999999E-2</v>
      </c>
      <c r="W397" s="135"/>
      <c r="X397" s="135">
        <f>+'F13-14'!F19</f>
        <v>2.9999999999999997E-4</v>
      </c>
      <c r="Y397" s="133"/>
      <c r="Z397" s="133">
        <f t="shared" si="430"/>
        <v>1</v>
      </c>
      <c r="AA397" t="str">
        <f t="shared" si="428"/>
        <v>ok</v>
      </c>
      <c r="AH397" s="157">
        <v>13</v>
      </c>
      <c r="AI397" s="156">
        <v>0</v>
      </c>
      <c r="AJ397" s="156"/>
      <c r="AK397" s="156">
        <v>0</v>
      </c>
      <c r="AL397" s="156"/>
      <c r="AM397" s="156">
        <v>0</v>
      </c>
      <c r="AN397" s="156">
        <v>0</v>
      </c>
      <c r="AO397" s="156">
        <v>0</v>
      </c>
      <c r="AP397" s="156"/>
      <c r="AQ397" s="156">
        <v>0</v>
      </c>
      <c r="AR397" s="156"/>
      <c r="AS397" s="156">
        <f>1-AW397-AY397</f>
        <v>0.9778</v>
      </c>
      <c r="AT397" s="156"/>
      <c r="AU397" s="156"/>
      <c r="AV397" s="156"/>
      <c r="AW397" s="156">
        <f>+'F13-14'!F18</f>
        <v>2.1899999999999999E-2</v>
      </c>
      <c r="AX397" s="156"/>
      <c r="AY397" s="156">
        <f>+'F13-14'!F19</f>
        <v>2.9999999999999997E-4</v>
      </c>
      <c r="AZ397" s="156"/>
      <c r="BA397" s="156">
        <f t="shared" si="429"/>
        <v>1</v>
      </c>
    </row>
    <row r="398" spans="3:53" x14ac:dyDescent="0.2">
      <c r="C398" s="370"/>
      <c r="K398" s="125">
        <v>14</v>
      </c>
      <c r="L398" s="135">
        <f>+'F13-14'!F33</f>
        <v>0.90900000000000003</v>
      </c>
      <c r="M398" s="135"/>
      <c r="N398" s="135">
        <f>+'F13-14'!F34</f>
        <v>7.1199999999999999E-2</v>
      </c>
      <c r="O398" s="135"/>
      <c r="P398" s="135">
        <f>+'F13-14'!F35</f>
        <v>4.0000000000000002E-4</v>
      </c>
      <c r="Q398" s="135"/>
      <c r="R398" s="135">
        <f>+'F13-14'!F36</f>
        <v>6.0000000000000001E-3</v>
      </c>
      <c r="S398" s="135"/>
      <c r="T398" s="135">
        <f>+'F13-14'!F37</f>
        <v>2.0000000000000001E-4</v>
      </c>
      <c r="U398" s="135"/>
      <c r="V398" s="135">
        <f>+'F13-14'!F38</f>
        <v>1.32E-2</v>
      </c>
      <c r="W398" s="135"/>
      <c r="X398" s="135">
        <v>0</v>
      </c>
      <c r="Y398" s="134"/>
      <c r="Z398" s="133">
        <f t="shared" si="430"/>
        <v>1</v>
      </c>
      <c r="AA398" t="str">
        <f t="shared" si="428"/>
        <v>ok</v>
      </c>
      <c r="AH398" s="157">
        <v>14</v>
      </c>
      <c r="AI398" s="156">
        <v>0</v>
      </c>
      <c r="AJ398" s="156"/>
      <c r="AK398" s="156">
        <v>0</v>
      </c>
      <c r="AL398" s="156"/>
      <c r="AM398" s="156">
        <v>0</v>
      </c>
      <c r="AN398" s="156">
        <v>0</v>
      </c>
      <c r="AO398" s="156">
        <v>0</v>
      </c>
      <c r="AP398" s="156"/>
      <c r="AQ398" s="156">
        <v>0</v>
      </c>
      <c r="AR398" s="156"/>
      <c r="AS398" s="156">
        <v>1</v>
      </c>
      <c r="AT398" s="156"/>
      <c r="AU398" s="156"/>
      <c r="AV398" s="156"/>
      <c r="AW398" s="156">
        <v>0</v>
      </c>
      <c r="AX398" s="156"/>
      <c r="AY398" s="156">
        <v>0</v>
      </c>
      <c r="AZ398" s="156"/>
      <c r="BA398" s="156">
        <f t="shared" si="429"/>
        <v>1</v>
      </c>
    </row>
    <row r="399" spans="3:53" x14ac:dyDescent="0.2">
      <c r="C399" s="370"/>
      <c r="K399" s="125">
        <v>15</v>
      </c>
      <c r="L399" s="136">
        <f t="shared" ref="L399:X399" si="433">+L365</f>
        <v>0.68430000000000002</v>
      </c>
      <c r="M399" s="136">
        <f t="shared" si="433"/>
        <v>0</v>
      </c>
      <c r="N399" s="136">
        <f t="shared" si="433"/>
        <v>0.18490000000000001</v>
      </c>
      <c r="O399" s="136">
        <f t="shared" si="433"/>
        <v>0</v>
      </c>
      <c r="P399" s="136">
        <f t="shared" si="433"/>
        <v>2.3099999999999999E-2</v>
      </c>
      <c r="Q399" s="136">
        <f t="shared" si="433"/>
        <v>0</v>
      </c>
      <c r="R399" s="136">
        <f t="shared" si="433"/>
        <v>5.0200000000000002E-2</v>
      </c>
      <c r="S399" s="136">
        <f t="shared" si="433"/>
        <v>0</v>
      </c>
      <c r="T399" s="136">
        <f t="shared" si="433"/>
        <v>1.2999999999999999E-2</v>
      </c>
      <c r="U399" s="136">
        <f t="shared" si="433"/>
        <v>0</v>
      </c>
      <c r="V399" s="136">
        <f t="shared" si="433"/>
        <v>1.61E-2</v>
      </c>
      <c r="W399" s="136">
        <f t="shared" si="433"/>
        <v>0</v>
      </c>
      <c r="X399" s="136">
        <f t="shared" si="433"/>
        <v>2.8400000000000002E-2</v>
      </c>
      <c r="Y399" s="134"/>
      <c r="Z399" s="133">
        <f t="shared" si="430"/>
        <v>1</v>
      </c>
      <c r="AA399" t="str">
        <f t="shared" si="428"/>
        <v>ok</v>
      </c>
      <c r="AH399" s="157">
        <v>15</v>
      </c>
      <c r="AI399" s="156">
        <f>+AI365</f>
        <v>0.25580000000000003</v>
      </c>
      <c r="AJ399" s="156">
        <f t="shared" ref="AJ399:AW399" si="434">+AJ365</f>
        <v>0</v>
      </c>
      <c r="AK399" s="156">
        <f t="shared" si="434"/>
        <v>0.15079999999999999</v>
      </c>
      <c r="AL399" s="156">
        <f t="shared" si="434"/>
        <v>0</v>
      </c>
      <c r="AM399" s="156">
        <f t="shared" si="434"/>
        <v>3.2199999999999999E-2</v>
      </c>
      <c r="AN399" s="156">
        <f t="shared" si="434"/>
        <v>0</v>
      </c>
      <c r="AO399" s="156">
        <f t="shared" si="434"/>
        <v>0.16500000000000001</v>
      </c>
      <c r="AP399" s="156">
        <f t="shared" si="434"/>
        <v>0</v>
      </c>
      <c r="AQ399" s="156">
        <f t="shared" si="434"/>
        <v>6.8000000000000005E-2</v>
      </c>
      <c r="AR399" s="156">
        <f t="shared" si="434"/>
        <v>0</v>
      </c>
      <c r="AS399" s="156">
        <f t="shared" si="434"/>
        <v>0.21190000000000001</v>
      </c>
      <c r="AT399" s="156">
        <f>+AT365</f>
        <v>0</v>
      </c>
      <c r="AU399" s="156">
        <f>+AU365</f>
        <v>7.3300000000000004E-2</v>
      </c>
      <c r="AV399" s="156">
        <f t="shared" si="434"/>
        <v>0</v>
      </c>
      <c r="AW399" s="156">
        <f t="shared" si="434"/>
        <v>1.46E-2</v>
      </c>
      <c r="AX399" s="156">
        <f>+AX365</f>
        <v>0</v>
      </c>
      <c r="AY399" s="156">
        <f>+AY365</f>
        <v>2.8400000000000002E-2</v>
      </c>
      <c r="AZ399" s="156"/>
      <c r="BA399" s="156">
        <f t="shared" si="429"/>
        <v>0.99999999999999989</v>
      </c>
    </row>
    <row r="400" spans="3:53" x14ac:dyDescent="0.2">
      <c r="C400" s="370"/>
      <c r="K400" s="125" t="s">
        <v>4</v>
      </c>
      <c r="L400" s="136">
        <f ca="1">+L367</f>
        <v>0.65580000000000005</v>
      </c>
      <c r="M400" s="136"/>
      <c r="N400" s="136">
        <f ca="1">+N367</f>
        <v>0.20399999999999999</v>
      </c>
      <c r="O400" s="136"/>
      <c r="P400" s="136">
        <f ca="1">+P367</f>
        <v>2.81E-2</v>
      </c>
      <c r="Q400" s="136"/>
      <c r="R400" s="136">
        <f ca="1">+R367</f>
        <v>5.8799999999999998E-2</v>
      </c>
      <c r="S400" s="136"/>
      <c r="T400" s="136">
        <f ca="1">+T367</f>
        <v>1.67E-2</v>
      </c>
      <c r="U400" s="136"/>
      <c r="V400" s="136">
        <f ca="1">+V367</f>
        <v>1.38E-2</v>
      </c>
      <c r="W400" s="136"/>
      <c r="X400" s="136">
        <f ca="1">+X367</f>
        <v>2.2800000000000001E-2</v>
      </c>
      <c r="Y400" s="134"/>
      <c r="Z400" s="133">
        <f ca="1">SUM(L400:Y400)</f>
        <v>1</v>
      </c>
      <c r="AA400" t="str">
        <f t="shared" ca="1" si="428"/>
        <v>ok</v>
      </c>
      <c r="AH400" s="157" t="s">
        <v>4</v>
      </c>
      <c r="AI400" s="156">
        <f ca="1">+AI367</f>
        <v>0.38119999999999998</v>
      </c>
      <c r="AJ400" s="156"/>
      <c r="AK400" s="156">
        <f ca="1">+AK367</f>
        <v>0.1206</v>
      </c>
      <c r="AL400" s="156"/>
      <c r="AM400" s="156">
        <f ca="1">+AM367</f>
        <v>2.4799999999999999E-2</v>
      </c>
      <c r="AN400" s="156"/>
      <c r="AO400" s="156">
        <f ca="1">+AO367</f>
        <v>0.1348</v>
      </c>
      <c r="AP400" s="156"/>
      <c r="AQ400" s="156">
        <f ca="1">+AQ367</f>
        <v>5.2900000000000003E-2</v>
      </c>
      <c r="AR400" s="156"/>
      <c r="AS400" s="156">
        <f ca="1">+AS367</f>
        <v>0.20230000000000001</v>
      </c>
      <c r="AT400" s="156"/>
      <c r="AU400" s="156">
        <f ca="1">+AU367</f>
        <v>4.7900000000000005E-2</v>
      </c>
      <c r="AV400" s="156"/>
      <c r="AW400" s="156">
        <f ca="1">+AW367</f>
        <v>1.2699999999999999E-2</v>
      </c>
      <c r="AX400" s="156"/>
      <c r="AY400" s="156">
        <f ca="1">+AY367</f>
        <v>2.2800000000000001E-2</v>
      </c>
      <c r="AZ400" s="156"/>
      <c r="BA400" s="156">
        <f t="shared" ca="1" si="429"/>
        <v>1.0000000000000002</v>
      </c>
    </row>
    <row r="401" spans="3:53" x14ac:dyDescent="0.2">
      <c r="C401" s="370"/>
      <c r="K401" s="125">
        <v>16</v>
      </c>
      <c r="L401" s="136">
        <f t="shared" ref="L401:X401" si="435">+L369</f>
        <v>0.65</v>
      </c>
      <c r="M401" s="136">
        <f t="shared" si="435"/>
        <v>0</v>
      </c>
      <c r="N401" s="136">
        <f t="shared" si="435"/>
        <v>0.20630000000000001</v>
      </c>
      <c r="O401" s="136">
        <f t="shared" si="435"/>
        <v>0</v>
      </c>
      <c r="P401" s="136">
        <f t="shared" si="435"/>
        <v>2.5999999999999999E-2</v>
      </c>
      <c r="Q401" s="136">
        <f t="shared" si="435"/>
        <v>0</v>
      </c>
      <c r="R401" s="136">
        <f t="shared" si="435"/>
        <v>5.6599999999999998E-2</v>
      </c>
      <c r="S401" s="136">
        <f t="shared" si="435"/>
        <v>0</v>
      </c>
      <c r="T401" s="136">
        <f t="shared" si="435"/>
        <v>1.5299999999999999E-2</v>
      </c>
      <c r="U401" s="136">
        <f t="shared" si="435"/>
        <v>0</v>
      </c>
      <c r="V401" s="136">
        <f t="shared" si="435"/>
        <v>1.4200000000000001E-2</v>
      </c>
      <c r="W401" s="136">
        <f t="shared" si="435"/>
        <v>0</v>
      </c>
      <c r="X401" s="136">
        <f t="shared" si="435"/>
        <v>3.1600000000000003E-2</v>
      </c>
      <c r="Y401" s="134"/>
      <c r="Z401" s="133">
        <f t="shared" si="430"/>
        <v>1</v>
      </c>
      <c r="AA401" t="str">
        <f t="shared" si="428"/>
        <v>ok</v>
      </c>
      <c r="AH401" s="157">
        <v>16</v>
      </c>
      <c r="AI401" s="156">
        <f>+AI369</f>
        <v>0.28199999999999997</v>
      </c>
      <c r="AJ401" s="156">
        <f t="shared" ref="AJ401:AW401" si="436">+AJ369</f>
        <v>0</v>
      </c>
      <c r="AK401" s="156">
        <f t="shared" si="436"/>
        <v>0.193</v>
      </c>
      <c r="AL401" s="156">
        <f t="shared" si="436"/>
        <v>0</v>
      </c>
      <c r="AM401" s="156">
        <f t="shared" si="436"/>
        <v>3.0800000000000001E-2</v>
      </c>
      <c r="AN401" s="156">
        <f t="shared" si="436"/>
        <v>0</v>
      </c>
      <c r="AO401" s="156">
        <f t="shared" si="436"/>
        <v>0.24249999999999999</v>
      </c>
      <c r="AP401" s="156">
        <f t="shared" si="436"/>
        <v>0</v>
      </c>
      <c r="AQ401" s="156">
        <f t="shared" si="436"/>
        <v>7.8399999999999997E-2</v>
      </c>
      <c r="AR401" s="156">
        <f t="shared" si="436"/>
        <v>0</v>
      </c>
      <c r="AS401" s="156">
        <f t="shared" si="436"/>
        <v>0.1159</v>
      </c>
      <c r="AT401" s="156">
        <f>+AT369</f>
        <v>0</v>
      </c>
      <c r="AU401" s="156">
        <f>+AU369</f>
        <v>1.24E-2</v>
      </c>
      <c r="AV401" s="156">
        <f t="shared" si="436"/>
        <v>0</v>
      </c>
      <c r="AW401" s="156">
        <f t="shared" si="436"/>
        <v>1.34E-2</v>
      </c>
      <c r="AX401" s="156">
        <f>+AX369</f>
        <v>0</v>
      </c>
      <c r="AY401" s="156">
        <f>+AY369</f>
        <v>3.1600000000000003E-2</v>
      </c>
      <c r="AZ401" s="156"/>
      <c r="BA401" s="156">
        <f t="shared" si="429"/>
        <v>0.99999999999999989</v>
      </c>
    </row>
    <row r="402" spans="3:53" x14ac:dyDescent="0.2">
      <c r="C402" s="370"/>
      <c r="K402" s="125">
        <v>17</v>
      </c>
      <c r="L402" s="136">
        <f t="shared" ref="L402:X402" si="437">+L371</f>
        <v>0.51039999999999996</v>
      </c>
      <c r="M402" s="136">
        <f t="shared" si="437"/>
        <v>0</v>
      </c>
      <c r="N402" s="136">
        <f t="shared" si="437"/>
        <v>0.26140000000000002</v>
      </c>
      <c r="O402" s="136">
        <f t="shared" si="437"/>
        <v>0</v>
      </c>
      <c r="P402" s="136">
        <f t="shared" si="437"/>
        <v>3.8899999999999997E-2</v>
      </c>
      <c r="Q402" s="136">
        <f t="shared" si="437"/>
        <v>0</v>
      </c>
      <c r="R402" s="136">
        <f t="shared" si="437"/>
        <v>7.7799999999999994E-2</v>
      </c>
      <c r="S402" s="136">
        <f t="shared" si="437"/>
        <v>0</v>
      </c>
      <c r="T402" s="136">
        <f t="shared" si="437"/>
        <v>2.0500000000000001E-2</v>
      </c>
      <c r="U402" s="136">
        <f t="shared" si="437"/>
        <v>0</v>
      </c>
      <c r="V402" s="136">
        <f t="shared" si="437"/>
        <v>3.0200000000000001E-2</v>
      </c>
      <c r="W402" s="136">
        <f t="shared" si="437"/>
        <v>0</v>
      </c>
      <c r="X402" s="136">
        <f t="shared" si="437"/>
        <v>6.08E-2</v>
      </c>
      <c r="Y402" s="134"/>
      <c r="Z402" s="133">
        <f t="shared" si="430"/>
        <v>1</v>
      </c>
      <c r="AA402" t="str">
        <f t="shared" si="428"/>
        <v>ok</v>
      </c>
      <c r="AH402" s="157">
        <v>17</v>
      </c>
      <c r="AI402" s="156">
        <f>+AI371</f>
        <v>0.42570000000000002</v>
      </c>
      <c r="AJ402" s="156">
        <f t="shared" ref="AJ402:AW402" si="438">+AJ371</f>
        <v>0</v>
      </c>
      <c r="AK402" s="156">
        <f t="shared" si="438"/>
        <v>0.26240000000000002</v>
      </c>
      <c r="AL402" s="156">
        <f t="shared" si="438"/>
        <v>0</v>
      </c>
      <c r="AM402" s="156">
        <f t="shared" si="438"/>
        <v>0.1108</v>
      </c>
      <c r="AN402" s="156">
        <f t="shared" si="438"/>
        <v>0</v>
      </c>
      <c r="AO402" s="156">
        <f t="shared" si="438"/>
        <v>6.4100000000000004E-2</v>
      </c>
      <c r="AP402" s="156">
        <f t="shared" si="438"/>
        <v>0</v>
      </c>
      <c r="AQ402" s="156">
        <f t="shared" si="438"/>
        <v>2.2599999999999999E-2</v>
      </c>
      <c r="AR402" s="156">
        <f t="shared" si="438"/>
        <v>0</v>
      </c>
      <c r="AS402" s="156">
        <f t="shared" si="438"/>
        <v>1.9300000000000001E-2</v>
      </c>
      <c r="AT402" s="156">
        <f>+AT371</f>
        <v>0</v>
      </c>
      <c r="AU402" s="156">
        <f>+AU371</f>
        <v>5.1999999999999998E-3</v>
      </c>
      <c r="AV402" s="156">
        <f t="shared" si="438"/>
        <v>0</v>
      </c>
      <c r="AW402" s="156">
        <f t="shared" si="438"/>
        <v>2.9600000000000001E-2</v>
      </c>
      <c r="AX402" s="156">
        <f>+AX371</f>
        <v>0</v>
      </c>
      <c r="AY402" s="156">
        <f>+AY371</f>
        <v>6.0299999999999999E-2</v>
      </c>
      <c r="AZ402" s="156"/>
      <c r="BA402" s="156">
        <f t="shared" si="429"/>
        <v>1</v>
      </c>
    </row>
    <row r="403" spans="3:53" x14ac:dyDescent="0.2">
      <c r="C403" s="370"/>
      <c r="K403" s="125">
        <v>18</v>
      </c>
      <c r="L403" s="135">
        <f ca="1">+L373</f>
        <v>0.51019999999999999</v>
      </c>
      <c r="M403" s="135"/>
      <c r="N403" s="135">
        <f ca="1">+N373</f>
        <v>0.26050000000000001</v>
      </c>
      <c r="O403" s="135"/>
      <c r="P403" s="135">
        <f ca="1">+P373</f>
        <v>3.8699999999999998E-2</v>
      </c>
      <c r="Q403" s="135"/>
      <c r="R403" s="135">
        <f ca="1">+R373</f>
        <v>7.7299999999999994E-2</v>
      </c>
      <c r="S403" s="135"/>
      <c r="T403" s="135">
        <f ca="1">+T373</f>
        <v>2.0500000000000001E-2</v>
      </c>
      <c r="U403" s="135"/>
      <c r="V403" s="135">
        <f ca="1">+V373</f>
        <v>3.15E-2</v>
      </c>
      <c r="W403" s="135"/>
      <c r="X403" s="135">
        <f ca="1">+X373</f>
        <v>6.13E-2</v>
      </c>
      <c r="Y403" s="134"/>
      <c r="Z403" s="133">
        <f t="shared" ca="1" si="430"/>
        <v>0.99999999999999989</v>
      </c>
      <c r="AA403" t="str">
        <f t="shared" ca="1" si="428"/>
        <v>ok</v>
      </c>
      <c r="AH403" s="157">
        <v>18</v>
      </c>
      <c r="AI403" s="156">
        <f ca="1">+AI373</f>
        <v>0.42309999999999998</v>
      </c>
      <c r="AJ403" s="156">
        <f t="shared" ref="AJ403:AW403" si="439">+AJ373</f>
        <v>0</v>
      </c>
      <c r="AK403" s="156">
        <f t="shared" ca="1" si="439"/>
        <v>0.25459999999999999</v>
      </c>
      <c r="AL403" s="156">
        <f t="shared" si="439"/>
        <v>0</v>
      </c>
      <c r="AM403" s="156">
        <f t="shared" ca="1" si="439"/>
        <v>0.1177</v>
      </c>
      <c r="AN403" s="156">
        <f t="shared" si="439"/>
        <v>0</v>
      </c>
      <c r="AO403" s="156">
        <f t="shared" ca="1" si="439"/>
        <v>6.3399999999999998E-2</v>
      </c>
      <c r="AP403" s="156">
        <f t="shared" si="439"/>
        <v>0</v>
      </c>
      <c r="AQ403" s="156">
        <f t="shared" ca="1" si="439"/>
        <v>2.24E-2</v>
      </c>
      <c r="AR403" s="156">
        <f t="shared" si="439"/>
        <v>0</v>
      </c>
      <c r="AS403" s="156">
        <f t="shared" ca="1" si="439"/>
        <v>2.1499999999999998E-2</v>
      </c>
      <c r="AT403" s="156">
        <f>+AT373</f>
        <v>0</v>
      </c>
      <c r="AU403" s="156">
        <f ca="1">+AU373</f>
        <v>5.5999999999999999E-3</v>
      </c>
      <c r="AV403" s="156">
        <f t="shared" si="439"/>
        <v>0</v>
      </c>
      <c r="AW403" s="156">
        <f t="shared" ca="1" si="439"/>
        <v>3.09E-2</v>
      </c>
      <c r="AX403" s="156">
        <f>+AX373</f>
        <v>0</v>
      </c>
      <c r="AY403" s="156">
        <f ca="1">+AY373</f>
        <v>6.08E-2</v>
      </c>
      <c r="AZ403" s="156"/>
      <c r="BA403" s="156">
        <f t="shared" ca="1" si="429"/>
        <v>1</v>
      </c>
    </row>
    <row r="404" spans="3:53" x14ac:dyDescent="0.2">
      <c r="C404" s="370"/>
      <c r="K404" s="125">
        <v>19</v>
      </c>
      <c r="L404" s="135">
        <f ca="1">+L375</f>
        <v>0.56989999999999996</v>
      </c>
      <c r="M404" s="135"/>
      <c r="N404" s="135">
        <f ca="1">+N375</f>
        <v>0.2369</v>
      </c>
      <c r="O404" s="135"/>
      <c r="P404" s="135">
        <f ca="1">+P375</f>
        <v>3.4099999999999998E-2</v>
      </c>
      <c r="Q404" s="135"/>
      <c r="R404" s="135">
        <f ca="1">+R375</f>
        <v>6.93E-2</v>
      </c>
      <c r="S404" s="135"/>
      <c r="T404" s="135">
        <f ca="1">+T375</f>
        <v>1.8800000000000001E-2</v>
      </c>
      <c r="U404" s="135"/>
      <c r="V404" s="135">
        <f ca="1">+V375</f>
        <v>2.4500000000000001E-2</v>
      </c>
      <c r="W404" s="135"/>
      <c r="X404" s="135">
        <f ca="1">+X375</f>
        <v>4.65E-2</v>
      </c>
      <c r="Y404" s="134"/>
      <c r="Z404" s="133">
        <f t="shared" ca="1" si="430"/>
        <v>1</v>
      </c>
      <c r="AA404" t="str">
        <f t="shared" ca="1" si="428"/>
        <v>ok</v>
      </c>
      <c r="AH404" s="157">
        <v>19</v>
      </c>
      <c r="AI404" s="156">
        <f ca="1">+AI375</f>
        <v>0.39750000000000002</v>
      </c>
      <c r="AJ404" s="156">
        <f t="shared" ref="AJ404:AW404" si="440">+AJ375</f>
        <v>0</v>
      </c>
      <c r="AK404" s="156">
        <f t="shared" ca="1" si="440"/>
        <v>0.2041</v>
      </c>
      <c r="AL404" s="156">
        <f t="shared" si="440"/>
        <v>0</v>
      </c>
      <c r="AM404" s="156">
        <f t="shared" ca="1" si="440"/>
        <v>7.9200000000000007E-2</v>
      </c>
      <c r="AN404" s="156">
        <f t="shared" si="440"/>
        <v>0</v>
      </c>
      <c r="AO404" s="156">
        <f t="shared" ca="1" si="440"/>
        <v>9.6799999999999997E-2</v>
      </c>
      <c r="AP404" s="156">
        <f t="shared" si="440"/>
        <v>0</v>
      </c>
      <c r="AQ404" s="156">
        <f t="shared" ca="1" si="440"/>
        <v>4.3900000000000002E-2</v>
      </c>
      <c r="AR404" s="156">
        <f t="shared" si="440"/>
        <v>0</v>
      </c>
      <c r="AS404" s="156">
        <f t="shared" ca="1" si="440"/>
        <v>8.6999999999999994E-2</v>
      </c>
      <c r="AT404" s="156">
        <f>+AT375</f>
        <v>0</v>
      </c>
      <c r="AU404" s="156">
        <f ca="1">+AU375</f>
        <v>2.1499999999999998E-2</v>
      </c>
      <c r="AV404" s="156">
        <f t="shared" si="440"/>
        <v>0</v>
      </c>
      <c r="AW404" s="156">
        <f t="shared" ca="1" si="440"/>
        <v>2.3800000000000002E-2</v>
      </c>
      <c r="AX404" s="156">
        <f>+AX375</f>
        <v>0</v>
      </c>
      <c r="AY404" s="156">
        <f ca="1">+AY375</f>
        <v>4.6199999999999998E-2</v>
      </c>
      <c r="AZ404" s="156"/>
      <c r="BA404" s="156">
        <f t="shared" ca="1" si="429"/>
        <v>1</v>
      </c>
    </row>
    <row r="405" spans="3:53" x14ac:dyDescent="0.2">
      <c r="C405" s="370"/>
      <c r="K405" s="125">
        <v>20</v>
      </c>
      <c r="L405" s="135">
        <f>+'F 15-20'!F144</f>
        <v>0.89859999999999995</v>
      </c>
      <c r="M405" s="135"/>
      <c r="N405" s="135">
        <f>+'F 15-20'!F145</f>
        <v>5.5599999999999997E-2</v>
      </c>
      <c r="O405" s="135"/>
      <c r="P405" s="135">
        <f>+'F 15-20'!F146</f>
        <v>9.4999999999999998E-3</v>
      </c>
      <c r="Q405" s="135"/>
      <c r="R405" s="135">
        <f>+'F 15-20'!F147</f>
        <v>2.1000000000000001E-2</v>
      </c>
      <c r="S405" s="135"/>
      <c r="T405" s="135">
        <f>+'F 15-20'!F148</f>
        <v>0</v>
      </c>
      <c r="U405" s="135"/>
      <c r="V405" s="135">
        <f>+'F 15-20'!F149</f>
        <v>1.5299999999999999E-2</v>
      </c>
      <c r="W405" s="135"/>
      <c r="X405" s="135">
        <v>0</v>
      </c>
      <c r="Y405" s="133"/>
      <c r="Z405" s="133">
        <f t="shared" si="430"/>
        <v>0.99999999999999989</v>
      </c>
      <c r="AA405" t="str">
        <f t="shared" si="428"/>
        <v>ok</v>
      </c>
      <c r="AH405" s="157">
        <v>20</v>
      </c>
      <c r="AI405" s="156"/>
      <c r="AJ405" s="156"/>
      <c r="AK405" s="156"/>
      <c r="AL405" s="156"/>
      <c r="AM405" s="156"/>
      <c r="AN405" s="156"/>
      <c r="AO405" s="156"/>
      <c r="AP405" s="156"/>
      <c r="AQ405" s="156"/>
      <c r="AR405" s="156"/>
      <c r="AS405" s="156">
        <v>0</v>
      </c>
      <c r="AT405" s="156"/>
      <c r="AU405" s="156">
        <v>1</v>
      </c>
      <c r="AV405" s="156"/>
      <c r="AW405" s="156"/>
      <c r="AX405" s="156"/>
      <c r="AY405" s="156"/>
      <c r="AZ405" s="156"/>
      <c r="BA405" s="156">
        <f t="shared" si="429"/>
        <v>1</v>
      </c>
    </row>
    <row r="406" spans="3:53" x14ac:dyDescent="0.2">
      <c r="C406" s="370"/>
      <c r="K406"/>
      <c r="L406" s="90"/>
      <c r="M406" s="89"/>
      <c r="N406" s="89"/>
      <c r="O406" s="89"/>
      <c r="P406" s="89"/>
      <c r="Q406" s="89"/>
      <c r="R406" s="89"/>
      <c r="S406" s="89"/>
      <c r="T406" s="89"/>
      <c r="U406" s="89"/>
      <c r="V406" s="89"/>
      <c r="W406" s="89"/>
      <c r="X406" s="89"/>
      <c r="Y406" s="89"/>
      <c r="Z406" s="89"/>
      <c r="AH406" s="157"/>
      <c r="AI406" s="157"/>
      <c r="AJ406" s="157"/>
      <c r="AK406" s="157"/>
      <c r="AL406" s="157"/>
      <c r="AM406" s="157"/>
      <c r="AN406" s="157"/>
      <c r="AO406" s="157"/>
      <c r="AP406" s="157"/>
      <c r="AQ406" s="157"/>
      <c r="AR406" s="157"/>
      <c r="AS406" s="157"/>
      <c r="AT406" s="157"/>
      <c r="AU406" s="157"/>
      <c r="AV406" s="157"/>
      <c r="AW406" s="157"/>
      <c r="AX406" s="157"/>
      <c r="AY406" s="157"/>
      <c r="AZ406" s="157"/>
      <c r="BA406" s="157"/>
    </row>
    <row r="407" spans="3:53" x14ac:dyDescent="0.2">
      <c r="C407" s="370"/>
      <c r="K407"/>
      <c r="L407" s="90"/>
      <c r="M407" s="89"/>
      <c r="N407" s="89"/>
      <c r="O407" s="89"/>
      <c r="P407" s="89"/>
      <c r="Q407" s="89"/>
      <c r="R407" s="89"/>
      <c r="S407" s="89"/>
      <c r="T407" s="89"/>
      <c r="U407" s="89"/>
      <c r="V407" s="89"/>
      <c r="W407" s="89"/>
      <c r="X407" s="89"/>
      <c r="Y407" s="89"/>
      <c r="Z407" s="89"/>
    </row>
    <row r="408" spans="3:53" x14ac:dyDescent="0.2">
      <c r="C408" s="370"/>
      <c r="K408"/>
      <c r="L408" s="90"/>
      <c r="M408" s="89"/>
      <c r="N408" s="89"/>
      <c r="O408" s="89"/>
      <c r="P408" s="89"/>
      <c r="Q408" s="89"/>
      <c r="R408" s="89"/>
      <c r="S408" s="89"/>
      <c r="T408" s="89"/>
      <c r="U408" s="89"/>
      <c r="V408" s="89"/>
      <c r="W408" s="89"/>
      <c r="X408" s="89"/>
      <c r="Y408" s="89"/>
      <c r="Z408" s="89"/>
    </row>
    <row r="409" spans="3:53" x14ac:dyDescent="0.2">
      <c r="C409" s="370"/>
      <c r="K409" s="125"/>
      <c r="L409" s="178" t="s">
        <v>451</v>
      </c>
      <c r="M409" s="133"/>
      <c r="N409" s="133"/>
      <c r="O409" s="89"/>
      <c r="P409" s="89"/>
      <c r="Q409" s="89"/>
      <c r="R409" s="89"/>
      <c r="S409" s="89"/>
      <c r="T409" s="89"/>
      <c r="U409" s="89"/>
      <c r="V409" s="89"/>
      <c r="W409" s="89"/>
      <c r="X409" s="89"/>
      <c r="Y409" s="89"/>
      <c r="Z409" s="89"/>
    </row>
    <row r="410" spans="3:53" x14ac:dyDescent="0.2">
      <c r="C410" s="370"/>
      <c r="J410" s="125">
        <v>2</v>
      </c>
      <c r="K410" s="125"/>
      <c r="L410" s="178" t="str">
        <f>IF(AND('F 1-2'!E46=1,'F 1-2'!G46='F 1-2'!G36,'F 1-2'!I46=1,'F 1-2'!K46='F 1-2'!K36),"OK","&lt;&lt;&lt;&lt;??")</f>
        <v>OK</v>
      </c>
      <c r="M410" s="133"/>
      <c r="N410" s="133" t="str">
        <f>IF('F 2 B'!J20=1,"ok","&lt;&lt;&lt;&lt;??")</f>
        <v>ok</v>
      </c>
      <c r="O410" s="89"/>
      <c r="P410" s="89"/>
      <c r="Q410" s="89"/>
      <c r="R410" s="89"/>
      <c r="S410" s="89"/>
      <c r="T410" s="89"/>
      <c r="U410" s="89"/>
      <c r="V410" s="89"/>
      <c r="W410" s="89"/>
      <c r="X410" s="89"/>
      <c r="Y410" s="89"/>
      <c r="Z410" s="89"/>
    </row>
    <row r="411" spans="3:53" x14ac:dyDescent="0.2">
      <c r="C411" s="370"/>
      <c r="J411" s="125">
        <v>3</v>
      </c>
      <c r="K411" s="125"/>
      <c r="L411" s="178" t="str">
        <f>IF(AND('F 3-4'!D25=1,'F 3-4'!F25='F 3-4'!F15,'F 3-4'!H25=1,'F 3-4'!J25='F 3-4'!J15,'F 3-4'!L25=1,'F 3-4'!N25='F 3-4'!N15),"OK","&lt;&lt;&lt;&lt;??")</f>
        <v>OK</v>
      </c>
      <c r="M411" s="133"/>
      <c r="N411" s="133" t="str">
        <f>IF('F 3B 4B'!I21=1,"OK","&lt;&lt;&lt;&lt;??")</f>
        <v>OK</v>
      </c>
      <c r="O411" s="89"/>
      <c r="P411" s="89"/>
      <c r="Q411" s="89"/>
      <c r="R411" s="89"/>
      <c r="S411" s="89"/>
      <c r="T411" s="89"/>
      <c r="U411" s="89"/>
      <c r="V411" s="89"/>
      <c r="W411" s="89"/>
      <c r="X411" s="89"/>
      <c r="Y411" s="89"/>
      <c r="Z411" s="89"/>
    </row>
    <row r="412" spans="3:53" x14ac:dyDescent="0.2">
      <c r="C412" s="370"/>
      <c r="J412" s="125">
        <v>4</v>
      </c>
      <c r="K412" s="125"/>
      <c r="L412" s="178" t="str">
        <f>IF(AND('F 3-4'!F53=1,'F 3-4'!H53='F 3-4'!H43,'F 3-4'!J53=1,'F 3-4'!L53='F 3-4'!L43,'F 3-4'!N53=1,'F 3-4'!P53='F 3-4'!P43),"OK","&lt;&lt;&lt;&lt;??")</f>
        <v>&lt;&lt;&lt;&lt;??</v>
      </c>
      <c r="M412" s="133"/>
      <c r="N412" s="133" t="str">
        <f>IF(AND('F 3B 4B'!K64=1,'F 3B 4B'!I48=1),"OK","&lt;&lt;&lt;&lt;??")</f>
        <v>OK</v>
      </c>
      <c r="O412" s="89"/>
      <c r="P412" s="89"/>
      <c r="Q412" s="89"/>
      <c r="R412" s="89"/>
      <c r="S412" s="89"/>
      <c r="T412" s="89"/>
      <c r="U412" s="89"/>
      <c r="V412" s="89"/>
      <c r="W412" s="89"/>
      <c r="X412" s="89"/>
      <c r="Y412" s="89"/>
      <c r="Z412" s="89"/>
    </row>
    <row r="413" spans="3:53" x14ac:dyDescent="0.2">
      <c r="C413" s="370"/>
      <c r="J413" s="125">
        <v>5</v>
      </c>
      <c r="K413" s="125"/>
      <c r="L413" s="178" t="str">
        <f>IF(AND('F 5'!F24=1,'F 5'!H24='F 5'!H14,'F 5'!J24=1,'F 5'!L24='F 5'!L14,'F 5'!N24=1,'F 5'!P24='F 5'!P14),"OK","&lt;&lt;&lt;&lt;??")</f>
        <v>OK</v>
      </c>
      <c r="M413" s="133"/>
      <c r="N413" s="133" t="str">
        <f>IF(AND('F 5B'!F27=100,'F 5B'!J42=1),"OK","&lt;&lt;&lt;&lt;?")</f>
        <v>OK</v>
      </c>
      <c r="O413" s="89"/>
      <c r="P413" s="89"/>
      <c r="Q413" s="89"/>
      <c r="R413" s="89"/>
      <c r="S413" s="89"/>
      <c r="T413" s="89"/>
      <c r="U413" s="89"/>
      <c r="V413" s="89"/>
      <c r="W413" s="89"/>
      <c r="X413" s="89"/>
      <c r="Y413" s="89"/>
      <c r="Z413" s="89"/>
    </row>
    <row r="414" spans="3:53" x14ac:dyDescent="0.2">
      <c r="C414" s="370"/>
      <c r="J414" s="125">
        <v>6</v>
      </c>
      <c r="K414" s="125"/>
      <c r="L414" s="178" t="str">
        <f>IF(AND('F6-7'!D24=1,'F6-7'!F24='F6-7'!F14,'F6-7'!H24=1,'F6-7'!J24='F6-7'!J14,'F6-7'!L24=1,'F6-7'!N24='F6-7'!N14),"OK","&lt;&lt;&lt;&lt;??")</f>
        <v>OK</v>
      </c>
      <c r="M414" s="133"/>
      <c r="N414" s="133"/>
      <c r="O414" s="89"/>
      <c r="P414" s="89"/>
      <c r="Q414" s="89"/>
      <c r="R414" s="89"/>
      <c r="S414" s="89"/>
      <c r="T414" s="89"/>
      <c r="U414" s="89"/>
      <c r="V414" s="89"/>
      <c r="W414" s="89"/>
      <c r="X414" s="89"/>
      <c r="Y414" s="89"/>
      <c r="Z414" s="89"/>
    </row>
    <row r="415" spans="3:53" x14ac:dyDescent="0.2">
      <c r="C415" s="370"/>
      <c r="J415" s="125">
        <v>7</v>
      </c>
      <c r="K415" s="125"/>
      <c r="L415" s="178" t="str">
        <f>IF(AND('F6-7'!F64=1,'F6-7'!H64='F6-7'!H54,'F6-7'!J64=1,'F6-7'!L64='F6-7'!L54),"OK","&lt;&lt;&lt;&lt;??")</f>
        <v>OK</v>
      </c>
      <c r="M415" s="133"/>
      <c r="N415" s="133"/>
      <c r="O415" s="89"/>
      <c r="P415" s="89"/>
      <c r="Q415" s="89"/>
      <c r="R415" s="89"/>
      <c r="S415" s="89"/>
      <c r="T415" s="89"/>
      <c r="U415" s="89"/>
      <c r="V415" s="89"/>
      <c r="W415" s="89"/>
      <c r="X415" s="89"/>
      <c r="Y415" s="89"/>
      <c r="Z415" s="89"/>
    </row>
    <row r="416" spans="3:53" x14ac:dyDescent="0.2">
      <c r="C416" s="370"/>
      <c r="J416" s="187" t="s">
        <v>452</v>
      </c>
      <c r="K416" s="188"/>
      <c r="L416" s="187" t="str">
        <f ca="1">IF(AND('SCH-A'!F32=1,'SCH-A'!J32=1,'SCH-A'!N32=1),"ok","&lt;&lt;&lt;&lt;??")</f>
        <v>ok</v>
      </c>
      <c r="M416" s="188"/>
      <c r="N416" s="188"/>
      <c r="O416" s="87"/>
      <c r="P416" s="87"/>
      <c r="Q416" s="87"/>
      <c r="R416" s="87"/>
      <c r="S416" s="87"/>
      <c r="T416" s="87"/>
      <c r="U416" s="87"/>
      <c r="V416" s="87"/>
      <c r="W416" s="87"/>
      <c r="X416" s="87"/>
      <c r="Y416" s="87"/>
      <c r="Z416" s="87"/>
    </row>
    <row r="417" spans="3:41" x14ac:dyDescent="0.2">
      <c r="C417" s="370"/>
      <c r="AA417" s="90"/>
      <c r="AB417" s="87"/>
      <c r="AC417" s="234"/>
      <c r="AD417" s="87"/>
      <c r="AE417" s="87"/>
      <c r="AF417" s="87"/>
      <c r="AG417" s="87"/>
      <c r="AH417" s="87"/>
      <c r="AI417" s="87"/>
      <c r="AJ417" s="87"/>
      <c r="AK417" s="87"/>
      <c r="AL417" s="87"/>
      <c r="AM417" s="87"/>
      <c r="AN417" s="87"/>
      <c r="AO417" s="87"/>
    </row>
    <row r="418" spans="3:41" x14ac:dyDescent="0.2">
      <c r="C418" s="370"/>
      <c r="AA418" s="85"/>
    </row>
    <row r="419" spans="3:41" x14ac:dyDescent="0.2">
      <c r="C419" s="370"/>
      <c r="AA419" s="85"/>
    </row>
    <row r="420" spans="3:41" x14ac:dyDescent="0.2">
      <c r="C420" s="370"/>
      <c r="AA420" s="85"/>
    </row>
    <row r="421" spans="3:41" x14ac:dyDescent="0.2">
      <c r="C421" s="370"/>
      <c r="AA421" s="85"/>
    </row>
    <row r="422" spans="3:41" x14ac:dyDescent="0.2">
      <c r="C422" s="370"/>
      <c r="AA422" s="85"/>
    </row>
    <row r="423" spans="3:41" x14ac:dyDescent="0.2">
      <c r="C423" s="370"/>
      <c r="AA423" s="85"/>
    </row>
    <row r="424" spans="3:41" x14ac:dyDescent="0.2">
      <c r="C424" s="370"/>
      <c r="AA424" s="85"/>
    </row>
    <row r="425" spans="3:41" x14ac:dyDescent="0.2">
      <c r="C425" s="370"/>
      <c r="AA425" s="85"/>
    </row>
    <row r="426" spans="3:41" x14ac:dyDescent="0.2">
      <c r="C426" s="370"/>
      <c r="AA426" s="85"/>
    </row>
    <row r="427" spans="3:41" x14ac:dyDescent="0.2">
      <c r="C427" s="370"/>
      <c r="AA427" s="85"/>
    </row>
    <row r="428" spans="3:41" x14ac:dyDescent="0.2">
      <c r="C428" s="370"/>
      <c r="AA428" s="85"/>
    </row>
    <row r="429" spans="3:41" x14ac:dyDescent="0.2">
      <c r="C429" s="370"/>
      <c r="AA429" s="85"/>
    </row>
    <row r="430" spans="3:41" x14ac:dyDescent="0.2">
      <c r="C430" s="370"/>
      <c r="AA430" s="85"/>
    </row>
    <row r="431" spans="3:41" x14ac:dyDescent="0.2">
      <c r="C431" s="370"/>
      <c r="AA431" s="85"/>
    </row>
    <row r="432" spans="3:41" x14ac:dyDescent="0.2">
      <c r="C432" s="370"/>
      <c r="AA432" s="85"/>
    </row>
    <row r="433" spans="3:27" x14ac:dyDescent="0.2">
      <c r="C433" s="370"/>
      <c r="AA433" s="85"/>
    </row>
    <row r="434" spans="3:27" x14ac:dyDescent="0.2">
      <c r="C434" s="370"/>
      <c r="AA434" s="85"/>
    </row>
    <row r="435" spans="3:27" x14ac:dyDescent="0.2">
      <c r="C435" s="370"/>
      <c r="AA435" s="85"/>
    </row>
    <row r="436" spans="3:27" x14ac:dyDescent="0.2">
      <c r="C436" s="370"/>
      <c r="AA436" s="85"/>
    </row>
    <row r="437" spans="3:27" x14ac:dyDescent="0.2">
      <c r="C437" s="370"/>
      <c r="AA437" s="85"/>
    </row>
    <row r="438" spans="3:27" x14ac:dyDescent="0.2">
      <c r="C438" s="370"/>
      <c r="AA438" s="82"/>
    </row>
    <row r="439" spans="3:27" x14ac:dyDescent="0.2">
      <c r="C439" s="370"/>
      <c r="AA439" s="82"/>
    </row>
    <row r="440" spans="3:27" x14ac:dyDescent="0.2">
      <c r="C440" s="370"/>
      <c r="AA440" s="82"/>
    </row>
    <row r="441" spans="3:27" x14ac:dyDescent="0.2">
      <c r="C441" s="370"/>
      <c r="AA441" s="82"/>
    </row>
    <row r="442" spans="3:27" x14ac:dyDescent="0.2">
      <c r="C442" s="370"/>
      <c r="AA442" s="82"/>
    </row>
    <row r="443" spans="3:27" x14ac:dyDescent="0.2">
      <c r="C443" s="370"/>
      <c r="AA443" s="82"/>
    </row>
    <row r="444" spans="3:27" x14ac:dyDescent="0.2">
      <c r="C444" s="370"/>
      <c r="AA444" s="82"/>
    </row>
    <row r="445" spans="3:27" x14ac:dyDescent="0.2">
      <c r="C445" s="370"/>
      <c r="AA445" s="82"/>
    </row>
    <row r="446" spans="3:27" x14ac:dyDescent="0.2">
      <c r="C446" s="370"/>
      <c r="AA446" s="82"/>
    </row>
    <row r="447" spans="3:27" x14ac:dyDescent="0.2">
      <c r="C447" s="370"/>
      <c r="AA447" s="82"/>
    </row>
    <row r="448" spans="3:27" x14ac:dyDescent="0.2">
      <c r="C448" s="370"/>
      <c r="AA448" s="82"/>
    </row>
    <row r="449" spans="3:27" x14ac:dyDescent="0.2">
      <c r="C449" s="370"/>
      <c r="AA449" s="82"/>
    </row>
    <row r="450" spans="3:27" x14ac:dyDescent="0.2">
      <c r="C450" s="370"/>
      <c r="AA450" s="82"/>
    </row>
    <row r="451" spans="3:27" x14ac:dyDescent="0.2">
      <c r="AA451" s="82"/>
    </row>
    <row r="452" spans="3:27" x14ac:dyDescent="0.2">
      <c r="AA452" s="82"/>
    </row>
    <row r="453" spans="3:27" x14ac:dyDescent="0.2">
      <c r="AA453" s="82"/>
    </row>
    <row r="454" spans="3:27" x14ac:dyDescent="0.2">
      <c r="AA454" s="82"/>
    </row>
    <row r="455" spans="3:27" x14ac:dyDescent="0.2">
      <c r="AA455" s="82"/>
    </row>
    <row r="456" spans="3:27" x14ac:dyDescent="0.2">
      <c r="AA456" s="82"/>
    </row>
    <row r="457" spans="3:27" x14ac:dyDescent="0.2">
      <c r="AA457" s="82"/>
    </row>
    <row r="458" spans="3:27" x14ac:dyDescent="0.2">
      <c r="AA458" s="82"/>
    </row>
    <row r="459" spans="3:27" x14ac:dyDescent="0.2">
      <c r="AA459" s="82"/>
    </row>
    <row r="460" spans="3:27" x14ac:dyDescent="0.2">
      <c r="AA460" s="82"/>
    </row>
    <row r="461" spans="3:27" x14ac:dyDescent="0.2">
      <c r="AA461" s="82"/>
    </row>
    <row r="462" spans="3:27" x14ac:dyDescent="0.2">
      <c r="AA462" s="82"/>
    </row>
    <row r="463" spans="3:27" x14ac:dyDescent="0.2">
      <c r="AA463" s="82"/>
    </row>
    <row r="464" spans="3:27" x14ac:dyDescent="0.2">
      <c r="AA464" s="82"/>
    </row>
    <row r="465" spans="27:27" x14ac:dyDescent="0.2">
      <c r="AA465" s="82"/>
    </row>
    <row r="466" spans="27:27" x14ac:dyDescent="0.2">
      <c r="AA466" s="82"/>
    </row>
    <row r="467" spans="27:27" x14ac:dyDescent="0.2">
      <c r="AA467" s="82"/>
    </row>
    <row r="468" spans="27:27" x14ac:dyDescent="0.2">
      <c r="AA468" s="82"/>
    </row>
    <row r="469" spans="27:27" x14ac:dyDescent="0.2">
      <c r="AA469" s="82"/>
    </row>
    <row r="470" spans="27:27" x14ac:dyDescent="0.2">
      <c r="AA470" s="82"/>
    </row>
    <row r="471" spans="27:27" x14ac:dyDescent="0.2">
      <c r="AA471" s="82"/>
    </row>
    <row r="472" spans="27:27" x14ac:dyDescent="0.2">
      <c r="AA472" s="82"/>
    </row>
    <row r="473" spans="27:27" x14ac:dyDescent="0.2">
      <c r="AA473" s="82"/>
    </row>
    <row r="474" spans="27:27" x14ac:dyDescent="0.2">
      <c r="AA474" s="82"/>
    </row>
    <row r="475" spans="27:27" x14ac:dyDescent="0.2">
      <c r="AA475" s="82"/>
    </row>
    <row r="476" spans="27:27" x14ac:dyDescent="0.2">
      <c r="AA476" s="82"/>
    </row>
    <row r="477" spans="27:27" x14ac:dyDescent="0.2">
      <c r="AA477" s="82"/>
    </row>
    <row r="478" spans="27:27" x14ac:dyDescent="0.2">
      <c r="AA478" s="82"/>
    </row>
    <row r="479" spans="27:27" x14ac:dyDescent="0.2">
      <c r="AA479" s="82"/>
    </row>
    <row r="480" spans="27:27" x14ac:dyDescent="0.2">
      <c r="AA480" s="82"/>
    </row>
    <row r="481" spans="27:27" x14ac:dyDescent="0.2">
      <c r="AA481" s="82"/>
    </row>
    <row r="482" spans="27:27" x14ac:dyDescent="0.2">
      <c r="AA482" s="82"/>
    </row>
    <row r="483" spans="27:27" x14ac:dyDescent="0.2">
      <c r="AA483" s="82"/>
    </row>
    <row r="484" spans="27:27" x14ac:dyDescent="0.2">
      <c r="AA484" s="82"/>
    </row>
    <row r="485" spans="27:27" x14ac:dyDescent="0.2">
      <c r="AA485" s="82"/>
    </row>
    <row r="486" spans="27:27" x14ac:dyDescent="0.2">
      <c r="AA486" s="82"/>
    </row>
    <row r="487" spans="27:27" x14ac:dyDescent="0.2">
      <c r="AA487" s="82"/>
    </row>
    <row r="488" spans="27:27" x14ac:dyDescent="0.2">
      <c r="AA488" s="82"/>
    </row>
    <row r="489" spans="27:27" x14ac:dyDescent="0.2">
      <c r="AA489" s="82"/>
    </row>
    <row r="490" spans="27:27" x14ac:dyDescent="0.2">
      <c r="AA490" s="82"/>
    </row>
    <row r="491" spans="27:27" x14ac:dyDescent="0.2">
      <c r="AA491" s="82"/>
    </row>
    <row r="492" spans="27:27" x14ac:dyDescent="0.2">
      <c r="AA492" s="82"/>
    </row>
    <row r="493" spans="27:27" x14ac:dyDescent="0.2">
      <c r="AA493" s="82"/>
    </row>
    <row r="494" spans="27:27" x14ac:dyDescent="0.2">
      <c r="AA494" s="82"/>
    </row>
    <row r="495" spans="27:27" x14ac:dyDescent="0.2">
      <c r="AA495" s="82"/>
    </row>
    <row r="496" spans="27:27" x14ac:dyDescent="0.2">
      <c r="AA496" s="82"/>
    </row>
    <row r="497" spans="27:27" x14ac:dyDescent="0.2">
      <c r="AA497" s="82"/>
    </row>
    <row r="498" spans="27:27" x14ac:dyDescent="0.2">
      <c r="AA498" s="82"/>
    </row>
    <row r="499" spans="27:27" x14ac:dyDescent="0.2">
      <c r="AA499" s="82"/>
    </row>
    <row r="500" spans="27:27" x14ac:dyDescent="0.2">
      <c r="AA500" s="82"/>
    </row>
    <row r="501" spans="27:27" x14ac:dyDescent="0.2">
      <c r="AA501" s="82"/>
    </row>
    <row r="502" spans="27:27" x14ac:dyDescent="0.2">
      <c r="AA502" s="82"/>
    </row>
    <row r="503" spans="27:27" x14ac:dyDescent="0.2">
      <c r="AA503" s="82"/>
    </row>
    <row r="504" spans="27:27" x14ac:dyDescent="0.2">
      <c r="AA504" s="82"/>
    </row>
    <row r="505" spans="27:27" x14ac:dyDescent="0.2">
      <c r="AA505" s="82"/>
    </row>
    <row r="506" spans="27:27" x14ac:dyDescent="0.2">
      <c r="AA506" s="82"/>
    </row>
    <row r="507" spans="27:27" x14ac:dyDescent="0.2">
      <c r="AA507" s="82"/>
    </row>
    <row r="508" spans="27:27" x14ac:dyDescent="0.2">
      <c r="AA508" s="82"/>
    </row>
    <row r="509" spans="27:27" x14ac:dyDescent="0.2">
      <c r="AA509" s="82"/>
    </row>
    <row r="510" spans="27:27" x14ac:dyDescent="0.2">
      <c r="AA510" s="82"/>
    </row>
    <row r="511" spans="27:27" x14ac:dyDescent="0.2">
      <c r="AA511" s="82"/>
    </row>
    <row r="512" spans="27:27" x14ac:dyDescent="0.2">
      <c r="AA512" s="82"/>
    </row>
    <row r="513" spans="27:27" x14ac:dyDescent="0.2">
      <c r="AA513" s="82"/>
    </row>
    <row r="514" spans="27:27" x14ac:dyDescent="0.2">
      <c r="AA514" s="82"/>
    </row>
    <row r="515" spans="27:27" x14ac:dyDescent="0.2">
      <c r="AA515" s="82"/>
    </row>
    <row r="516" spans="27:27" x14ac:dyDescent="0.2">
      <c r="AA516" s="82"/>
    </row>
    <row r="517" spans="27:27" x14ac:dyDescent="0.2">
      <c r="AA517" s="82"/>
    </row>
    <row r="518" spans="27:27" x14ac:dyDescent="0.2">
      <c r="AA518" s="82"/>
    </row>
    <row r="519" spans="27:27" x14ac:dyDescent="0.2">
      <c r="AA519" s="82"/>
    </row>
    <row r="520" spans="27:27" x14ac:dyDescent="0.2">
      <c r="AA520" s="82"/>
    </row>
    <row r="521" spans="27:27" x14ac:dyDescent="0.2">
      <c r="AA521" s="82"/>
    </row>
    <row r="522" spans="27:27" x14ac:dyDescent="0.2">
      <c r="AA522" s="82"/>
    </row>
    <row r="523" spans="27:27" x14ac:dyDescent="0.2">
      <c r="AA523" s="82"/>
    </row>
    <row r="524" spans="27:27" x14ac:dyDescent="0.2">
      <c r="AA524" s="82"/>
    </row>
    <row r="525" spans="27:27" x14ac:dyDescent="0.2">
      <c r="AA525" s="82"/>
    </row>
    <row r="526" spans="27:27" x14ac:dyDescent="0.2">
      <c r="AA526" s="82"/>
    </row>
    <row r="527" spans="27:27" x14ac:dyDescent="0.2">
      <c r="AA527" s="82"/>
    </row>
    <row r="528" spans="27:27" x14ac:dyDescent="0.2">
      <c r="AA528" s="82"/>
    </row>
    <row r="529" spans="27:27" x14ac:dyDescent="0.2">
      <c r="AA529" s="82"/>
    </row>
    <row r="530" spans="27:27" x14ac:dyDescent="0.2">
      <c r="AA530" s="82"/>
    </row>
    <row r="531" spans="27:27" x14ac:dyDescent="0.2">
      <c r="AA531" s="82"/>
    </row>
    <row r="532" spans="27:27" x14ac:dyDescent="0.2">
      <c r="AA532" s="82"/>
    </row>
    <row r="533" spans="27:27" x14ac:dyDescent="0.2">
      <c r="AA533" s="82"/>
    </row>
    <row r="534" spans="27:27" x14ac:dyDescent="0.2">
      <c r="AA534" s="82"/>
    </row>
    <row r="535" spans="27:27" x14ac:dyDescent="0.2">
      <c r="AA535" s="82"/>
    </row>
    <row r="536" spans="27:27" x14ac:dyDescent="0.2">
      <c r="AA536" s="82"/>
    </row>
    <row r="537" spans="27:27" x14ac:dyDescent="0.2">
      <c r="AA537" s="82"/>
    </row>
    <row r="538" spans="27:27" x14ac:dyDescent="0.2">
      <c r="AA538" s="82"/>
    </row>
    <row r="539" spans="27:27" x14ac:dyDescent="0.2">
      <c r="AA539" s="82"/>
    </row>
    <row r="540" spans="27:27" x14ac:dyDescent="0.2">
      <c r="AA540" s="82"/>
    </row>
    <row r="541" spans="27:27" x14ac:dyDescent="0.2">
      <c r="AA541" s="82"/>
    </row>
    <row r="542" spans="27:27" x14ac:dyDescent="0.2">
      <c r="AA542" s="82"/>
    </row>
    <row r="543" spans="27:27" x14ac:dyDescent="0.2">
      <c r="AA543" s="82"/>
    </row>
    <row r="544" spans="27:27" x14ac:dyDescent="0.2">
      <c r="AA544" s="82"/>
    </row>
    <row r="545" spans="27:27" x14ac:dyDescent="0.2">
      <c r="AA545" s="82"/>
    </row>
    <row r="546" spans="27:27" x14ac:dyDescent="0.2">
      <c r="AA546" s="82"/>
    </row>
    <row r="547" spans="27:27" x14ac:dyDescent="0.2">
      <c r="AA547" s="82"/>
    </row>
    <row r="548" spans="27:27" x14ac:dyDescent="0.2">
      <c r="AA548" s="82"/>
    </row>
    <row r="549" spans="27:27" x14ac:dyDescent="0.2">
      <c r="AA549" s="82"/>
    </row>
    <row r="550" spans="27:27" x14ac:dyDescent="0.2">
      <c r="AA550" s="82"/>
    </row>
    <row r="551" spans="27:27" x14ac:dyDescent="0.2">
      <c r="AA551" s="82"/>
    </row>
    <row r="552" spans="27:27" x14ac:dyDescent="0.2">
      <c r="AA552" s="82"/>
    </row>
    <row r="553" spans="27:27" x14ac:dyDescent="0.2">
      <c r="AA553" s="82"/>
    </row>
    <row r="554" spans="27:27" x14ac:dyDescent="0.2">
      <c r="AA554" s="82"/>
    </row>
    <row r="555" spans="27:27" x14ac:dyDescent="0.2">
      <c r="AA555" s="82"/>
    </row>
    <row r="556" spans="27:27" x14ac:dyDescent="0.2">
      <c r="AA556" s="82"/>
    </row>
    <row r="557" spans="27:27" x14ac:dyDescent="0.2">
      <c r="AA557" s="82"/>
    </row>
    <row r="558" spans="27:27" x14ac:dyDescent="0.2">
      <c r="AA558" s="82"/>
    </row>
    <row r="559" spans="27:27" x14ac:dyDescent="0.2">
      <c r="AA559" s="82"/>
    </row>
    <row r="560" spans="27:27" x14ac:dyDescent="0.2">
      <c r="AA560" s="82"/>
    </row>
    <row r="561" spans="27:27" x14ac:dyDescent="0.2">
      <c r="AA561" s="82"/>
    </row>
    <row r="562" spans="27:27" x14ac:dyDescent="0.2">
      <c r="AA562" s="82"/>
    </row>
    <row r="563" spans="27:27" x14ac:dyDescent="0.2">
      <c r="AA563" s="82"/>
    </row>
    <row r="564" spans="27:27" x14ac:dyDescent="0.2">
      <c r="AA564" s="82"/>
    </row>
    <row r="565" spans="27:27" x14ac:dyDescent="0.2">
      <c r="AA565" s="82"/>
    </row>
    <row r="566" spans="27:27" x14ac:dyDescent="0.2">
      <c r="AA566" s="82"/>
    </row>
    <row r="567" spans="27:27" x14ac:dyDescent="0.2">
      <c r="AA567" s="82"/>
    </row>
    <row r="568" spans="27:27" x14ac:dyDescent="0.2">
      <c r="AA568" s="82"/>
    </row>
    <row r="569" spans="27:27" x14ac:dyDescent="0.2">
      <c r="AA569" s="82"/>
    </row>
    <row r="570" spans="27:27" x14ac:dyDescent="0.2">
      <c r="AA570" s="82"/>
    </row>
    <row r="571" spans="27:27" x14ac:dyDescent="0.2">
      <c r="AA571" s="82"/>
    </row>
    <row r="572" spans="27:27" x14ac:dyDescent="0.2">
      <c r="AA572" s="82"/>
    </row>
    <row r="573" spans="27:27" x14ac:dyDescent="0.2">
      <c r="AA573" s="82"/>
    </row>
    <row r="574" spans="27:27" x14ac:dyDescent="0.2">
      <c r="AA574" s="82"/>
    </row>
    <row r="575" spans="27:27" x14ac:dyDescent="0.2">
      <c r="AA575" s="82"/>
    </row>
    <row r="576" spans="27:27" x14ac:dyDescent="0.2">
      <c r="AA576" s="82"/>
    </row>
    <row r="577" spans="27:27" x14ac:dyDescent="0.2">
      <c r="AA577" s="82"/>
    </row>
    <row r="578" spans="27:27" x14ac:dyDescent="0.2">
      <c r="AA578" s="82"/>
    </row>
    <row r="579" spans="27:27" x14ac:dyDescent="0.2">
      <c r="AA579" s="82"/>
    </row>
    <row r="580" spans="27:27" x14ac:dyDescent="0.2">
      <c r="AA580" s="82"/>
    </row>
    <row r="581" spans="27:27" x14ac:dyDescent="0.2">
      <c r="AA581" s="82"/>
    </row>
    <row r="582" spans="27:27" x14ac:dyDescent="0.2">
      <c r="AA582" s="82"/>
    </row>
    <row r="583" spans="27:27" x14ac:dyDescent="0.2">
      <c r="AA583" s="82"/>
    </row>
    <row r="584" spans="27:27" x14ac:dyDescent="0.2">
      <c r="AA584" s="82"/>
    </row>
    <row r="585" spans="27:27" x14ac:dyDescent="0.2">
      <c r="AA585" s="82"/>
    </row>
    <row r="586" spans="27:27" x14ac:dyDescent="0.2">
      <c r="AA586" s="82"/>
    </row>
    <row r="587" spans="27:27" x14ac:dyDescent="0.2">
      <c r="AA587" s="82"/>
    </row>
    <row r="588" spans="27:27" x14ac:dyDescent="0.2">
      <c r="AA588" s="82"/>
    </row>
    <row r="589" spans="27:27" x14ac:dyDescent="0.2">
      <c r="AA589" s="82"/>
    </row>
    <row r="590" spans="27:27" x14ac:dyDescent="0.2">
      <c r="AA590" s="82"/>
    </row>
    <row r="591" spans="27:27" x14ac:dyDescent="0.2">
      <c r="AA591" s="82"/>
    </row>
    <row r="592" spans="27:27" x14ac:dyDescent="0.2">
      <c r="AA592" s="82"/>
    </row>
    <row r="593" spans="27:27" x14ac:dyDescent="0.2">
      <c r="AA593" s="82"/>
    </row>
    <row r="594" spans="27:27" x14ac:dyDescent="0.2">
      <c r="AA594" s="82"/>
    </row>
    <row r="595" spans="27:27" x14ac:dyDescent="0.2">
      <c r="AA595" s="82"/>
    </row>
    <row r="596" spans="27:27" x14ac:dyDescent="0.2">
      <c r="AA596" s="82"/>
    </row>
    <row r="597" spans="27:27" x14ac:dyDescent="0.2">
      <c r="AA597" s="82"/>
    </row>
    <row r="598" spans="27:27" x14ac:dyDescent="0.2">
      <c r="AA598" s="82"/>
    </row>
    <row r="599" spans="27:27" x14ac:dyDescent="0.2">
      <c r="AA599" s="82"/>
    </row>
    <row r="600" spans="27:27" x14ac:dyDescent="0.2">
      <c r="AA600" s="82"/>
    </row>
    <row r="601" spans="27:27" x14ac:dyDescent="0.2">
      <c r="AA601" s="82"/>
    </row>
    <row r="602" spans="27:27" x14ac:dyDescent="0.2">
      <c r="AA602" s="82"/>
    </row>
    <row r="603" spans="27:27" x14ac:dyDescent="0.2">
      <c r="AA603" s="82"/>
    </row>
    <row r="604" spans="27:27" x14ac:dyDescent="0.2">
      <c r="AA604" s="82"/>
    </row>
    <row r="605" spans="27:27" x14ac:dyDescent="0.2">
      <c r="AA605" s="82"/>
    </row>
    <row r="606" spans="27:27" x14ac:dyDescent="0.2">
      <c r="AA606" s="82"/>
    </row>
    <row r="607" spans="27:27" x14ac:dyDescent="0.2">
      <c r="AA607" s="82"/>
    </row>
    <row r="608" spans="27:27" x14ac:dyDescent="0.2">
      <c r="AA608" s="82"/>
    </row>
    <row r="609" spans="27:27" x14ac:dyDescent="0.2">
      <c r="AA609" s="82"/>
    </row>
    <row r="610" spans="27:27" x14ac:dyDescent="0.2">
      <c r="AA610" s="82"/>
    </row>
    <row r="611" spans="27:27" x14ac:dyDescent="0.2">
      <c r="AA611" s="82"/>
    </row>
    <row r="612" spans="27:27" x14ac:dyDescent="0.2">
      <c r="AA612" s="82"/>
    </row>
    <row r="613" spans="27:27" x14ac:dyDescent="0.2">
      <c r="AA613" s="82"/>
    </row>
    <row r="614" spans="27:27" x14ac:dyDescent="0.2">
      <c r="AA614" s="82"/>
    </row>
    <row r="615" spans="27:27" x14ac:dyDescent="0.2">
      <c r="AA615" s="82"/>
    </row>
    <row r="616" spans="27:27" x14ac:dyDescent="0.2">
      <c r="AA616" s="82"/>
    </row>
    <row r="617" spans="27:27" x14ac:dyDescent="0.2">
      <c r="AA617" s="82"/>
    </row>
    <row r="618" spans="27:27" x14ac:dyDescent="0.2">
      <c r="AA618" s="82"/>
    </row>
    <row r="619" spans="27:27" x14ac:dyDescent="0.2">
      <c r="AA619" s="82"/>
    </row>
    <row r="620" spans="27:27" x14ac:dyDescent="0.2">
      <c r="AA620" s="82"/>
    </row>
    <row r="621" spans="27:27" x14ac:dyDescent="0.2">
      <c r="AA621" s="82"/>
    </row>
    <row r="622" spans="27:27" x14ac:dyDescent="0.2">
      <c r="AA622" s="82"/>
    </row>
    <row r="623" spans="27:27" x14ac:dyDescent="0.2">
      <c r="AA623" s="82"/>
    </row>
    <row r="624" spans="27:27" x14ac:dyDescent="0.2">
      <c r="AA624" s="82"/>
    </row>
    <row r="625" spans="27:27" x14ac:dyDescent="0.2">
      <c r="AA625" s="82"/>
    </row>
    <row r="626" spans="27:27" x14ac:dyDescent="0.2">
      <c r="AA626" s="82"/>
    </row>
    <row r="627" spans="27:27" x14ac:dyDescent="0.2">
      <c r="AA627" s="82"/>
    </row>
    <row r="628" spans="27:27" x14ac:dyDescent="0.2">
      <c r="AA628" s="82"/>
    </row>
    <row r="629" spans="27:27" x14ac:dyDescent="0.2">
      <c r="AA629" s="82"/>
    </row>
    <row r="630" spans="27:27" x14ac:dyDescent="0.2">
      <c r="AA630" s="82"/>
    </row>
    <row r="631" spans="27:27" x14ac:dyDescent="0.2">
      <c r="AA631" s="82"/>
    </row>
    <row r="632" spans="27:27" x14ac:dyDescent="0.2">
      <c r="AA632" s="82"/>
    </row>
    <row r="633" spans="27:27" x14ac:dyDescent="0.2">
      <c r="AA633" s="82"/>
    </row>
    <row r="634" spans="27:27" x14ac:dyDescent="0.2">
      <c r="AA634" s="82"/>
    </row>
    <row r="635" spans="27:27" x14ac:dyDescent="0.2">
      <c r="AA635" s="82"/>
    </row>
    <row r="636" spans="27:27" x14ac:dyDescent="0.2">
      <c r="AA636" s="82"/>
    </row>
    <row r="637" spans="27:27" x14ac:dyDescent="0.2">
      <c r="AA637" s="82"/>
    </row>
    <row r="638" spans="27:27" x14ac:dyDescent="0.2">
      <c r="AA638" s="82"/>
    </row>
    <row r="639" spans="27:27" x14ac:dyDescent="0.2">
      <c r="AA639" s="82"/>
    </row>
    <row r="640" spans="27:27" x14ac:dyDescent="0.2">
      <c r="AA640" s="82"/>
    </row>
    <row r="641" spans="27:27" x14ac:dyDescent="0.2">
      <c r="AA641" s="82"/>
    </row>
    <row r="642" spans="27:27" x14ac:dyDescent="0.2">
      <c r="AA642" s="82"/>
    </row>
    <row r="643" spans="27:27" x14ac:dyDescent="0.2">
      <c r="AA643" s="82"/>
    </row>
    <row r="644" spans="27:27" x14ac:dyDescent="0.2">
      <c r="AA644" s="82"/>
    </row>
    <row r="645" spans="27:27" x14ac:dyDescent="0.2">
      <c r="AA645" s="82"/>
    </row>
    <row r="646" spans="27:27" x14ac:dyDescent="0.2">
      <c r="AA646" s="82"/>
    </row>
    <row r="647" spans="27:27" x14ac:dyDescent="0.2">
      <c r="AA647" s="82"/>
    </row>
    <row r="648" spans="27:27" x14ac:dyDescent="0.2">
      <c r="AA648" s="82"/>
    </row>
    <row r="649" spans="27:27" x14ac:dyDescent="0.2">
      <c r="AA649" s="82"/>
    </row>
    <row r="650" spans="27:27" x14ac:dyDescent="0.2">
      <c r="AA650" s="82"/>
    </row>
    <row r="651" spans="27:27" x14ac:dyDescent="0.2">
      <c r="AA651" s="82"/>
    </row>
    <row r="652" spans="27:27" x14ac:dyDescent="0.2">
      <c r="AA652" s="82"/>
    </row>
    <row r="653" spans="27:27" x14ac:dyDescent="0.2">
      <c r="AA653" s="82"/>
    </row>
    <row r="654" spans="27:27" x14ac:dyDescent="0.2">
      <c r="AA654" s="82"/>
    </row>
    <row r="655" spans="27:27" x14ac:dyDescent="0.2">
      <c r="AA655" s="82"/>
    </row>
    <row r="656" spans="27:27" x14ac:dyDescent="0.2">
      <c r="AA656" s="82"/>
    </row>
    <row r="657" spans="27:27" x14ac:dyDescent="0.2">
      <c r="AA657" s="82"/>
    </row>
    <row r="658" spans="27:27" x14ac:dyDescent="0.2">
      <c r="AA658" s="82"/>
    </row>
    <row r="659" spans="27:27" x14ac:dyDescent="0.2">
      <c r="AA659" s="82"/>
    </row>
    <row r="660" spans="27:27" x14ac:dyDescent="0.2">
      <c r="AA660" s="82"/>
    </row>
    <row r="661" spans="27:27" x14ac:dyDescent="0.2">
      <c r="AA661" s="82"/>
    </row>
    <row r="662" spans="27:27" x14ac:dyDescent="0.2">
      <c r="AA662" s="82"/>
    </row>
    <row r="663" spans="27:27" x14ac:dyDescent="0.2">
      <c r="AA663" s="82"/>
    </row>
    <row r="664" spans="27:27" x14ac:dyDescent="0.2">
      <c r="AA664" s="82"/>
    </row>
    <row r="665" spans="27:27" x14ac:dyDescent="0.2">
      <c r="AA665" s="82"/>
    </row>
    <row r="666" spans="27:27" x14ac:dyDescent="0.2">
      <c r="AA666" s="82"/>
    </row>
    <row r="667" spans="27:27" x14ac:dyDescent="0.2">
      <c r="AA667" s="82"/>
    </row>
    <row r="668" spans="27:27" x14ac:dyDescent="0.2">
      <c r="AA668" s="82"/>
    </row>
    <row r="669" spans="27:27" x14ac:dyDescent="0.2">
      <c r="AA669" s="82"/>
    </row>
    <row r="670" spans="27:27" x14ac:dyDescent="0.2">
      <c r="AA670" s="82"/>
    </row>
    <row r="671" spans="27:27" x14ac:dyDescent="0.2">
      <c r="AA671" s="82"/>
    </row>
    <row r="672" spans="27:27" x14ac:dyDescent="0.2">
      <c r="AA672" s="82"/>
    </row>
    <row r="673" spans="27:27" x14ac:dyDescent="0.2">
      <c r="AA673" s="82"/>
    </row>
    <row r="674" spans="27:27" x14ac:dyDescent="0.2">
      <c r="AA674" s="82"/>
    </row>
    <row r="675" spans="27:27" x14ac:dyDescent="0.2">
      <c r="AA675" s="82"/>
    </row>
    <row r="676" spans="27:27" x14ac:dyDescent="0.2">
      <c r="AA676" s="82"/>
    </row>
    <row r="677" spans="27:27" x14ac:dyDescent="0.2">
      <c r="AA677" s="82"/>
    </row>
    <row r="678" spans="27:27" x14ac:dyDescent="0.2">
      <c r="AA678" s="82"/>
    </row>
    <row r="679" spans="27:27" x14ac:dyDescent="0.2">
      <c r="AA679" s="82"/>
    </row>
    <row r="680" spans="27:27" x14ac:dyDescent="0.2">
      <c r="AA680" s="82"/>
    </row>
    <row r="681" spans="27:27" x14ac:dyDescent="0.2">
      <c r="AA681" s="82"/>
    </row>
    <row r="682" spans="27:27" x14ac:dyDescent="0.2">
      <c r="AA682" s="82"/>
    </row>
    <row r="683" spans="27:27" x14ac:dyDescent="0.2">
      <c r="AA683" s="82"/>
    </row>
    <row r="684" spans="27:27" x14ac:dyDescent="0.2">
      <c r="AA684" s="82"/>
    </row>
    <row r="685" spans="27:27" x14ac:dyDescent="0.2">
      <c r="AA685" s="82"/>
    </row>
    <row r="686" spans="27:27" x14ac:dyDescent="0.2">
      <c r="AA686" s="82"/>
    </row>
    <row r="687" spans="27:27" x14ac:dyDescent="0.2">
      <c r="AA687" s="82"/>
    </row>
    <row r="688" spans="27:27" x14ac:dyDescent="0.2">
      <c r="AA688" s="82"/>
    </row>
    <row r="689" spans="27:27" x14ac:dyDescent="0.2">
      <c r="AA689" s="82"/>
    </row>
    <row r="690" spans="27:27" x14ac:dyDescent="0.2">
      <c r="AA690" s="82"/>
    </row>
    <row r="691" spans="27:27" x14ac:dyDescent="0.2">
      <c r="AA691" s="82"/>
    </row>
    <row r="692" spans="27:27" x14ac:dyDescent="0.2">
      <c r="AA692" s="82"/>
    </row>
    <row r="693" spans="27:27" x14ac:dyDescent="0.2">
      <c r="AA693" s="82"/>
    </row>
    <row r="694" spans="27:27" x14ac:dyDescent="0.2">
      <c r="AA694" s="82"/>
    </row>
    <row r="695" spans="27:27" x14ac:dyDescent="0.2">
      <c r="AA695" s="82"/>
    </row>
    <row r="696" spans="27:27" x14ac:dyDescent="0.2">
      <c r="AA696" s="82"/>
    </row>
    <row r="697" spans="27:27" x14ac:dyDescent="0.2">
      <c r="AA697" s="82"/>
    </row>
    <row r="698" spans="27:27" x14ac:dyDescent="0.2">
      <c r="AA698" s="82"/>
    </row>
    <row r="699" spans="27:27" x14ac:dyDescent="0.2">
      <c r="AA699" s="82"/>
    </row>
    <row r="700" spans="27:27" x14ac:dyDescent="0.2">
      <c r="AA700" s="82"/>
    </row>
    <row r="701" spans="27:27" x14ac:dyDescent="0.2">
      <c r="AA701" s="82"/>
    </row>
    <row r="702" spans="27:27" x14ac:dyDescent="0.2">
      <c r="AA702" s="82"/>
    </row>
    <row r="703" spans="27:27" x14ac:dyDescent="0.2">
      <c r="AA703" s="82"/>
    </row>
    <row r="704" spans="27:27" x14ac:dyDescent="0.2">
      <c r="AA704" s="82"/>
    </row>
    <row r="705" spans="27:27" x14ac:dyDescent="0.2">
      <c r="AA705" s="82"/>
    </row>
    <row r="706" spans="27:27" x14ac:dyDescent="0.2">
      <c r="AA706" s="82"/>
    </row>
    <row r="707" spans="27:27" x14ac:dyDescent="0.2">
      <c r="AA707" s="82"/>
    </row>
    <row r="708" spans="27:27" x14ac:dyDescent="0.2">
      <c r="AA708" s="82"/>
    </row>
    <row r="709" spans="27:27" x14ac:dyDescent="0.2">
      <c r="AA709" s="82"/>
    </row>
    <row r="710" spans="27:27" x14ac:dyDescent="0.2">
      <c r="AA710" s="82"/>
    </row>
    <row r="711" spans="27:27" x14ac:dyDescent="0.2">
      <c r="AA711" s="82"/>
    </row>
    <row r="712" spans="27:27" x14ac:dyDescent="0.2">
      <c r="AA712" s="82"/>
    </row>
    <row r="713" spans="27:27" x14ac:dyDescent="0.2">
      <c r="AA713" s="82"/>
    </row>
    <row r="714" spans="27:27" x14ac:dyDescent="0.2">
      <c r="AA714" s="82"/>
    </row>
    <row r="715" spans="27:27" x14ac:dyDescent="0.2">
      <c r="AA715" s="82"/>
    </row>
    <row r="716" spans="27:27" x14ac:dyDescent="0.2">
      <c r="AA716" s="82"/>
    </row>
    <row r="717" spans="27:27" x14ac:dyDescent="0.2">
      <c r="AA717" s="82"/>
    </row>
    <row r="718" spans="27:27" x14ac:dyDescent="0.2">
      <c r="AA718" s="82"/>
    </row>
    <row r="719" spans="27:27" x14ac:dyDescent="0.2">
      <c r="AA719" s="82"/>
    </row>
    <row r="720" spans="27:27" x14ac:dyDescent="0.2">
      <c r="AA720" s="82"/>
    </row>
    <row r="721" spans="27:27" x14ac:dyDescent="0.2">
      <c r="AA721" s="82"/>
    </row>
    <row r="722" spans="27:27" x14ac:dyDescent="0.2">
      <c r="AA722" s="82"/>
    </row>
    <row r="723" spans="27:27" x14ac:dyDescent="0.2">
      <c r="AA723" s="82"/>
    </row>
    <row r="724" spans="27:27" x14ac:dyDescent="0.2">
      <c r="AA724" s="82"/>
    </row>
    <row r="725" spans="27:27" x14ac:dyDescent="0.2">
      <c r="AA725" s="82"/>
    </row>
    <row r="726" spans="27:27" x14ac:dyDescent="0.2">
      <c r="AA726" s="82"/>
    </row>
    <row r="727" spans="27:27" x14ac:dyDescent="0.2">
      <c r="AA727" s="82"/>
    </row>
    <row r="728" spans="27:27" x14ac:dyDescent="0.2">
      <c r="AA728" s="82"/>
    </row>
    <row r="729" spans="27:27" x14ac:dyDescent="0.2">
      <c r="AA729" s="82"/>
    </row>
    <row r="730" spans="27:27" x14ac:dyDescent="0.2">
      <c r="AA730" s="82"/>
    </row>
    <row r="731" spans="27:27" x14ac:dyDescent="0.2">
      <c r="AA731" s="82"/>
    </row>
    <row r="732" spans="27:27" x14ac:dyDescent="0.2">
      <c r="AA732" s="82"/>
    </row>
    <row r="733" spans="27:27" x14ac:dyDescent="0.2">
      <c r="AA733" s="82"/>
    </row>
    <row r="734" spans="27:27" x14ac:dyDescent="0.2">
      <c r="AA734" s="82"/>
    </row>
    <row r="735" spans="27:27" x14ac:dyDescent="0.2">
      <c r="AA735" s="82"/>
    </row>
    <row r="736" spans="27:27" x14ac:dyDescent="0.2">
      <c r="AA736" s="82"/>
    </row>
    <row r="737" spans="27:27" x14ac:dyDescent="0.2">
      <c r="AA737" s="82"/>
    </row>
    <row r="738" spans="27:27" x14ac:dyDescent="0.2">
      <c r="AA738" s="82"/>
    </row>
    <row r="739" spans="27:27" x14ac:dyDescent="0.2">
      <c r="AA739" s="82"/>
    </row>
    <row r="740" spans="27:27" x14ac:dyDescent="0.2">
      <c r="AA740" s="82"/>
    </row>
    <row r="741" spans="27:27" x14ac:dyDescent="0.2">
      <c r="AA741" s="82"/>
    </row>
    <row r="742" spans="27:27" x14ac:dyDescent="0.2">
      <c r="AA742" s="82"/>
    </row>
    <row r="743" spans="27:27" x14ac:dyDescent="0.2">
      <c r="AA743" s="82"/>
    </row>
    <row r="744" spans="27:27" x14ac:dyDescent="0.2">
      <c r="AA744" s="82"/>
    </row>
    <row r="745" spans="27:27" x14ac:dyDescent="0.2">
      <c r="AA745" s="82"/>
    </row>
    <row r="746" spans="27:27" x14ac:dyDescent="0.2">
      <c r="AA746" s="82"/>
    </row>
    <row r="747" spans="27:27" x14ac:dyDescent="0.2">
      <c r="AA747" s="82"/>
    </row>
    <row r="748" spans="27:27" x14ac:dyDescent="0.2">
      <c r="AA748" s="82"/>
    </row>
    <row r="749" spans="27:27" x14ac:dyDescent="0.2">
      <c r="AA749" s="82"/>
    </row>
    <row r="750" spans="27:27" x14ac:dyDescent="0.2">
      <c r="AA750" s="82"/>
    </row>
    <row r="751" spans="27:27" x14ac:dyDescent="0.2">
      <c r="AA751" s="82"/>
    </row>
    <row r="752" spans="27:27" x14ac:dyDescent="0.2">
      <c r="AA752" s="82"/>
    </row>
    <row r="753" spans="27:27" x14ac:dyDescent="0.2">
      <c r="AA753" s="82"/>
    </row>
    <row r="754" spans="27:27" x14ac:dyDescent="0.2">
      <c r="AA754" s="82"/>
    </row>
    <row r="755" spans="27:27" x14ac:dyDescent="0.2">
      <c r="AA755" s="82"/>
    </row>
    <row r="756" spans="27:27" x14ac:dyDescent="0.2">
      <c r="AA756" s="82"/>
    </row>
    <row r="757" spans="27:27" x14ac:dyDescent="0.2">
      <c r="AA757" s="82"/>
    </row>
    <row r="758" spans="27:27" x14ac:dyDescent="0.2">
      <c r="AA758" s="82"/>
    </row>
    <row r="759" spans="27:27" x14ac:dyDescent="0.2">
      <c r="AA759" s="82"/>
    </row>
    <row r="760" spans="27:27" x14ac:dyDescent="0.2">
      <c r="AA760" s="82"/>
    </row>
    <row r="761" spans="27:27" x14ac:dyDescent="0.2">
      <c r="AA761" s="82"/>
    </row>
    <row r="762" spans="27:27" x14ac:dyDescent="0.2">
      <c r="AA762" s="82"/>
    </row>
    <row r="763" spans="27:27" x14ac:dyDescent="0.2">
      <c r="AA763" s="82"/>
    </row>
    <row r="764" spans="27:27" x14ac:dyDescent="0.2">
      <c r="AA764" s="82"/>
    </row>
    <row r="765" spans="27:27" x14ac:dyDescent="0.2">
      <c r="AA765" s="82"/>
    </row>
    <row r="766" spans="27:27" x14ac:dyDescent="0.2">
      <c r="AA766" s="82"/>
    </row>
    <row r="767" spans="27:27" x14ac:dyDescent="0.2">
      <c r="AA767" s="82"/>
    </row>
    <row r="768" spans="27:27" x14ac:dyDescent="0.2">
      <c r="AA768" s="82"/>
    </row>
    <row r="769" spans="27:27" x14ac:dyDescent="0.2">
      <c r="AA769" s="82"/>
    </row>
    <row r="770" spans="27:27" x14ac:dyDescent="0.2">
      <c r="AA770" s="82"/>
    </row>
    <row r="771" spans="27:27" x14ac:dyDescent="0.2">
      <c r="AA771" s="82"/>
    </row>
    <row r="772" spans="27:27" x14ac:dyDescent="0.2">
      <c r="AA772" s="82"/>
    </row>
    <row r="773" spans="27:27" x14ac:dyDescent="0.2">
      <c r="AA773" s="82"/>
    </row>
    <row r="774" spans="27:27" x14ac:dyDescent="0.2">
      <c r="AA774" s="82"/>
    </row>
    <row r="775" spans="27:27" x14ac:dyDescent="0.2">
      <c r="AA775" s="82"/>
    </row>
    <row r="776" spans="27:27" x14ac:dyDescent="0.2">
      <c r="AA776" s="82"/>
    </row>
    <row r="777" spans="27:27" x14ac:dyDescent="0.2">
      <c r="AA777" s="82"/>
    </row>
    <row r="778" spans="27:27" x14ac:dyDescent="0.2">
      <c r="AA778" s="82"/>
    </row>
    <row r="779" spans="27:27" x14ac:dyDescent="0.2">
      <c r="AA779" s="82"/>
    </row>
    <row r="780" spans="27:27" x14ac:dyDescent="0.2">
      <c r="AA780" s="82"/>
    </row>
    <row r="781" spans="27:27" x14ac:dyDescent="0.2">
      <c r="AA781" s="82"/>
    </row>
    <row r="782" spans="27:27" x14ac:dyDescent="0.2">
      <c r="AA782" s="82"/>
    </row>
    <row r="783" spans="27:27" x14ac:dyDescent="0.2">
      <c r="AA783" s="82"/>
    </row>
    <row r="784" spans="27:27" x14ac:dyDescent="0.2">
      <c r="AA784" s="82"/>
    </row>
    <row r="785" spans="27:27" x14ac:dyDescent="0.2">
      <c r="AA785" s="82"/>
    </row>
    <row r="786" spans="27:27" x14ac:dyDescent="0.2">
      <c r="AA786" s="82"/>
    </row>
    <row r="787" spans="27:27" x14ac:dyDescent="0.2">
      <c r="AA787" s="82"/>
    </row>
    <row r="788" spans="27:27" x14ac:dyDescent="0.2">
      <c r="AA788" s="82"/>
    </row>
    <row r="789" spans="27:27" x14ac:dyDescent="0.2">
      <c r="AA789" s="82"/>
    </row>
    <row r="790" spans="27:27" x14ac:dyDescent="0.2">
      <c r="AA790" s="82"/>
    </row>
    <row r="791" spans="27:27" x14ac:dyDescent="0.2">
      <c r="AA791" s="82"/>
    </row>
    <row r="792" spans="27:27" x14ac:dyDescent="0.2">
      <c r="AA792" s="82"/>
    </row>
    <row r="793" spans="27:27" x14ac:dyDescent="0.2">
      <c r="AA793" s="82"/>
    </row>
    <row r="794" spans="27:27" x14ac:dyDescent="0.2">
      <c r="AA794" s="82"/>
    </row>
    <row r="795" spans="27:27" x14ac:dyDescent="0.2">
      <c r="AA795" s="82"/>
    </row>
    <row r="796" spans="27:27" x14ac:dyDescent="0.2">
      <c r="AA796" s="82"/>
    </row>
    <row r="797" spans="27:27" x14ac:dyDescent="0.2">
      <c r="AA797" s="82"/>
    </row>
    <row r="798" spans="27:27" x14ac:dyDescent="0.2">
      <c r="AA798" s="82"/>
    </row>
    <row r="799" spans="27:27" x14ac:dyDescent="0.2">
      <c r="AA799" s="82"/>
    </row>
    <row r="800" spans="27:27" x14ac:dyDescent="0.2">
      <c r="AA800" s="82"/>
    </row>
    <row r="801" spans="27:27" x14ac:dyDescent="0.2">
      <c r="AA801" s="82"/>
    </row>
    <row r="802" spans="27:27" x14ac:dyDescent="0.2">
      <c r="AA802" s="82"/>
    </row>
    <row r="803" spans="27:27" x14ac:dyDescent="0.2">
      <c r="AA803" s="82"/>
    </row>
    <row r="804" spans="27:27" x14ac:dyDescent="0.2">
      <c r="AA804" s="82"/>
    </row>
    <row r="805" spans="27:27" x14ac:dyDescent="0.2">
      <c r="AA805" s="82"/>
    </row>
    <row r="806" spans="27:27" x14ac:dyDescent="0.2">
      <c r="AA806" s="82"/>
    </row>
    <row r="807" spans="27:27" x14ac:dyDescent="0.2">
      <c r="AA807" s="82"/>
    </row>
    <row r="808" spans="27:27" x14ac:dyDescent="0.2">
      <c r="AA808" s="82"/>
    </row>
    <row r="809" spans="27:27" x14ac:dyDescent="0.2">
      <c r="AA809" s="82"/>
    </row>
    <row r="810" spans="27:27" x14ac:dyDescent="0.2">
      <c r="AA810" s="82"/>
    </row>
    <row r="811" spans="27:27" x14ac:dyDescent="0.2">
      <c r="AA811" s="82"/>
    </row>
    <row r="812" spans="27:27" x14ac:dyDescent="0.2">
      <c r="AA812" s="82"/>
    </row>
    <row r="813" spans="27:27" x14ac:dyDescent="0.2">
      <c r="AA813" s="82"/>
    </row>
    <row r="814" spans="27:27" x14ac:dyDescent="0.2">
      <c r="AA814" s="82"/>
    </row>
    <row r="815" spans="27:27" x14ac:dyDescent="0.2">
      <c r="AA815" s="82"/>
    </row>
    <row r="816" spans="27:27" x14ac:dyDescent="0.2">
      <c r="AA816" s="82"/>
    </row>
    <row r="817" spans="27:27" x14ac:dyDescent="0.2">
      <c r="AA817" s="82"/>
    </row>
    <row r="818" spans="27:27" x14ac:dyDescent="0.2">
      <c r="AA818" s="82"/>
    </row>
    <row r="819" spans="27:27" x14ac:dyDescent="0.2">
      <c r="AA819" s="82"/>
    </row>
    <row r="820" spans="27:27" x14ac:dyDescent="0.2">
      <c r="AA820" s="82"/>
    </row>
    <row r="821" spans="27:27" x14ac:dyDescent="0.2">
      <c r="AA821" s="82"/>
    </row>
    <row r="822" spans="27:27" x14ac:dyDescent="0.2">
      <c r="AA822" s="82"/>
    </row>
    <row r="823" spans="27:27" x14ac:dyDescent="0.2">
      <c r="AA823" s="82"/>
    </row>
    <row r="824" spans="27:27" x14ac:dyDescent="0.2">
      <c r="AA824" s="82"/>
    </row>
    <row r="825" spans="27:27" x14ac:dyDescent="0.2">
      <c r="AA825" s="82"/>
    </row>
    <row r="826" spans="27:27" x14ac:dyDescent="0.2">
      <c r="AA826" s="99"/>
    </row>
    <row r="827" spans="27:27" x14ac:dyDescent="0.2">
      <c r="AA827" s="99"/>
    </row>
    <row r="828" spans="27:27" x14ac:dyDescent="0.2">
      <c r="AA828" s="99"/>
    </row>
    <row r="829" spans="27:27" x14ac:dyDescent="0.2">
      <c r="AA829" s="99"/>
    </row>
    <row r="830" spans="27:27" x14ac:dyDescent="0.2">
      <c r="AA830" s="99"/>
    </row>
    <row r="831" spans="27:27" x14ac:dyDescent="0.2">
      <c r="AA831" s="99"/>
    </row>
    <row r="832" spans="27:27" x14ac:dyDescent="0.2">
      <c r="AA832" s="99"/>
    </row>
    <row r="833" spans="27:27" x14ac:dyDescent="0.2">
      <c r="AA833" s="99"/>
    </row>
    <row r="834" spans="27:27" x14ac:dyDescent="0.2">
      <c r="AA834" s="99"/>
    </row>
    <row r="835" spans="27:27" x14ac:dyDescent="0.2">
      <c r="AA835" s="99"/>
    </row>
    <row r="836" spans="27:27" x14ac:dyDescent="0.2">
      <c r="AA836" s="99"/>
    </row>
    <row r="837" spans="27:27" x14ac:dyDescent="0.2">
      <c r="AA837" s="99"/>
    </row>
    <row r="838" spans="27:27" x14ac:dyDescent="0.2">
      <c r="AA838" s="99"/>
    </row>
    <row r="839" spans="27:27" x14ac:dyDescent="0.2">
      <c r="AA839" s="99"/>
    </row>
    <row r="840" spans="27:27" x14ac:dyDescent="0.2">
      <c r="AA840" s="99"/>
    </row>
    <row r="841" spans="27:27" x14ac:dyDescent="0.2">
      <c r="AA841" s="99"/>
    </row>
    <row r="842" spans="27:27" x14ac:dyDescent="0.2">
      <c r="AA842" s="99"/>
    </row>
    <row r="843" spans="27:27" x14ac:dyDescent="0.2">
      <c r="AA843" s="99"/>
    </row>
    <row r="844" spans="27:27" x14ac:dyDescent="0.2">
      <c r="AA844" s="99"/>
    </row>
    <row r="845" spans="27:27" x14ac:dyDescent="0.2">
      <c r="AA845" s="99"/>
    </row>
    <row r="846" spans="27:27" x14ac:dyDescent="0.2">
      <c r="AA846" s="99"/>
    </row>
    <row r="847" spans="27:27" x14ac:dyDescent="0.2">
      <c r="AA847" s="99"/>
    </row>
    <row r="848" spans="27:27" x14ac:dyDescent="0.2">
      <c r="AA848" s="99"/>
    </row>
    <row r="849" spans="27:27" x14ac:dyDescent="0.2">
      <c r="AA849" s="99"/>
    </row>
    <row r="850" spans="27:27" x14ac:dyDescent="0.2">
      <c r="AA850" s="99"/>
    </row>
    <row r="851" spans="27:27" x14ac:dyDescent="0.2">
      <c r="AA851" s="99"/>
    </row>
    <row r="852" spans="27:27" x14ac:dyDescent="0.2">
      <c r="AA852" s="99"/>
    </row>
    <row r="853" spans="27:27" x14ac:dyDescent="0.2">
      <c r="AA853" s="99"/>
    </row>
    <row r="854" spans="27:27" x14ac:dyDescent="0.2">
      <c r="AA854" s="99"/>
    </row>
    <row r="855" spans="27:27" x14ac:dyDescent="0.2">
      <c r="AA855" s="99"/>
    </row>
    <row r="856" spans="27:27" x14ac:dyDescent="0.2">
      <c r="AA856" s="99"/>
    </row>
    <row r="857" spans="27:27" x14ac:dyDescent="0.2">
      <c r="AA857" s="99"/>
    </row>
    <row r="858" spans="27:27" x14ac:dyDescent="0.2">
      <c r="AA858" s="99"/>
    </row>
    <row r="859" spans="27:27" x14ac:dyDescent="0.2">
      <c r="AA859" s="99"/>
    </row>
    <row r="860" spans="27:27" x14ac:dyDescent="0.2">
      <c r="AA860" s="99"/>
    </row>
    <row r="861" spans="27:27" x14ac:dyDescent="0.2">
      <c r="AA861" s="99"/>
    </row>
    <row r="862" spans="27:27" x14ac:dyDescent="0.2">
      <c r="AA862" s="99"/>
    </row>
    <row r="863" spans="27:27" x14ac:dyDescent="0.2">
      <c r="AA863" s="99"/>
    </row>
    <row r="864" spans="27:27" x14ac:dyDescent="0.2">
      <c r="AA864" s="99"/>
    </row>
    <row r="865" spans="27:27" x14ac:dyDescent="0.2">
      <c r="AA865" s="99"/>
    </row>
    <row r="866" spans="27:27" x14ac:dyDescent="0.2">
      <c r="AA866" s="99"/>
    </row>
    <row r="867" spans="27:27" x14ac:dyDescent="0.2">
      <c r="AA867" s="99"/>
    </row>
    <row r="868" spans="27:27" x14ac:dyDescent="0.2">
      <c r="AA868" s="99"/>
    </row>
    <row r="869" spans="27:27" x14ac:dyDescent="0.2">
      <c r="AA869" s="99"/>
    </row>
    <row r="870" spans="27:27" x14ac:dyDescent="0.2">
      <c r="AA870" s="99"/>
    </row>
    <row r="871" spans="27:27" x14ac:dyDescent="0.2">
      <c r="AA871" s="99"/>
    </row>
    <row r="872" spans="27:27" x14ac:dyDescent="0.2">
      <c r="AA872" s="99"/>
    </row>
    <row r="873" spans="27:27" x14ac:dyDescent="0.2">
      <c r="AA873" s="99"/>
    </row>
    <row r="874" spans="27:27" x14ac:dyDescent="0.2">
      <c r="AA874" s="99"/>
    </row>
    <row r="875" spans="27:27" x14ac:dyDescent="0.2">
      <c r="AA875" s="99"/>
    </row>
    <row r="876" spans="27:27" x14ac:dyDescent="0.2">
      <c r="AA876" s="99"/>
    </row>
    <row r="877" spans="27:27" x14ac:dyDescent="0.2">
      <c r="AA877" s="99"/>
    </row>
    <row r="878" spans="27:27" x14ac:dyDescent="0.2">
      <c r="AA878" s="99"/>
    </row>
    <row r="879" spans="27:27" x14ac:dyDescent="0.2">
      <c r="AA879" s="99"/>
    </row>
    <row r="880" spans="27:27" x14ac:dyDescent="0.2">
      <c r="AA880" s="99"/>
    </row>
    <row r="881" spans="27:27" x14ac:dyDescent="0.2">
      <c r="AA881" s="99"/>
    </row>
    <row r="882" spans="27:27" x14ac:dyDescent="0.2">
      <c r="AA882" s="99"/>
    </row>
    <row r="883" spans="27:27" x14ac:dyDescent="0.2">
      <c r="AA883" s="99"/>
    </row>
    <row r="884" spans="27:27" x14ac:dyDescent="0.2">
      <c r="AA884" s="99"/>
    </row>
    <row r="885" spans="27:27" x14ac:dyDescent="0.2">
      <c r="AA885" s="99"/>
    </row>
    <row r="886" spans="27:27" x14ac:dyDescent="0.2">
      <c r="AA886" s="99"/>
    </row>
    <row r="887" spans="27:27" x14ac:dyDescent="0.2">
      <c r="AA887" s="99"/>
    </row>
    <row r="888" spans="27:27" x14ac:dyDescent="0.2">
      <c r="AA888" s="99"/>
    </row>
  </sheetData>
  <mergeCells count="6">
    <mergeCell ref="D8:F8"/>
    <mergeCell ref="AC2:AU2"/>
    <mergeCell ref="V6:X6"/>
    <mergeCell ref="F1:X1"/>
    <mergeCell ref="F3:X3"/>
    <mergeCell ref="F2:X2"/>
  </mergeCells>
  <phoneticPr fontId="14" type="noConversion"/>
  <printOptions horizontalCentered="1"/>
  <pageMargins left="0.7" right="0.7" top="0.75" bottom="0.75" header="0.3" footer="0.3"/>
  <pageSetup fitToHeight="0" orientation="landscape" r:id="rId1"/>
  <headerFooter>
    <oddHeader>&amp;R&amp;9KAW_R_PSCDR1_NUM014_Attachment 1
Case No. 2015-00418
Page &amp;P of &amp;N</oddHeader>
  </headerFooter>
  <rowBreaks count="6" manualBreakCount="6">
    <brk id="41" min="3" max="23" man="1"/>
    <brk id="75" min="3" max="23" man="1"/>
    <brk id="115" min="3" max="23" man="1"/>
    <brk id="174" min="3" max="23" man="1"/>
    <brk id="244" min="3" max="23" man="1"/>
    <brk id="276" min="3" max="23" man="1"/>
  </rowBreaks>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63"/>
  <sheetViews>
    <sheetView tabSelected="1" view="pageLayout" topLeftCell="A52" zoomScaleNormal="100" workbookViewId="0">
      <selection activeCell="M516" sqref="M516"/>
    </sheetView>
  </sheetViews>
  <sheetFormatPr defaultRowHeight="12.75" x14ac:dyDescent="0.2"/>
  <cols>
    <col min="3" max="4" width="3.88671875" customWidth="1"/>
    <col min="6" max="6" width="22.77734375" customWidth="1"/>
    <col min="7" max="7" width="17.77734375" customWidth="1"/>
    <col min="8" max="8" width="5.88671875" customWidth="1"/>
    <col min="9" max="9" width="10.21875" customWidth="1"/>
    <col min="10" max="10" width="3.88671875" customWidth="1"/>
    <col min="11" max="11" width="19.21875" customWidth="1"/>
    <col min="12" max="12" width="6" customWidth="1"/>
  </cols>
  <sheetData>
    <row r="4" spans="3:13" ht="15" x14ac:dyDescent="0.2">
      <c r="C4" s="875" t="s">
        <v>195</v>
      </c>
      <c r="D4" s="875"/>
      <c r="E4" s="875"/>
      <c r="F4" s="875"/>
      <c r="G4" s="875"/>
      <c r="H4" s="875"/>
      <c r="I4" s="875"/>
      <c r="J4" s="875"/>
      <c r="K4" s="875"/>
    </row>
    <row r="5" spans="3:13" ht="15" x14ac:dyDescent="0.2">
      <c r="C5" s="269"/>
      <c r="D5" s="269"/>
      <c r="E5" s="269"/>
      <c r="F5" s="269"/>
      <c r="G5" s="269"/>
      <c r="H5" s="269"/>
      <c r="I5" s="218"/>
      <c r="J5" s="269"/>
      <c r="K5" s="269"/>
      <c r="M5" s="125"/>
    </row>
    <row r="6" spans="3:13" ht="15" x14ac:dyDescent="0.2">
      <c r="C6" s="875" t="s">
        <v>32</v>
      </c>
      <c r="D6" s="875"/>
      <c r="E6" s="875"/>
      <c r="F6" s="875"/>
      <c r="G6" s="875"/>
      <c r="H6" s="875"/>
      <c r="I6" s="875"/>
      <c r="J6" s="875"/>
      <c r="K6" s="875"/>
    </row>
    <row r="7" spans="3:13" ht="15" x14ac:dyDescent="0.2">
      <c r="C7" s="269"/>
      <c r="D7" s="269"/>
      <c r="E7" s="269"/>
      <c r="F7" s="269"/>
      <c r="G7" s="269"/>
      <c r="H7" s="269"/>
      <c r="I7" s="218"/>
      <c r="J7" s="269"/>
      <c r="K7" s="269"/>
      <c r="M7" s="374"/>
    </row>
    <row r="8" spans="3:13" ht="15" x14ac:dyDescent="0.2">
      <c r="C8" s="269"/>
      <c r="D8" s="269"/>
      <c r="E8" s="125"/>
      <c r="F8" s="269"/>
      <c r="G8" s="269"/>
      <c r="H8" s="269"/>
      <c r="I8" s="218"/>
      <c r="J8" s="269"/>
      <c r="K8" s="269"/>
    </row>
    <row r="9" spans="3:13" ht="15" x14ac:dyDescent="0.2">
      <c r="C9" s="874" t="s">
        <v>33</v>
      </c>
      <c r="D9" s="874"/>
      <c r="E9" s="874"/>
      <c r="F9" s="268"/>
      <c r="G9" s="270" t="s">
        <v>34</v>
      </c>
      <c r="H9" s="268"/>
      <c r="I9" s="271" t="s">
        <v>308</v>
      </c>
      <c r="J9" s="268"/>
      <c r="K9" s="270" t="s">
        <v>35</v>
      </c>
      <c r="M9" s="125"/>
    </row>
    <row r="10" spans="3:13" ht="15" x14ac:dyDescent="0.2">
      <c r="C10" s="272"/>
      <c r="D10" s="272"/>
      <c r="E10" s="272"/>
      <c r="F10" s="268"/>
      <c r="G10" s="272"/>
      <c r="H10" s="268"/>
      <c r="I10" s="273"/>
      <c r="J10" s="268"/>
      <c r="K10" s="272"/>
    </row>
    <row r="11" spans="3:13" ht="15" x14ac:dyDescent="0.2">
      <c r="C11" s="274" t="s">
        <v>36</v>
      </c>
      <c r="D11" s="269"/>
      <c r="E11" s="269"/>
      <c r="F11" s="269"/>
      <c r="G11" s="269"/>
      <c r="H11" s="269"/>
      <c r="I11" s="218"/>
      <c r="J11" s="269"/>
      <c r="K11" s="269"/>
    </row>
    <row r="12" spans="3:13" ht="15" x14ac:dyDescent="0.2">
      <c r="C12" s="269"/>
      <c r="D12" s="269" t="s">
        <v>37</v>
      </c>
      <c r="E12" s="269"/>
      <c r="F12" s="269"/>
      <c r="G12" s="269"/>
      <c r="H12" s="269"/>
      <c r="I12" s="218"/>
      <c r="J12" s="269"/>
      <c r="K12" s="269"/>
    </row>
    <row r="13" spans="3:13" ht="15" x14ac:dyDescent="0.2">
      <c r="C13" s="269"/>
      <c r="D13" s="269"/>
      <c r="E13" s="269" t="s">
        <v>38</v>
      </c>
      <c r="F13" s="269"/>
      <c r="G13" s="269" t="s">
        <v>39</v>
      </c>
      <c r="H13" s="269"/>
      <c r="I13" s="218">
        <v>1250</v>
      </c>
      <c r="J13" s="269"/>
      <c r="K13" s="269" t="s">
        <v>222</v>
      </c>
    </row>
    <row r="14" spans="3:13" ht="15" x14ac:dyDescent="0.2">
      <c r="C14" s="269"/>
      <c r="D14" s="269"/>
      <c r="E14" s="269" t="s">
        <v>40</v>
      </c>
      <c r="F14" s="269"/>
      <c r="G14" s="269" t="s">
        <v>39</v>
      </c>
      <c r="H14" s="269"/>
      <c r="I14" s="218">
        <v>1250</v>
      </c>
      <c r="J14" s="269"/>
      <c r="K14" s="269" t="s">
        <v>222</v>
      </c>
    </row>
    <row r="15" spans="3:13" ht="15" x14ac:dyDescent="0.2">
      <c r="C15" s="269"/>
      <c r="D15" s="269"/>
      <c r="E15" s="269" t="s">
        <v>41</v>
      </c>
      <c r="F15" s="269"/>
      <c r="G15" s="269" t="s">
        <v>39</v>
      </c>
      <c r="H15" s="269"/>
      <c r="I15" s="218">
        <v>1250</v>
      </c>
      <c r="J15" s="269"/>
      <c r="K15" s="269" t="s">
        <v>222</v>
      </c>
    </row>
    <row r="16" spans="3:13" ht="15" x14ac:dyDescent="0.2">
      <c r="C16" s="269"/>
      <c r="D16" s="269"/>
      <c r="E16" s="269" t="s">
        <v>42</v>
      </c>
      <c r="F16" s="269"/>
      <c r="G16" s="269" t="s">
        <v>39</v>
      </c>
      <c r="H16" s="269"/>
      <c r="I16" s="218">
        <v>1250</v>
      </c>
      <c r="J16" s="269"/>
      <c r="K16" s="269" t="s">
        <v>222</v>
      </c>
    </row>
    <row r="17" spans="3:11" ht="15" x14ac:dyDescent="0.2">
      <c r="C17" s="269"/>
      <c r="D17" s="269"/>
      <c r="E17" s="269" t="s">
        <v>43</v>
      </c>
      <c r="F17" s="269"/>
      <c r="G17" s="269" t="s">
        <v>39</v>
      </c>
      <c r="H17" s="388"/>
      <c r="I17" s="218">
        <v>1250</v>
      </c>
      <c r="J17" s="269"/>
      <c r="K17" s="269" t="s">
        <v>222</v>
      </c>
    </row>
    <row r="18" spans="3:11" ht="15" x14ac:dyDescent="0.2">
      <c r="C18" s="269"/>
      <c r="D18" s="269"/>
      <c r="E18" s="269" t="s">
        <v>44</v>
      </c>
      <c r="F18" s="269"/>
      <c r="G18" s="269" t="s">
        <v>39</v>
      </c>
      <c r="H18" s="388"/>
      <c r="I18" s="218">
        <v>1250</v>
      </c>
      <c r="J18" s="269"/>
      <c r="K18" s="269" t="s">
        <v>222</v>
      </c>
    </row>
    <row r="19" spans="3:11" ht="15" x14ac:dyDescent="0.2">
      <c r="C19" s="269"/>
      <c r="D19" s="269" t="s">
        <v>45</v>
      </c>
      <c r="E19" s="269"/>
      <c r="F19" s="269"/>
      <c r="G19" s="269"/>
      <c r="H19" s="269"/>
      <c r="I19" s="218"/>
      <c r="J19" s="269"/>
      <c r="K19" s="269"/>
    </row>
    <row r="20" spans="3:11" ht="15" x14ac:dyDescent="0.2">
      <c r="C20" s="269"/>
      <c r="D20" s="269"/>
      <c r="E20" s="269" t="s">
        <v>46</v>
      </c>
      <c r="F20" s="269"/>
      <c r="G20" s="269" t="s">
        <v>45</v>
      </c>
      <c r="H20" s="269"/>
      <c r="I20" s="218">
        <v>1000</v>
      </c>
      <c r="J20" s="269"/>
      <c r="K20" s="269" t="s">
        <v>222</v>
      </c>
    </row>
    <row r="21" spans="3:11" ht="15" x14ac:dyDescent="0.2">
      <c r="C21" s="269"/>
      <c r="D21" s="269"/>
      <c r="E21" s="269" t="s">
        <v>47</v>
      </c>
      <c r="F21" s="269"/>
      <c r="G21" s="269" t="s">
        <v>45</v>
      </c>
      <c r="H21" s="269"/>
      <c r="I21" s="218">
        <v>1000</v>
      </c>
      <c r="J21" s="269"/>
      <c r="K21" s="269" t="s">
        <v>222</v>
      </c>
    </row>
    <row r="22" spans="3:11" ht="15" x14ac:dyDescent="0.2">
      <c r="C22" s="269"/>
      <c r="D22" s="269" t="s">
        <v>48</v>
      </c>
      <c r="E22" s="269"/>
      <c r="F22" s="269"/>
      <c r="G22" s="269" t="s">
        <v>49</v>
      </c>
      <c r="H22" s="269"/>
      <c r="I22" s="275"/>
      <c r="J22" s="269"/>
      <c r="K22" s="269" t="s">
        <v>222</v>
      </c>
    </row>
    <row r="23" spans="3:11" ht="15" x14ac:dyDescent="0.2">
      <c r="C23" s="269"/>
      <c r="D23" s="269" t="s">
        <v>48</v>
      </c>
      <c r="E23" s="269"/>
      <c r="F23" s="269"/>
      <c r="G23" s="269" t="s">
        <v>50</v>
      </c>
      <c r="H23" s="269"/>
      <c r="I23" s="275"/>
      <c r="J23" s="269"/>
      <c r="K23" s="269" t="s">
        <v>222</v>
      </c>
    </row>
    <row r="24" spans="3:11" ht="15" x14ac:dyDescent="0.2">
      <c r="C24" s="269"/>
      <c r="D24" s="269" t="s">
        <v>51</v>
      </c>
      <c r="E24" s="269"/>
      <c r="F24" s="269"/>
      <c r="G24" s="269"/>
      <c r="H24" s="269"/>
      <c r="I24" s="275"/>
      <c r="J24" s="269"/>
      <c r="K24" s="269" t="s">
        <v>222</v>
      </c>
    </row>
    <row r="25" spans="3:11" ht="15" x14ac:dyDescent="0.2">
      <c r="C25" s="269"/>
      <c r="D25" s="269" t="s">
        <v>52</v>
      </c>
      <c r="E25" s="269"/>
      <c r="F25" s="269"/>
      <c r="G25" s="269"/>
      <c r="H25" s="269"/>
      <c r="I25" s="276"/>
      <c r="J25" s="269"/>
      <c r="K25" s="269" t="s">
        <v>222</v>
      </c>
    </row>
    <row r="26" spans="3:11" ht="24.75" customHeight="1" x14ac:dyDescent="0.2">
      <c r="C26" s="274" t="s">
        <v>53</v>
      </c>
      <c r="D26" s="269"/>
      <c r="E26" s="269"/>
      <c r="F26" s="269"/>
      <c r="G26" s="269"/>
      <c r="H26" s="269"/>
      <c r="I26" s="218"/>
      <c r="J26" s="269"/>
      <c r="K26" s="269"/>
    </row>
    <row r="27" spans="3:11" ht="15" x14ac:dyDescent="0.2">
      <c r="C27" s="269"/>
      <c r="D27" s="269" t="s">
        <v>54</v>
      </c>
      <c r="E27" s="269"/>
      <c r="F27" s="269"/>
      <c r="G27" s="269"/>
      <c r="H27" s="269"/>
      <c r="I27" s="218"/>
      <c r="J27" s="269"/>
      <c r="K27" s="269"/>
    </row>
    <row r="28" spans="3:11" ht="15" x14ac:dyDescent="0.2">
      <c r="C28" s="269"/>
      <c r="D28" s="269"/>
      <c r="E28" s="269" t="s">
        <v>55</v>
      </c>
      <c r="F28" s="269"/>
      <c r="G28" s="269" t="s">
        <v>56</v>
      </c>
      <c r="H28" s="269"/>
      <c r="I28" s="218">
        <v>100</v>
      </c>
      <c r="J28" s="269"/>
      <c r="K28" s="269" t="s">
        <v>222</v>
      </c>
    </row>
    <row r="29" spans="3:11" ht="15" x14ac:dyDescent="0.2">
      <c r="C29" s="269"/>
      <c r="D29" s="269"/>
      <c r="E29" s="269" t="s">
        <v>57</v>
      </c>
      <c r="F29" s="269"/>
      <c r="G29" s="269" t="s">
        <v>56</v>
      </c>
      <c r="H29" s="269"/>
      <c r="I29" s="218">
        <v>100</v>
      </c>
      <c r="J29" s="269"/>
      <c r="K29" s="269" t="s">
        <v>222</v>
      </c>
    </row>
    <row r="30" spans="3:11" ht="15" x14ac:dyDescent="0.2">
      <c r="C30" s="269"/>
      <c r="D30" s="269"/>
      <c r="E30" s="269" t="s">
        <v>58</v>
      </c>
      <c r="F30" s="269"/>
      <c r="G30" s="269" t="s">
        <v>56</v>
      </c>
      <c r="H30" s="269"/>
      <c r="I30" s="218">
        <v>400</v>
      </c>
      <c r="J30" s="269"/>
      <c r="K30" s="269" t="s">
        <v>222</v>
      </c>
    </row>
    <row r="31" spans="3:11" ht="15" x14ac:dyDescent="0.2">
      <c r="C31" s="269"/>
      <c r="D31" s="269" t="s">
        <v>59</v>
      </c>
      <c r="E31" s="269"/>
      <c r="F31" s="269"/>
      <c r="G31" s="269"/>
      <c r="H31" s="269"/>
      <c r="I31" s="218"/>
      <c r="J31" s="269"/>
      <c r="K31" s="269"/>
    </row>
    <row r="32" spans="3:11" ht="15" x14ac:dyDescent="0.2">
      <c r="C32" s="269"/>
      <c r="D32" s="269"/>
      <c r="E32" s="269" t="s">
        <v>60</v>
      </c>
      <c r="F32" s="269"/>
      <c r="G32" s="269" t="s">
        <v>56</v>
      </c>
      <c r="H32" s="269"/>
      <c r="I32" s="218">
        <v>60</v>
      </c>
      <c r="J32" s="269"/>
      <c r="K32" s="269" t="s">
        <v>222</v>
      </c>
    </row>
    <row r="33" spans="3:11" ht="15" x14ac:dyDescent="0.2">
      <c r="C33" s="269"/>
      <c r="D33" s="269"/>
      <c r="E33" s="269" t="s">
        <v>61</v>
      </c>
      <c r="F33" s="269"/>
      <c r="G33" s="269" t="s">
        <v>56</v>
      </c>
      <c r="H33" s="269"/>
      <c r="I33" s="387">
        <v>40</v>
      </c>
      <c r="J33" s="269"/>
      <c r="K33" s="269" t="s">
        <v>222</v>
      </c>
    </row>
    <row r="34" spans="3:11" ht="15" x14ac:dyDescent="0.2">
      <c r="C34" s="269"/>
      <c r="D34" s="269"/>
      <c r="E34" s="269"/>
      <c r="F34" s="269"/>
      <c r="G34" s="269"/>
      <c r="H34" s="269"/>
      <c r="I34" s="276"/>
      <c r="J34" s="269"/>
      <c r="K34" s="269"/>
    </row>
    <row r="35" spans="3:11" ht="15" x14ac:dyDescent="0.2">
      <c r="C35" s="269"/>
      <c r="D35" s="269"/>
      <c r="E35" s="277" t="s">
        <v>62</v>
      </c>
      <c r="F35" s="269"/>
      <c r="G35" s="269"/>
      <c r="H35" s="269"/>
      <c r="I35" s="218">
        <f>SUM(I13:I34)</f>
        <v>10200</v>
      </c>
      <c r="J35" s="269"/>
      <c r="K35" s="269"/>
    </row>
    <row r="36" spans="3:11" ht="15" x14ac:dyDescent="0.2">
      <c r="C36" s="269"/>
      <c r="D36" s="269"/>
      <c r="E36" s="269"/>
      <c r="F36" s="269"/>
      <c r="G36" s="269"/>
      <c r="H36" s="269"/>
      <c r="I36" s="218"/>
      <c r="J36" s="269"/>
      <c r="K36" s="269"/>
    </row>
    <row r="37" spans="3:11" ht="15" x14ac:dyDescent="0.2">
      <c r="C37" s="274" t="s">
        <v>36</v>
      </c>
      <c r="D37" s="269"/>
      <c r="E37" s="269"/>
      <c r="F37" s="269"/>
      <c r="G37" s="269"/>
      <c r="H37" s="269"/>
      <c r="I37" s="218"/>
      <c r="J37" s="269"/>
      <c r="K37" s="269"/>
    </row>
    <row r="38" spans="3:11" ht="15" x14ac:dyDescent="0.2">
      <c r="C38" s="269"/>
      <c r="D38" s="269" t="s">
        <v>63</v>
      </c>
      <c r="E38" s="269"/>
      <c r="F38" s="269"/>
      <c r="G38" s="269"/>
      <c r="H38" s="269"/>
      <c r="I38" s="218"/>
      <c r="J38" s="269"/>
      <c r="K38" s="269"/>
    </row>
    <row r="39" spans="3:11" ht="15" x14ac:dyDescent="0.2">
      <c r="C39" s="269"/>
      <c r="D39" s="269"/>
      <c r="E39" s="269" t="s">
        <v>64</v>
      </c>
      <c r="F39" s="269"/>
      <c r="G39" s="269" t="s">
        <v>65</v>
      </c>
      <c r="H39" s="269"/>
      <c r="I39" s="218">
        <v>700</v>
      </c>
      <c r="J39" s="269"/>
      <c r="K39" s="269" t="s">
        <v>66</v>
      </c>
    </row>
    <row r="40" spans="3:11" ht="15" x14ac:dyDescent="0.2">
      <c r="C40" s="269"/>
      <c r="D40" s="269"/>
      <c r="E40" s="269" t="s">
        <v>67</v>
      </c>
      <c r="F40" s="269"/>
      <c r="G40" s="269" t="s">
        <v>65</v>
      </c>
      <c r="H40" s="269"/>
      <c r="I40" s="218">
        <v>700</v>
      </c>
      <c r="J40" s="269"/>
      <c r="K40" s="269" t="s">
        <v>66</v>
      </c>
    </row>
    <row r="41" spans="3:11" ht="15" x14ac:dyDescent="0.2">
      <c r="C41" s="269"/>
      <c r="D41" s="269"/>
      <c r="E41" s="269" t="s">
        <v>68</v>
      </c>
      <c r="F41" s="269"/>
      <c r="G41" s="269" t="s">
        <v>65</v>
      </c>
      <c r="H41" s="269"/>
      <c r="I41" s="218">
        <v>700</v>
      </c>
      <c r="J41" s="269"/>
      <c r="K41" s="269" t="s">
        <v>66</v>
      </c>
    </row>
    <row r="42" spans="3:11" ht="15" x14ac:dyDescent="0.2">
      <c r="C42" s="269"/>
      <c r="D42" s="269"/>
      <c r="E42" s="269" t="s">
        <v>69</v>
      </c>
      <c r="F42" s="269"/>
      <c r="G42" s="269" t="s">
        <v>65</v>
      </c>
      <c r="H42" s="269"/>
      <c r="I42" s="218">
        <v>800</v>
      </c>
      <c r="J42" s="269"/>
      <c r="K42" s="269" t="s">
        <v>66</v>
      </c>
    </row>
    <row r="43" spans="3:11" ht="15" x14ac:dyDescent="0.2">
      <c r="C43" s="269"/>
      <c r="D43" s="269"/>
      <c r="E43" s="269" t="s">
        <v>70</v>
      </c>
      <c r="F43" s="269"/>
      <c r="G43" s="269" t="s">
        <v>65</v>
      </c>
      <c r="H43" s="278"/>
      <c r="I43" s="218">
        <v>800</v>
      </c>
      <c r="J43" s="269"/>
      <c r="K43" s="269" t="s">
        <v>66</v>
      </c>
    </row>
    <row r="44" spans="3:11" ht="15" x14ac:dyDescent="0.2">
      <c r="C44" s="269"/>
      <c r="D44" s="269"/>
      <c r="E44" s="269" t="s">
        <v>71</v>
      </c>
      <c r="F44" s="269"/>
      <c r="G44" s="269" t="s">
        <v>65</v>
      </c>
      <c r="H44" s="269"/>
      <c r="I44" s="218">
        <v>900</v>
      </c>
      <c r="J44" s="269"/>
      <c r="K44" s="269" t="s">
        <v>66</v>
      </c>
    </row>
    <row r="45" spans="3:11" ht="15" x14ac:dyDescent="0.2">
      <c r="C45" s="269"/>
      <c r="D45" s="269" t="s">
        <v>72</v>
      </c>
      <c r="E45" s="269"/>
      <c r="F45" s="269"/>
      <c r="G45" s="269"/>
      <c r="H45" s="269"/>
      <c r="I45" s="218"/>
      <c r="J45" s="269"/>
      <c r="K45" s="269"/>
    </row>
    <row r="46" spans="3:11" ht="15" x14ac:dyDescent="0.2">
      <c r="C46" s="269"/>
      <c r="D46" s="269"/>
      <c r="E46" s="269" t="s">
        <v>73</v>
      </c>
      <c r="F46" s="269"/>
      <c r="G46" s="269" t="s">
        <v>65</v>
      </c>
      <c r="H46" s="269"/>
      <c r="I46" s="218">
        <v>765</v>
      </c>
      <c r="J46" s="269"/>
      <c r="K46" s="269" t="s">
        <v>66</v>
      </c>
    </row>
    <row r="47" spans="3:11" ht="15" x14ac:dyDescent="0.2">
      <c r="C47" s="269"/>
      <c r="D47" s="269" t="s">
        <v>63</v>
      </c>
      <c r="E47" s="269"/>
      <c r="F47" s="269"/>
      <c r="G47" s="269"/>
      <c r="H47" s="269"/>
      <c r="I47" s="218"/>
      <c r="J47" s="269"/>
      <c r="K47" s="269"/>
    </row>
    <row r="48" spans="3:11" ht="15" x14ac:dyDescent="0.2">
      <c r="C48" s="269"/>
      <c r="D48" s="269"/>
      <c r="E48" s="269" t="s">
        <v>74</v>
      </c>
      <c r="F48" s="269"/>
      <c r="G48" s="269" t="s">
        <v>65</v>
      </c>
      <c r="H48" s="269"/>
      <c r="I48" s="218">
        <v>200</v>
      </c>
      <c r="J48" s="269"/>
      <c r="K48" s="269" t="s">
        <v>66</v>
      </c>
    </row>
    <row r="49" spans="3:11" ht="15" x14ac:dyDescent="0.2">
      <c r="C49" s="269"/>
      <c r="D49" s="269"/>
      <c r="E49" s="269" t="s">
        <v>75</v>
      </c>
      <c r="F49" s="269"/>
      <c r="G49" s="269" t="s">
        <v>65</v>
      </c>
      <c r="H49" s="269"/>
      <c r="I49" s="218">
        <v>500</v>
      </c>
      <c r="J49" s="269"/>
      <c r="K49" s="269" t="s">
        <v>66</v>
      </c>
    </row>
    <row r="50" spans="3:11" ht="15" x14ac:dyDescent="0.2">
      <c r="C50" s="269"/>
      <c r="D50" s="269"/>
      <c r="E50" s="269" t="s">
        <v>76</v>
      </c>
      <c r="F50" s="269"/>
      <c r="G50" s="269" t="s">
        <v>65</v>
      </c>
      <c r="H50" s="269"/>
      <c r="I50" s="218">
        <v>250</v>
      </c>
      <c r="J50" s="269"/>
      <c r="K50" s="269" t="s">
        <v>66</v>
      </c>
    </row>
    <row r="51" spans="3:11" ht="15" x14ac:dyDescent="0.2">
      <c r="C51" s="269"/>
      <c r="D51" s="269" t="s">
        <v>77</v>
      </c>
      <c r="E51" s="269"/>
      <c r="F51" s="269"/>
      <c r="G51" s="269"/>
      <c r="H51" s="269"/>
      <c r="I51" s="218"/>
      <c r="J51" s="269"/>
      <c r="K51" s="269"/>
    </row>
    <row r="52" spans="3:11" ht="15" x14ac:dyDescent="0.2">
      <c r="C52" s="269"/>
      <c r="D52" s="269"/>
      <c r="E52" s="269" t="s">
        <v>78</v>
      </c>
      <c r="F52" s="269"/>
      <c r="G52" s="269" t="s">
        <v>79</v>
      </c>
      <c r="H52" s="269"/>
      <c r="I52" s="218">
        <v>372</v>
      </c>
      <c r="J52" s="269"/>
      <c r="K52" s="269" t="s">
        <v>66</v>
      </c>
    </row>
    <row r="53" spans="3:11" ht="15" x14ac:dyDescent="0.2">
      <c r="C53" s="269"/>
      <c r="D53" s="269"/>
      <c r="E53" s="269" t="s">
        <v>80</v>
      </c>
      <c r="F53" s="269"/>
      <c r="G53" s="269" t="s">
        <v>79</v>
      </c>
      <c r="H53" s="278"/>
      <c r="I53" s="218">
        <v>180</v>
      </c>
      <c r="J53" s="269"/>
      <c r="K53" s="269" t="s">
        <v>66</v>
      </c>
    </row>
    <row r="54" spans="3:11" ht="15" x14ac:dyDescent="0.2">
      <c r="C54" s="269"/>
      <c r="D54" s="269"/>
      <c r="E54" s="269" t="s">
        <v>81</v>
      </c>
      <c r="F54" s="269"/>
      <c r="G54" s="269" t="s">
        <v>79</v>
      </c>
      <c r="H54" s="269"/>
      <c r="I54" s="387">
        <v>580</v>
      </c>
      <c r="J54" s="269"/>
      <c r="K54" s="269" t="s">
        <v>66</v>
      </c>
    </row>
    <row r="55" spans="3:11" ht="15" x14ac:dyDescent="0.2">
      <c r="C55" s="269"/>
      <c r="D55" s="269"/>
      <c r="E55" s="269"/>
      <c r="F55" s="269"/>
      <c r="G55" s="269"/>
      <c r="H55" s="269"/>
      <c r="I55" s="218"/>
      <c r="J55" s="269"/>
      <c r="K55" s="269"/>
    </row>
    <row r="56" spans="3:11" ht="15" x14ac:dyDescent="0.2">
      <c r="C56" s="269"/>
      <c r="D56" s="269"/>
      <c r="E56" s="279" t="s">
        <v>82</v>
      </c>
      <c r="F56" s="269"/>
      <c r="G56" s="269"/>
      <c r="H56" s="269"/>
      <c r="I56" s="218">
        <f>SUM(I39:I55)</f>
        <v>7447</v>
      </c>
      <c r="J56" s="269"/>
      <c r="K56" s="269"/>
    </row>
    <row r="57" spans="3:11" ht="15" x14ac:dyDescent="0.2">
      <c r="C57" s="269"/>
      <c r="D57" s="269"/>
      <c r="E57" s="269"/>
      <c r="F57" s="269"/>
      <c r="G57" s="269"/>
      <c r="H57" s="269"/>
      <c r="I57" s="218"/>
      <c r="J57" s="269"/>
      <c r="K57" s="269"/>
    </row>
    <row r="58" spans="3:11" ht="15" x14ac:dyDescent="0.2">
      <c r="C58" s="269"/>
      <c r="D58" s="269"/>
      <c r="E58" s="269"/>
      <c r="F58" s="269"/>
      <c r="G58" s="269"/>
      <c r="H58" s="269"/>
      <c r="I58" s="218"/>
    </row>
    <row r="59" spans="3:11" ht="15" x14ac:dyDescent="0.2">
      <c r="C59" s="269"/>
      <c r="D59" s="269"/>
      <c r="E59" s="279" t="s">
        <v>943</v>
      </c>
      <c r="F59" s="269"/>
      <c r="G59" s="269"/>
      <c r="H59" s="269"/>
      <c r="I59" s="218">
        <f>+[13]Sheet1!$G$39</f>
        <v>6305</v>
      </c>
    </row>
    <row r="60" spans="3:11" ht="15" x14ac:dyDescent="0.2">
      <c r="C60" s="269"/>
      <c r="D60" s="269"/>
      <c r="E60" s="269"/>
      <c r="F60" s="269"/>
      <c r="G60" s="269"/>
      <c r="H60" s="269"/>
      <c r="I60" s="218"/>
    </row>
    <row r="61" spans="3:11" ht="15" x14ac:dyDescent="0.2">
      <c r="C61" s="269"/>
      <c r="D61" s="269"/>
      <c r="E61" s="269"/>
      <c r="F61" s="269"/>
      <c r="G61" s="269"/>
      <c r="H61" s="269"/>
      <c r="I61" s="218"/>
    </row>
    <row r="62" spans="3:11" ht="15" x14ac:dyDescent="0.2">
      <c r="C62" s="269"/>
      <c r="D62" s="269"/>
      <c r="E62" s="277" t="s">
        <v>83</v>
      </c>
      <c r="F62" s="269"/>
      <c r="G62" s="269"/>
      <c r="H62" s="269"/>
      <c r="I62" s="218">
        <f>I35+I56+I59</f>
        <v>23952</v>
      </c>
    </row>
    <row r="63" spans="3:11" ht="15" x14ac:dyDescent="0.2">
      <c r="C63" s="269"/>
      <c r="D63" s="269"/>
      <c r="E63" s="269"/>
      <c r="F63" s="269"/>
      <c r="G63" s="269"/>
      <c r="H63" s="269"/>
      <c r="I63" s="218"/>
    </row>
  </sheetData>
  <mergeCells count="3">
    <mergeCell ref="C9:E9"/>
    <mergeCell ref="C4:K4"/>
    <mergeCell ref="C6:K6"/>
  </mergeCells>
  <phoneticPr fontId="14" type="noConversion"/>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O172"/>
  <sheetViews>
    <sheetView tabSelected="1" view="pageLayout" topLeftCell="B7" zoomScaleNormal="100" workbookViewId="0">
      <selection activeCell="M516" sqref="M516"/>
    </sheetView>
  </sheetViews>
  <sheetFormatPr defaultRowHeight="12.75" x14ac:dyDescent="0.2"/>
  <cols>
    <col min="3" max="3" width="6" customWidth="1"/>
    <col min="5" max="5" width="6" customWidth="1"/>
    <col min="6" max="6" width="10" bestFit="1" customWidth="1"/>
    <col min="7" max="7" width="1.33203125" customWidth="1"/>
    <col min="8" max="8" width="10" bestFit="1" customWidth="1"/>
    <col min="9" max="9" width="6.77734375" customWidth="1"/>
    <col min="10" max="10" width="10" bestFit="1" customWidth="1"/>
    <col min="11" max="11" width="2.44140625" customWidth="1"/>
    <col min="12" max="12" width="10" bestFit="1" customWidth="1"/>
  </cols>
  <sheetData>
    <row r="7" spans="3:13" ht="15" x14ac:dyDescent="0.2">
      <c r="C7" s="871" t="s">
        <v>195</v>
      </c>
      <c r="D7" s="871"/>
      <c r="E7" s="871"/>
      <c r="F7" s="871"/>
      <c r="G7" s="871"/>
      <c r="H7" s="871"/>
      <c r="I7" s="871"/>
      <c r="J7" s="871"/>
      <c r="K7" s="871"/>
      <c r="L7" s="871"/>
      <c r="M7" s="169"/>
    </row>
    <row r="9" spans="3:13" ht="15" x14ac:dyDescent="0.2">
      <c r="C9" s="871" t="s">
        <v>531</v>
      </c>
      <c r="D9" s="871"/>
      <c r="E9" s="871"/>
      <c r="F9" s="871"/>
      <c r="G9" s="871"/>
      <c r="H9" s="871"/>
      <c r="I9" s="871"/>
      <c r="J9" s="871"/>
      <c r="K9" s="871"/>
      <c r="L9" s="871"/>
    </row>
    <row r="10" spans="3:13" ht="15" x14ac:dyDescent="0.2">
      <c r="C10" s="847"/>
      <c r="D10" s="847"/>
      <c r="E10" s="847"/>
      <c r="F10" s="847"/>
      <c r="G10" s="847"/>
      <c r="H10" s="847"/>
      <c r="I10" s="847"/>
      <c r="J10" s="847"/>
      <c r="K10" s="847"/>
      <c r="L10" s="847"/>
    </row>
    <row r="11" spans="3:13" ht="15" x14ac:dyDescent="0.2">
      <c r="D11" s="168"/>
      <c r="E11" s="168"/>
      <c r="F11" s="168"/>
      <c r="G11" s="168"/>
      <c r="H11" s="168"/>
      <c r="I11" s="168"/>
      <c r="J11" s="168"/>
      <c r="K11" s="168"/>
      <c r="L11" s="168"/>
    </row>
    <row r="12" spans="3:13" ht="15" x14ac:dyDescent="0.2">
      <c r="C12" s="16"/>
      <c r="D12" s="776"/>
      <c r="E12" s="16"/>
      <c r="F12" s="16"/>
      <c r="G12" s="16"/>
      <c r="H12" s="16"/>
      <c r="I12" s="16"/>
      <c r="J12" s="16"/>
      <c r="K12" s="16"/>
      <c r="L12" s="16"/>
    </row>
    <row r="13" spans="3:13" ht="15" x14ac:dyDescent="0.2">
      <c r="C13" s="791" t="s">
        <v>979</v>
      </c>
      <c r="D13" s="779"/>
      <c r="E13" s="779"/>
      <c r="F13" s="16"/>
      <c r="G13" s="16"/>
      <c r="H13" s="16"/>
      <c r="I13" s="16"/>
      <c r="J13" s="16"/>
      <c r="K13" s="16"/>
      <c r="L13" s="16"/>
    </row>
    <row r="14" spans="3:13" ht="8.25" customHeight="1" x14ac:dyDescent="0.2">
      <c r="C14" s="16"/>
      <c r="D14" s="16"/>
      <c r="E14" s="16"/>
      <c r="F14" s="16"/>
      <c r="G14" s="16"/>
      <c r="H14" s="16"/>
      <c r="I14" s="16"/>
      <c r="J14" s="16"/>
      <c r="K14" s="16"/>
      <c r="L14" s="16"/>
    </row>
    <row r="15" spans="3:13" ht="14.25" x14ac:dyDescent="0.2">
      <c r="C15" s="777"/>
      <c r="D15" s="621" t="s">
        <v>394</v>
      </c>
      <c r="E15" s="777"/>
      <c r="F15" s="777"/>
      <c r="G15" s="621"/>
      <c r="H15" s="621" t="s">
        <v>532</v>
      </c>
      <c r="I15" s="777"/>
      <c r="J15" s="621" t="s">
        <v>533</v>
      </c>
      <c r="K15" s="777"/>
      <c r="L15" s="777"/>
    </row>
    <row r="16" spans="3:13" ht="14.25" x14ac:dyDescent="0.2">
      <c r="C16" s="777"/>
      <c r="D16" s="780" t="s">
        <v>340</v>
      </c>
      <c r="E16" s="777"/>
      <c r="F16" s="777"/>
      <c r="G16" s="781"/>
      <c r="H16" s="780" t="s">
        <v>534</v>
      </c>
      <c r="I16" s="777"/>
      <c r="J16" s="780" t="s">
        <v>534</v>
      </c>
      <c r="K16" s="777"/>
      <c r="L16" s="777"/>
    </row>
    <row r="17" spans="3:15" ht="9.1999999999999993" customHeight="1" x14ac:dyDescent="0.2">
      <c r="C17" s="777"/>
      <c r="D17" s="777"/>
      <c r="E17" s="777"/>
      <c r="F17" s="777"/>
      <c r="G17" s="777"/>
      <c r="H17" s="777"/>
      <c r="I17" s="777"/>
      <c r="J17" s="777"/>
      <c r="K17" s="777"/>
      <c r="L17" s="777"/>
    </row>
    <row r="18" spans="3:15" ht="14.25" x14ac:dyDescent="0.2">
      <c r="C18" s="777"/>
      <c r="D18" s="782" t="s">
        <v>396</v>
      </c>
      <c r="E18" s="777"/>
      <c r="F18" s="777"/>
      <c r="G18" s="769"/>
      <c r="H18" s="773">
        <f>+'[7]Link in'!$C41</f>
        <v>12.49</v>
      </c>
      <c r="I18" s="777"/>
      <c r="J18" s="783">
        <f>+'[7]Link in'!$J41</f>
        <v>14.85</v>
      </c>
      <c r="K18" s="777"/>
      <c r="L18" s="777"/>
    </row>
    <row r="19" spans="3:15" ht="14.25" x14ac:dyDescent="0.2">
      <c r="C19" s="777"/>
      <c r="D19" s="782" t="s">
        <v>535</v>
      </c>
      <c r="E19" s="777"/>
      <c r="F19" s="777"/>
      <c r="G19" s="770"/>
      <c r="H19" s="770">
        <f>+'[7]Link in'!$C42</f>
        <v>18.739999999999998</v>
      </c>
      <c r="I19" s="777"/>
      <c r="J19" s="770">
        <f>+'[7]Link in'!$J42</f>
        <v>22.3</v>
      </c>
      <c r="K19" s="777"/>
      <c r="L19" s="777"/>
    </row>
    <row r="20" spans="3:15" ht="14.25" x14ac:dyDescent="0.2">
      <c r="C20" s="777"/>
      <c r="D20" s="621">
        <v>1</v>
      </c>
      <c r="E20" s="777"/>
      <c r="F20" s="777"/>
      <c r="G20" s="770"/>
      <c r="H20" s="770">
        <f>+'[7]Link in'!$C43</f>
        <v>31.23</v>
      </c>
      <c r="I20" s="777"/>
      <c r="J20" s="770">
        <f>+'[7]Link in'!$J43</f>
        <v>37.1</v>
      </c>
      <c r="K20" s="777"/>
      <c r="L20" s="777"/>
    </row>
    <row r="21" spans="3:15" ht="14.25" x14ac:dyDescent="0.2">
      <c r="C21" s="777"/>
      <c r="D21" s="782" t="s">
        <v>398</v>
      </c>
      <c r="E21" s="777"/>
      <c r="F21" s="777"/>
      <c r="G21" s="770"/>
      <c r="H21" s="770">
        <f>+'[7]Link in'!$C44</f>
        <v>62.45</v>
      </c>
      <c r="I21" s="777"/>
      <c r="J21" s="770">
        <f>+'[7]Link in'!$J44</f>
        <v>74.3</v>
      </c>
      <c r="K21" s="777"/>
      <c r="L21" s="777"/>
    </row>
    <row r="22" spans="3:15" ht="14.25" x14ac:dyDescent="0.2">
      <c r="C22" s="777"/>
      <c r="D22" s="621">
        <v>2</v>
      </c>
      <c r="E22" s="777"/>
      <c r="F22" s="777"/>
      <c r="G22" s="770"/>
      <c r="H22" s="770">
        <f>+'[7]Link in'!$C45</f>
        <v>99.92</v>
      </c>
      <c r="I22" s="777"/>
      <c r="J22" s="770">
        <f>+'[7]Link in'!$J45</f>
        <v>118.8</v>
      </c>
      <c r="K22" s="777"/>
      <c r="L22" s="777"/>
    </row>
    <row r="23" spans="3:15" ht="14.25" x14ac:dyDescent="0.2">
      <c r="C23" s="777"/>
      <c r="D23" s="621">
        <v>3</v>
      </c>
      <c r="E23" s="777"/>
      <c r="F23" s="777"/>
      <c r="G23" s="770"/>
      <c r="H23" s="770">
        <f>+'[7]Link in'!$C46</f>
        <v>187.35</v>
      </c>
      <c r="I23" s="777"/>
      <c r="J23" s="770">
        <f>+'[7]Link in'!$J46</f>
        <v>222.8</v>
      </c>
      <c r="K23" s="777"/>
      <c r="L23" s="777"/>
    </row>
    <row r="24" spans="3:15" ht="14.25" x14ac:dyDescent="0.2">
      <c r="C24" s="777"/>
      <c r="D24" s="621">
        <v>4</v>
      </c>
      <c r="E24" s="777"/>
      <c r="F24" s="777"/>
      <c r="G24" s="770"/>
      <c r="H24" s="770">
        <f>+'[7]Link in'!$C47</f>
        <v>312.25</v>
      </c>
      <c r="I24" s="777"/>
      <c r="J24" s="770">
        <f>+'[7]Link in'!$J47</f>
        <v>371.3</v>
      </c>
      <c r="K24" s="777"/>
      <c r="L24" s="777"/>
    </row>
    <row r="25" spans="3:15" ht="14.25" x14ac:dyDescent="0.2">
      <c r="C25" s="777"/>
      <c r="D25" s="621">
        <v>6</v>
      </c>
      <c r="E25" s="777"/>
      <c r="F25" s="777"/>
      <c r="G25" s="770"/>
      <c r="H25" s="770">
        <f>+'[7]Link in'!$C48</f>
        <v>624.5</v>
      </c>
      <c r="I25" s="777"/>
      <c r="J25" s="770">
        <f>+'[7]Link in'!$J48</f>
        <v>742.5</v>
      </c>
      <c r="K25" s="777"/>
      <c r="L25" s="777"/>
    </row>
    <row r="26" spans="3:15" ht="14.25" x14ac:dyDescent="0.2">
      <c r="C26" s="777"/>
      <c r="D26" s="621">
        <v>8</v>
      </c>
      <c r="E26" s="777"/>
      <c r="F26" s="777"/>
      <c r="G26" s="770"/>
      <c r="H26" s="770">
        <f>+'[7]Link in'!$C49</f>
        <v>999.2</v>
      </c>
      <c r="I26" s="777"/>
      <c r="J26" s="770">
        <f>+'[7]Link in'!$J49</f>
        <v>1188</v>
      </c>
      <c r="K26" s="777"/>
      <c r="L26" s="777"/>
    </row>
    <row r="27" spans="3:15" ht="14.25" x14ac:dyDescent="0.2">
      <c r="C27" s="777"/>
      <c r="D27" s="621"/>
      <c r="E27" s="777"/>
      <c r="F27" s="770"/>
      <c r="G27" s="770"/>
      <c r="H27" s="777"/>
      <c r="I27" s="770"/>
      <c r="J27" s="777"/>
      <c r="K27" s="777"/>
      <c r="L27" s="777"/>
    </row>
    <row r="28" spans="3:15" ht="6" customHeight="1" x14ac:dyDescent="0.2">
      <c r="C28" s="777"/>
      <c r="D28" s="777"/>
      <c r="E28" s="777"/>
      <c r="F28" s="770"/>
      <c r="G28" s="770"/>
      <c r="H28" s="777"/>
      <c r="I28" s="770"/>
      <c r="J28" s="777"/>
      <c r="K28" s="777"/>
      <c r="L28" s="777"/>
    </row>
    <row r="29" spans="3:15" ht="14.25" x14ac:dyDescent="0.2">
      <c r="D29" s="777"/>
      <c r="E29" s="777"/>
      <c r="F29" s="879" t="s">
        <v>536</v>
      </c>
      <c r="G29" s="879"/>
      <c r="H29" s="879"/>
      <c r="I29" s="777"/>
      <c r="J29" s="879" t="s">
        <v>537</v>
      </c>
      <c r="K29" s="879"/>
      <c r="L29" s="879"/>
    </row>
    <row r="30" spans="3:15" ht="14.25" x14ac:dyDescent="0.2">
      <c r="C30" s="784" t="s">
        <v>538</v>
      </c>
      <c r="D30" s="777"/>
      <c r="E30" s="777"/>
      <c r="F30" s="781" t="s">
        <v>532</v>
      </c>
      <c r="G30" s="781"/>
      <c r="H30" s="781" t="s">
        <v>533</v>
      </c>
      <c r="I30" s="777"/>
      <c r="J30" s="781" t="s">
        <v>532</v>
      </c>
      <c r="K30" s="781"/>
      <c r="L30" s="781" t="s">
        <v>533</v>
      </c>
    </row>
    <row r="31" spans="3:15" ht="7.5" customHeight="1" x14ac:dyDescent="0.2">
      <c r="C31" s="777"/>
      <c r="D31" s="777"/>
      <c r="E31" s="777"/>
      <c r="F31" s="777"/>
      <c r="G31" s="777"/>
      <c r="H31" s="777"/>
      <c r="I31" s="777"/>
      <c r="J31" s="777"/>
      <c r="K31" s="777"/>
      <c r="L31" s="777"/>
    </row>
    <row r="32" spans="3:15" ht="14.25" x14ac:dyDescent="0.2">
      <c r="C32" s="777" t="s">
        <v>980</v>
      </c>
      <c r="D32" s="777"/>
      <c r="E32" s="777"/>
      <c r="F32" s="821">
        <f>+'[7]Link in'!$C$55</f>
        <v>5.3003999999999998</v>
      </c>
      <c r="G32" s="785"/>
      <c r="H32" s="821">
        <f>+'[7]Link in'!$J$55</f>
        <v>6.1820000000000004</v>
      </c>
      <c r="I32" s="777"/>
      <c r="J32" s="821">
        <v>3.9647000000000001</v>
      </c>
      <c r="K32" s="336"/>
      <c r="L32" s="821">
        <f>ROUND(+H32*0.748,4)</f>
        <v>4.6241000000000003</v>
      </c>
      <c r="M32" s="326"/>
      <c r="O32">
        <f>1000/7.48/100</f>
        <v>1.3368983957219251</v>
      </c>
    </row>
    <row r="33" spans="2:14" ht="14.25" x14ac:dyDescent="0.2">
      <c r="B33" s="518"/>
      <c r="C33" s="777" t="s">
        <v>981</v>
      </c>
      <c r="D33" s="777"/>
      <c r="E33" s="777"/>
      <c r="F33" s="821">
        <f>+'[7]Link in'!$D$55</f>
        <v>4.8280000000000003</v>
      </c>
      <c r="G33" s="785"/>
      <c r="H33" s="821">
        <f>+'[7]Link in'!$K$55</f>
        <v>5.3840000000000003</v>
      </c>
      <c r="I33" s="777"/>
      <c r="J33" s="821">
        <v>3.6113</v>
      </c>
      <c r="K33" s="336"/>
      <c r="L33" s="821">
        <f t="shared" ref="L33:L36" si="0">ROUND(+H33*0.748,4)</f>
        <v>4.0271999999999997</v>
      </c>
      <c r="M33" s="326"/>
    </row>
    <row r="34" spans="2:14" ht="14.25" x14ac:dyDescent="0.2">
      <c r="B34" s="518"/>
      <c r="C34" s="777" t="s">
        <v>982</v>
      </c>
      <c r="D34" s="777"/>
      <c r="E34" s="777"/>
      <c r="F34" s="821">
        <f>+'[7]Link in'!$E$55</f>
        <v>3.8946700000000001</v>
      </c>
      <c r="G34" s="785"/>
      <c r="H34" s="821">
        <f>+'[7]Link in'!$L$55</f>
        <v>4.7549999999999999</v>
      </c>
      <c r="I34" s="777"/>
      <c r="J34" s="821">
        <v>2.9131999999999998</v>
      </c>
      <c r="K34" s="336"/>
      <c r="L34" s="821">
        <f t="shared" si="0"/>
        <v>3.5567000000000002</v>
      </c>
      <c r="M34" s="326"/>
      <c r="N34">
        <v>5.3</v>
      </c>
    </row>
    <row r="35" spans="2:14" ht="14.25" x14ac:dyDescent="0.2">
      <c r="B35" s="518"/>
      <c r="C35" s="777" t="s">
        <v>983</v>
      </c>
      <c r="D35" s="777"/>
      <c r="E35" s="777"/>
      <c r="F35" s="821">
        <f>+'[7]Link in'!$F$55</f>
        <v>4.2451999999999996</v>
      </c>
      <c r="G35" s="785"/>
      <c r="H35" s="821">
        <f>+'[7]Link in'!$M$55</f>
        <v>4.99</v>
      </c>
      <c r="I35" s="777"/>
      <c r="J35" s="821">
        <v>3.1753999999999998</v>
      </c>
      <c r="K35" s="336"/>
      <c r="L35" s="821">
        <f t="shared" si="0"/>
        <v>3.7324999999999999</v>
      </c>
      <c r="M35" s="326"/>
      <c r="N35">
        <f>+N34*1000/7.48/100</f>
        <v>7.0855614973262027</v>
      </c>
    </row>
    <row r="36" spans="2:14" ht="14.25" x14ac:dyDescent="0.2">
      <c r="B36" s="518"/>
      <c r="C36" s="777" t="s">
        <v>984</v>
      </c>
      <c r="D36" s="777"/>
      <c r="E36" s="777"/>
      <c r="F36" s="821">
        <f>+'[7]Link in'!$G$55</f>
        <v>4.2092999999999998</v>
      </c>
      <c r="G36" s="785"/>
      <c r="H36" s="821">
        <f>+'[7]Link in'!$N$55</f>
        <v>4.4509999999999996</v>
      </c>
      <c r="I36" s="777"/>
      <c r="J36" s="821">
        <v>3.1486000000000001</v>
      </c>
      <c r="K36" s="336"/>
      <c r="L36" s="821">
        <f t="shared" si="0"/>
        <v>3.3292999999999999</v>
      </c>
      <c r="M36" s="326"/>
    </row>
    <row r="37" spans="2:14" ht="14.25" x14ac:dyDescent="0.2">
      <c r="B37" s="518"/>
      <c r="C37" s="777"/>
      <c r="D37" s="777"/>
      <c r="E37" s="777"/>
      <c r="F37" s="336"/>
      <c r="G37" s="785"/>
      <c r="H37" s="336"/>
      <c r="I37" s="777"/>
      <c r="J37" s="336"/>
      <c r="K37" s="336"/>
      <c r="L37" s="336"/>
      <c r="M37" s="326"/>
    </row>
    <row r="38" spans="2:14" ht="14.25" x14ac:dyDescent="0.2">
      <c r="B38" s="518"/>
      <c r="C38" s="777"/>
      <c r="D38" s="777"/>
      <c r="E38" s="777"/>
      <c r="F38" s="786"/>
      <c r="G38" s="787"/>
      <c r="H38" s="787"/>
      <c r="I38" s="777"/>
      <c r="J38" s="787"/>
      <c r="K38" s="787"/>
      <c r="L38" s="787"/>
    </row>
    <row r="39" spans="2:14" ht="10.7" customHeight="1" x14ac:dyDescent="0.2">
      <c r="B39" s="518"/>
      <c r="C39" s="777"/>
      <c r="D39" s="777"/>
      <c r="E39" s="777"/>
      <c r="F39" s="777"/>
      <c r="G39" s="777"/>
      <c r="H39" s="777"/>
      <c r="I39" s="777"/>
      <c r="J39" s="787"/>
      <c r="K39" s="787"/>
      <c r="L39" s="787"/>
    </row>
    <row r="40" spans="2:14" ht="15" x14ac:dyDescent="0.2">
      <c r="C40" s="778" t="s">
        <v>539</v>
      </c>
      <c r="D40" s="777"/>
      <c r="E40" s="777"/>
      <c r="F40" s="777"/>
      <c r="G40" s="777"/>
      <c r="H40" s="777"/>
      <c r="I40" s="777"/>
      <c r="J40" s="777"/>
      <c r="K40" s="777"/>
      <c r="L40" s="777"/>
    </row>
    <row r="41" spans="2:14" ht="14.25" x14ac:dyDescent="0.2">
      <c r="B41" s="493"/>
      <c r="C41" s="784"/>
      <c r="D41" s="777"/>
      <c r="E41" s="777"/>
      <c r="F41" s="777"/>
      <c r="G41" s="777"/>
      <c r="H41" s="621" t="s">
        <v>532</v>
      </c>
      <c r="I41" s="777"/>
      <c r="J41" s="621" t="s">
        <v>533</v>
      </c>
      <c r="K41" s="777"/>
      <c r="L41" s="777"/>
    </row>
    <row r="42" spans="2:14" ht="14.25" x14ac:dyDescent="0.2">
      <c r="B42" s="521"/>
      <c r="C42" s="777"/>
      <c r="D42" s="621" t="s">
        <v>154</v>
      </c>
      <c r="E42" s="777"/>
      <c r="F42" s="777"/>
      <c r="G42" s="621"/>
      <c r="H42" s="621" t="s">
        <v>534</v>
      </c>
      <c r="I42" s="777"/>
      <c r="J42" s="621" t="s">
        <v>534</v>
      </c>
      <c r="K42" s="777"/>
      <c r="L42" s="777"/>
    </row>
    <row r="43" spans="2:14" ht="14.25" x14ac:dyDescent="0.2">
      <c r="C43" s="777"/>
      <c r="D43" s="781" t="s">
        <v>540</v>
      </c>
      <c r="E43" s="777"/>
      <c r="F43" s="777"/>
      <c r="G43" s="781"/>
      <c r="H43" s="781" t="s">
        <v>548</v>
      </c>
      <c r="I43" s="777"/>
      <c r="J43" s="781" t="s">
        <v>548</v>
      </c>
      <c r="K43" s="777"/>
      <c r="L43" s="777"/>
    </row>
    <row r="44" spans="2:14" ht="9.1999999999999993" customHeight="1" x14ac:dyDescent="0.2">
      <c r="C44" s="777"/>
      <c r="D44" s="777"/>
      <c r="E44" s="777"/>
      <c r="F44" s="777"/>
      <c r="G44" s="777"/>
      <c r="H44" s="777"/>
      <c r="I44" s="777"/>
      <c r="J44" s="777"/>
      <c r="K44" s="777"/>
      <c r="L44" s="777"/>
    </row>
    <row r="45" spans="2:14" ht="14.25" x14ac:dyDescent="0.2">
      <c r="C45" s="777"/>
      <c r="D45" s="621">
        <v>2</v>
      </c>
      <c r="E45" s="777"/>
      <c r="F45" s="777"/>
      <c r="G45" s="788"/>
      <c r="H45" s="773">
        <f>+'[7]Link in'!$D66</f>
        <v>8.92</v>
      </c>
      <c r="I45" s="777"/>
      <c r="J45" s="773">
        <f>+'[7]Link in'!$L66</f>
        <v>9.3699999999999992</v>
      </c>
      <c r="K45" s="777"/>
      <c r="L45" s="777"/>
    </row>
    <row r="46" spans="2:14" ht="14.25" x14ac:dyDescent="0.2">
      <c r="C46" s="777"/>
      <c r="D46" s="621">
        <v>4</v>
      </c>
      <c r="E46" s="777"/>
      <c r="F46" s="777"/>
      <c r="G46" s="788"/>
      <c r="H46" s="770">
        <f>+'[7]Link in'!$D67</f>
        <v>35.9</v>
      </c>
      <c r="I46" s="777"/>
      <c r="J46" s="770">
        <f>+'[7]Link in'!$L67</f>
        <v>37.700000000000003</v>
      </c>
      <c r="K46" s="777"/>
      <c r="L46" s="777"/>
    </row>
    <row r="47" spans="2:14" ht="14.25" x14ac:dyDescent="0.2">
      <c r="C47" s="777"/>
      <c r="D47" s="621">
        <v>6</v>
      </c>
      <c r="E47" s="777"/>
      <c r="F47" s="777"/>
      <c r="G47" s="788"/>
      <c r="H47" s="770">
        <f>+'[7]Link in'!$D68</f>
        <v>80.739999999999995</v>
      </c>
      <c r="I47" s="777"/>
      <c r="J47" s="770">
        <f>+'[7]Link in'!$L68</f>
        <v>84.78</v>
      </c>
      <c r="K47" s="777"/>
      <c r="L47" s="777"/>
    </row>
    <row r="48" spans="2:14" ht="14.25" x14ac:dyDescent="0.2">
      <c r="C48" s="777"/>
      <c r="D48" s="621">
        <v>8</v>
      </c>
      <c r="E48" s="777"/>
      <c r="F48" s="777"/>
      <c r="G48" s="788"/>
      <c r="H48" s="770">
        <f>+'[7]Link in'!$D69</f>
        <v>143.54</v>
      </c>
      <c r="I48" s="777"/>
      <c r="J48" s="770">
        <f>+'[7]Link in'!$L69</f>
        <v>150.72</v>
      </c>
      <c r="K48" s="777"/>
      <c r="L48" s="777"/>
    </row>
    <row r="49" spans="3:12" ht="14.25" x14ac:dyDescent="0.2">
      <c r="C49" s="777"/>
      <c r="D49" s="621">
        <v>10</v>
      </c>
      <c r="E49" s="777"/>
      <c r="F49" s="777"/>
      <c r="G49" s="788"/>
      <c r="H49" s="770">
        <f>+'[7]Link in'!$D70</f>
        <v>224.34</v>
      </c>
      <c r="I49" s="777"/>
      <c r="J49" s="770">
        <f>+'[7]Link in'!$L70</f>
        <v>235.56</v>
      </c>
      <c r="K49" s="777"/>
      <c r="L49" s="777"/>
    </row>
    <row r="50" spans="3:12" ht="14.25" x14ac:dyDescent="0.2">
      <c r="C50" s="777"/>
      <c r="D50" s="621">
        <v>12</v>
      </c>
      <c r="E50" s="777"/>
      <c r="F50" s="777"/>
      <c r="G50" s="788"/>
      <c r="H50" s="770">
        <f>+'[7]Link in'!$D71</f>
        <v>323.5</v>
      </c>
      <c r="I50" s="777"/>
      <c r="J50" s="770">
        <f>+'[7]Link in'!$L71</f>
        <v>339.68</v>
      </c>
      <c r="K50" s="777"/>
      <c r="L50" s="777"/>
    </row>
    <row r="51" spans="3:12" ht="14.25" x14ac:dyDescent="0.2">
      <c r="C51" s="777"/>
      <c r="D51" s="621">
        <v>14</v>
      </c>
      <c r="E51" s="777"/>
      <c r="F51" s="777"/>
      <c r="G51" s="788"/>
      <c r="H51" s="770">
        <f>+'[7]Link in'!$D72</f>
        <v>439.89</v>
      </c>
      <c r="I51" s="777"/>
      <c r="J51" s="770">
        <f>+'[7]Link in'!$L72</f>
        <v>461.88</v>
      </c>
      <c r="K51" s="777"/>
      <c r="L51" s="777"/>
    </row>
    <row r="52" spans="3:12" ht="14.25" x14ac:dyDescent="0.2">
      <c r="C52" s="777"/>
      <c r="D52" s="621">
        <v>16</v>
      </c>
      <c r="E52" s="777"/>
      <c r="F52" s="777"/>
      <c r="G52" s="788"/>
      <c r="H52" s="770">
        <f>+'[7]Link in'!$D73</f>
        <v>574.41999999999996</v>
      </c>
      <c r="I52" s="777"/>
      <c r="J52" s="770">
        <f>+'[7]Link in'!$L73</f>
        <v>603.14</v>
      </c>
      <c r="K52" s="777"/>
      <c r="L52" s="777"/>
    </row>
    <row r="53" spans="3:12" ht="14.25" x14ac:dyDescent="0.2">
      <c r="C53" s="777"/>
      <c r="D53" s="789" t="s">
        <v>541</v>
      </c>
      <c r="E53" s="777"/>
      <c r="F53" s="777"/>
      <c r="G53" s="790"/>
      <c r="H53" s="770">
        <f>+'[7]Link in'!$D65</f>
        <v>79.77</v>
      </c>
      <c r="I53" s="777"/>
      <c r="J53" s="770">
        <f>+'[7]Link in'!$L65</f>
        <v>79.77</v>
      </c>
      <c r="K53" s="777"/>
      <c r="L53" s="777"/>
    </row>
    <row r="54" spans="3:12" ht="15" customHeight="1" x14ac:dyDescent="0.2">
      <c r="C54" s="777"/>
      <c r="D54" s="777"/>
      <c r="E54" s="777"/>
      <c r="F54" s="777"/>
      <c r="G54" s="777"/>
      <c r="H54" s="777"/>
      <c r="I54" s="777"/>
      <c r="J54" s="777"/>
      <c r="K54" s="777"/>
      <c r="L54" s="777"/>
    </row>
    <row r="55" spans="3:12" ht="14.25" x14ac:dyDescent="0.2">
      <c r="C55" s="777"/>
      <c r="D55" s="777" t="s">
        <v>542</v>
      </c>
      <c r="E55" s="777"/>
      <c r="F55" s="777"/>
      <c r="G55" s="790"/>
      <c r="H55" s="769">
        <f>+'[7]Link in'!$D$76</f>
        <v>41.6</v>
      </c>
      <c r="I55" s="777"/>
      <c r="J55" s="769">
        <f>+'[7]Link in'!$L$76</f>
        <v>48</v>
      </c>
      <c r="K55" s="777"/>
      <c r="L55" s="777"/>
    </row>
    <row r="56" spans="3:12" ht="14.25" x14ac:dyDescent="0.2">
      <c r="C56" s="878"/>
      <c r="D56" s="878"/>
      <c r="E56" s="878"/>
      <c r="F56" s="878"/>
      <c r="G56" s="878"/>
      <c r="H56" s="878"/>
      <c r="I56" s="878"/>
      <c r="J56" s="878"/>
      <c r="K56" s="878"/>
      <c r="L56" s="878"/>
    </row>
    <row r="58" spans="3:12" ht="15" x14ac:dyDescent="0.2">
      <c r="C58" s="871"/>
      <c r="D58" s="871"/>
      <c r="E58" s="871"/>
      <c r="F58" s="871"/>
      <c r="G58" s="871"/>
      <c r="H58" s="871"/>
      <c r="I58" s="871"/>
      <c r="J58" s="871"/>
      <c r="K58" s="871"/>
      <c r="L58" s="871"/>
    </row>
    <row r="59" spans="3:12" ht="15" x14ac:dyDescent="0.2">
      <c r="C59" s="847"/>
      <c r="D59" s="847"/>
      <c r="E59" s="847"/>
      <c r="F59" s="847"/>
      <c r="G59" s="847"/>
      <c r="H59" s="847"/>
      <c r="I59" s="847"/>
      <c r="J59" s="847"/>
      <c r="K59" s="847"/>
      <c r="L59" s="847"/>
    </row>
    <row r="60" spans="3:12" ht="15" x14ac:dyDescent="0.2">
      <c r="C60" s="168"/>
      <c r="D60" s="168"/>
      <c r="E60" s="168"/>
      <c r="F60" s="168"/>
      <c r="G60" s="168"/>
      <c r="H60" s="168"/>
      <c r="I60" s="168"/>
      <c r="J60" s="168"/>
      <c r="K60" s="168"/>
      <c r="L60" s="168"/>
    </row>
    <row r="61" spans="3:12" ht="15" x14ac:dyDescent="0.2">
      <c r="C61" s="16"/>
      <c r="D61" s="16"/>
      <c r="E61" s="16"/>
      <c r="F61" s="16"/>
      <c r="G61" s="16"/>
      <c r="H61" s="16"/>
      <c r="I61" s="16"/>
      <c r="J61" s="16"/>
      <c r="K61" s="16"/>
      <c r="L61" s="16"/>
    </row>
    <row r="62" spans="3:12" ht="15" x14ac:dyDescent="0.2">
      <c r="C62" s="330"/>
      <c r="D62" s="16"/>
      <c r="E62" s="16"/>
      <c r="F62" s="16"/>
      <c r="G62" s="16"/>
      <c r="H62" s="16"/>
      <c r="I62" s="16"/>
      <c r="J62" s="16"/>
      <c r="K62" s="16"/>
      <c r="L62" s="16"/>
    </row>
    <row r="63" spans="3:12" ht="15" x14ac:dyDescent="0.2">
      <c r="C63" s="16"/>
      <c r="D63" s="16"/>
      <c r="E63" s="16"/>
      <c r="F63" s="168"/>
      <c r="G63" s="16"/>
      <c r="H63" s="16"/>
      <c r="I63" s="16"/>
      <c r="J63" s="16"/>
      <c r="K63" s="16"/>
      <c r="L63" s="16"/>
    </row>
    <row r="64" spans="3:12" ht="15" x14ac:dyDescent="0.2">
      <c r="C64" s="168"/>
      <c r="D64" s="16"/>
      <c r="E64" s="16"/>
      <c r="F64" s="168"/>
      <c r="G64" s="168"/>
      <c r="I64" s="168"/>
      <c r="J64" s="16"/>
      <c r="K64" s="16"/>
      <c r="L64" s="16"/>
    </row>
    <row r="65" spans="3:12" ht="15" x14ac:dyDescent="0.2">
      <c r="C65" s="331"/>
      <c r="D65" s="16"/>
      <c r="E65" s="16"/>
      <c r="F65" s="331"/>
      <c r="G65" s="331"/>
      <c r="I65" s="331"/>
      <c r="J65" s="16"/>
      <c r="K65" s="16"/>
      <c r="L65" s="16"/>
    </row>
    <row r="66" spans="3:12" ht="15" x14ac:dyDescent="0.2">
      <c r="C66" s="16"/>
      <c r="D66" s="16"/>
      <c r="E66" s="16"/>
      <c r="F66" s="16"/>
      <c r="G66" s="16"/>
      <c r="I66" s="16"/>
      <c r="J66" s="16"/>
      <c r="K66" s="16"/>
      <c r="L66" s="16"/>
    </row>
    <row r="67" spans="3:12" ht="15" x14ac:dyDescent="0.2">
      <c r="C67" s="171"/>
      <c r="D67" s="16"/>
      <c r="E67" s="16"/>
      <c r="F67" s="332"/>
      <c r="G67" s="332"/>
      <c r="I67" s="332"/>
      <c r="J67" s="16"/>
      <c r="K67" s="16"/>
      <c r="L67" s="16"/>
    </row>
    <row r="68" spans="3:12" ht="15" x14ac:dyDescent="0.2">
      <c r="C68" s="171"/>
      <c r="D68" s="16"/>
      <c r="E68" s="16"/>
      <c r="F68" s="328"/>
      <c r="G68" s="328"/>
      <c r="I68" s="328"/>
      <c r="J68" s="16"/>
      <c r="K68" s="16"/>
      <c r="L68" s="16"/>
    </row>
    <row r="69" spans="3:12" ht="15" x14ac:dyDescent="0.2">
      <c r="C69" s="168"/>
      <c r="D69" s="16"/>
      <c r="E69" s="16"/>
      <c r="F69" s="328"/>
      <c r="G69" s="328"/>
      <c r="I69" s="328"/>
      <c r="J69" s="16"/>
      <c r="K69" s="16"/>
      <c r="L69" s="16"/>
    </row>
    <row r="70" spans="3:12" ht="15" x14ac:dyDescent="0.2">
      <c r="C70" s="171"/>
      <c r="D70" s="16"/>
      <c r="E70" s="16"/>
      <c r="F70" s="328"/>
      <c r="G70" s="328"/>
      <c r="I70" s="328"/>
      <c r="J70" s="16"/>
      <c r="K70" s="16"/>
      <c r="L70" s="16"/>
    </row>
    <row r="71" spans="3:12" ht="15" x14ac:dyDescent="0.2">
      <c r="C71" s="168"/>
      <c r="D71" s="16"/>
      <c r="E71" s="16"/>
      <c r="F71" s="328"/>
      <c r="G71" s="328"/>
      <c r="I71" s="328"/>
      <c r="J71" s="16"/>
      <c r="K71" s="16"/>
      <c r="L71" s="16"/>
    </row>
    <row r="72" spans="3:12" ht="15" x14ac:dyDescent="0.2">
      <c r="C72" s="168"/>
      <c r="D72" s="16"/>
      <c r="E72" s="16"/>
      <c r="F72" s="328"/>
      <c r="G72" s="328"/>
      <c r="I72" s="328"/>
      <c r="J72" s="16"/>
      <c r="K72" s="16"/>
      <c r="L72" s="16"/>
    </row>
    <row r="73" spans="3:12" ht="15" x14ac:dyDescent="0.2">
      <c r="C73" s="168"/>
      <c r="D73" s="16"/>
      <c r="E73" s="16"/>
      <c r="F73" s="328"/>
      <c r="G73" s="328"/>
      <c r="I73" s="328"/>
      <c r="J73" s="16"/>
      <c r="K73" s="16"/>
      <c r="L73" s="16"/>
    </row>
    <row r="74" spans="3:12" ht="15" x14ac:dyDescent="0.2">
      <c r="C74" s="168"/>
      <c r="D74" s="16"/>
      <c r="E74" s="16"/>
      <c r="F74" s="328"/>
      <c r="G74" s="328"/>
      <c r="I74" s="328"/>
      <c r="J74" s="16"/>
      <c r="K74" s="16"/>
      <c r="L74" s="16"/>
    </row>
    <row r="75" spans="3:12" ht="15" x14ac:dyDescent="0.2">
      <c r="C75" s="168"/>
      <c r="D75" s="16"/>
      <c r="E75" s="16"/>
      <c r="F75" s="328"/>
      <c r="G75" s="328"/>
      <c r="I75" s="328"/>
      <c r="J75" s="16"/>
      <c r="K75" s="16"/>
      <c r="L75" s="16"/>
    </row>
    <row r="76" spans="3:12" ht="15" x14ac:dyDescent="0.2">
      <c r="C76" s="168"/>
      <c r="D76" s="16"/>
      <c r="E76" s="16"/>
      <c r="F76" s="328"/>
      <c r="G76" s="328"/>
      <c r="I76" s="328"/>
      <c r="J76" s="16"/>
      <c r="K76" s="16"/>
      <c r="L76" s="16"/>
    </row>
    <row r="77" spans="3:12" ht="15" x14ac:dyDescent="0.2">
      <c r="C77" s="16"/>
      <c r="D77" s="16"/>
      <c r="E77" s="16"/>
      <c r="F77" s="328"/>
      <c r="G77" s="328"/>
      <c r="I77" s="328"/>
      <c r="J77" s="16"/>
      <c r="K77" s="16"/>
      <c r="L77" s="16"/>
    </row>
    <row r="78" spans="3:12" ht="15" x14ac:dyDescent="0.2">
      <c r="C78" s="16"/>
      <c r="D78" s="16"/>
      <c r="E78" s="16"/>
      <c r="F78" s="876"/>
      <c r="G78" s="876"/>
      <c r="H78" s="876"/>
      <c r="I78" s="16"/>
      <c r="J78" s="876"/>
      <c r="K78" s="876"/>
      <c r="L78" s="876"/>
    </row>
    <row r="79" spans="3:12" ht="15" x14ac:dyDescent="0.2">
      <c r="C79" s="16"/>
      <c r="D79" s="16"/>
      <c r="E79" s="16"/>
      <c r="F79" s="329"/>
      <c r="G79" s="329"/>
      <c r="H79" s="329"/>
      <c r="I79" s="16"/>
      <c r="J79" s="329"/>
      <c r="K79" s="329"/>
      <c r="L79" s="329"/>
    </row>
    <row r="80" spans="3:12" ht="15" x14ac:dyDescent="0.2">
      <c r="C80" s="330"/>
      <c r="D80" s="16"/>
      <c r="E80" s="16"/>
      <c r="F80" s="331"/>
      <c r="G80" s="331"/>
      <c r="H80" s="331"/>
      <c r="I80" s="16"/>
      <c r="J80" s="331"/>
      <c r="K80" s="331"/>
      <c r="L80" s="331"/>
    </row>
    <row r="81" spans="3:12" ht="15" x14ac:dyDescent="0.2">
      <c r="C81" s="16"/>
      <c r="D81" s="16"/>
      <c r="E81" s="16"/>
      <c r="F81" s="16"/>
      <c r="G81" s="16"/>
      <c r="H81" s="16"/>
      <c r="I81" s="16"/>
      <c r="J81" s="16"/>
      <c r="K81" s="16"/>
      <c r="L81" s="16"/>
    </row>
    <row r="82" spans="3:12" ht="15" x14ac:dyDescent="0.2">
      <c r="C82" s="16"/>
      <c r="D82" s="16"/>
      <c r="E82" s="16"/>
      <c r="F82" s="168"/>
      <c r="G82" s="325"/>
      <c r="H82" s="168"/>
      <c r="I82" s="16"/>
      <c r="J82" s="333"/>
      <c r="K82" s="325"/>
      <c r="L82" s="325"/>
    </row>
    <row r="83" spans="3:12" ht="15" x14ac:dyDescent="0.2">
      <c r="C83" s="16"/>
      <c r="D83" s="16"/>
      <c r="E83" s="16"/>
      <c r="F83" s="334"/>
      <c r="G83" s="327"/>
      <c r="H83" s="335"/>
      <c r="I83" s="16"/>
      <c r="J83" s="336"/>
      <c r="K83" s="327"/>
      <c r="L83" s="327"/>
    </row>
    <row r="84" spans="3:12" ht="15" x14ac:dyDescent="0.2">
      <c r="C84" s="16"/>
      <c r="D84" s="16"/>
      <c r="E84" s="16"/>
      <c r="F84" s="328"/>
      <c r="G84" s="327"/>
      <c r="H84" s="337"/>
      <c r="I84" s="16"/>
      <c r="J84" s="336"/>
      <c r="K84" s="327"/>
      <c r="L84" s="327"/>
    </row>
    <row r="85" spans="3:12" ht="15" x14ac:dyDescent="0.2">
      <c r="C85" s="16"/>
      <c r="D85" s="16"/>
      <c r="E85" s="16"/>
      <c r="F85" s="328"/>
      <c r="G85" s="327"/>
      <c r="H85" s="337"/>
      <c r="I85" s="16"/>
      <c r="J85" s="336"/>
      <c r="K85" s="327"/>
      <c r="L85" s="327"/>
    </row>
    <row r="86" spans="3:12" ht="15" x14ac:dyDescent="0.2">
      <c r="C86" s="16"/>
      <c r="D86" s="16"/>
      <c r="E86" s="16"/>
      <c r="F86" s="328"/>
      <c r="G86" s="327"/>
      <c r="H86" s="337"/>
      <c r="I86" s="16"/>
      <c r="J86" s="336"/>
      <c r="K86" s="327"/>
      <c r="L86" s="327"/>
    </row>
    <row r="87" spans="3:12" ht="15" x14ac:dyDescent="0.2">
      <c r="C87" s="16"/>
      <c r="D87" s="16"/>
      <c r="E87" s="16"/>
      <c r="F87" s="327"/>
      <c r="G87" s="327"/>
      <c r="H87" s="337"/>
      <c r="I87" s="16"/>
      <c r="J87" s="336"/>
      <c r="K87" s="327"/>
      <c r="L87" s="327"/>
    </row>
    <row r="88" spans="3:12" ht="15" x14ac:dyDescent="0.2">
      <c r="C88" s="16"/>
      <c r="D88" s="16"/>
      <c r="E88" s="16"/>
      <c r="F88" s="327"/>
      <c r="G88" s="327"/>
      <c r="H88" s="337"/>
      <c r="I88" s="16"/>
      <c r="J88" s="327"/>
      <c r="K88" s="327"/>
      <c r="L88" s="327"/>
    </row>
    <row r="89" spans="3:12" ht="15" x14ac:dyDescent="0.2">
      <c r="C89" s="16"/>
      <c r="D89" s="16"/>
      <c r="E89" s="16"/>
      <c r="F89" s="16"/>
      <c r="G89" s="16"/>
      <c r="H89" s="16"/>
      <c r="I89" s="16"/>
      <c r="J89" s="327"/>
      <c r="K89" s="327"/>
      <c r="L89" s="327"/>
    </row>
    <row r="90" spans="3:12" ht="15" x14ac:dyDescent="0.2">
      <c r="C90" s="330"/>
      <c r="D90" s="16"/>
      <c r="E90" s="16"/>
      <c r="F90" s="16"/>
      <c r="G90" s="16"/>
      <c r="H90" s="16"/>
      <c r="I90" s="16"/>
      <c r="J90" s="16"/>
      <c r="K90" s="16"/>
      <c r="L90" s="16"/>
    </row>
    <row r="91" spans="3:12" ht="15" x14ac:dyDescent="0.2">
      <c r="C91" s="871"/>
      <c r="D91" s="871"/>
      <c r="E91" s="871"/>
      <c r="F91" s="871"/>
      <c r="G91" s="871"/>
      <c r="H91" s="871"/>
      <c r="I91" s="871"/>
      <c r="J91" s="871"/>
      <c r="K91" s="871"/>
      <c r="L91" s="871"/>
    </row>
    <row r="93" spans="3:12" ht="15" x14ac:dyDescent="0.2">
      <c r="C93" s="871"/>
      <c r="D93" s="871"/>
      <c r="E93" s="871"/>
      <c r="F93" s="871"/>
      <c r="G93" s="871"/>
      <c r="H93" s="871"/>
      <c r="I93" s="871"/>
      <c r="J93" s="871"/>
      <c r="K93" s="871"/>
      <c r="L93" s="871"/>
    </row>
    <row r="94" spans="3:12" ht="15" x14ac:dyDescent="0.2">
      <c r="C94" s="847"/>
      <c r="D94" s="847"/>
      <c r="E94" s="847"/>
      <c r="F94" s="847"/>
      <c r="G94" s="847"/>
      <c r="H94" s="847"/>
      <c r="I94" s="847"/>
      <c r="J94" s="847"/>
      <c r="K94" s="847"/>
      <c r="L94" s="847"/>
    </row>
    <row r="95" spans="3:12" ht="15" x14ac:dyDescent="0.2">
      <c r="C95" s="168"/>
      <c r="D95" s="168"/>
      <c r="E95" s="168"/>
      <c r="F95" s="168"/>
      <c r="G95" s="168"/>
      <c r="H95" s="168"/>
      <c r="I95" s="168"/>
      <c r="J95" s="168"/>
      <c r="K95" s="168"/>
      <c r="L95" s="168"/>
    </row>
    <row r="96" spans="3:12" ht="15" x14ac:dyDescent="0.2">
      <c r="C96" s="16"/>
      <c r="D96" s="16"/>
      <c r="E96" s="16"/>
      <c r="F96" s="16"/>
      <c r="G96" s="16"/>
      <c r="H96" s="16"/>
      <c r="I96" s="16"/>
      <c r="J96" s="16"/>
      <c r="K96" s="16"/>
      <c r="L96" s="16"/>
    </row>
    <row r="97" spans="3:12" ht="15" x14ac:dyDescent="0.2">
      <c r="C97" s="330"/>
      <c r="D97" s="16"/>
      <c r="E97" s="16"/>
      <c r="F97" s="16"/>
      <c r="G97" s="16"/>
      <c r="H97" s="16"/>
      <c r="I97" s="16"/>
      <c r="J97" s="16"/>
      <c r="K97" s="16"/>
      <c r="L97" s="16"/>
    </row>
    <row r="98" spans="3:12" ht="15" x14ac:dyDescent="0.2">
      <c r="C98" s="16"/>
      <c r="D98" s="16"/>
      <c r="E98" s="16"/>
      <c r="F98" s="168"/>
      <c r="G98" s="16"/>
      <c r="H98" s="16"/>
      <c r="I98" s="16"/>
      <c r="J98" s="16"/>
      <c r="K98" s="16"/>
      <c r="L98" s="16"/>
    </row>
    <row r="99" spans="3:12" ht="15" x14ac:dyDescent="0.2">
      <c r="C99" s="168"/>
      <c r="D99" s="16"/>
      <c r="E99" s="16"/>
      <c r="F99" s="168"/>
      <c r="G99" s="168"/>
      <c r="I99" s="168"/>
      <c r="J99" s="16"/>
      <c r="K99" s="16"/>
      <c r="L99" s="16"/>
    </row>
    <row r="100" spans="3:12" ht="15" x14ac:dyDescent="0.2">
      <c r="C100" s="331"/>
      <c r="D100" s="16"/>
      <c r="E100" s="16"/>
      <c r="F100" s="331"/>
      <c r="G100" s="331"/>
      <c r="I100" s="331"/>
      <c r="J100" s="16"/>
      <c r="K100" s="16"/>
      <c r="L100" s="16"/>
    </row>
    <row r="101" spans="3:12" ht="15" x14ac:dyDescent="0.2">
      <c r="C101" s="16"/>
      <c r="D101" s="16"/>
      <c r="E101" s="16"/>
      <c r="F101" s="16"/>
      <c r="G101" s="16"/>
      <c r="I101" s="16"/>
      <c r="J101" s="16"/>
      <c r="K101" s="16"/>
      <c r="L101" s="16"/>
    </row>
    <row r="102" spans="3:12" ht="15" x14ac:dyDescent="0.2">
      <c r="C102" s="171"/>
      <c r="D102" s="16"/>
      <c r="E102" s="16"/>
      <c r="F102" s="332"/>
      <c r="G102" s="332"/>
      <c r="I102" s="332"/>
      <c r="J102" s="16"/>
      <c r="K102" s="16"/>
      <c r="L102" s="16"/>
    </row>
    <row r="103" spans="3:12" ht="15" x14ac:dyDescent="0.2">
      <c r="C103" s="171"/>
      <c r="D103" s="16"/>
      <c r="E103" s="16"/>
      <c r="F103" s="328"/>
      <c r="G103" s="328"/>
      <c r="I103" s="328"/>
      <c r="J103" s="16"/>
      <c r="K103" s="16"/>
      <c r="L103" s="16"/>
    </row>
    <row r="104" spans="3:12" ht="15" x14ac:dyDescent="0.2">
      <c r="C104" s="168"/>
      <c r="D104" s="16"/>
      <c r="E104" s="16"/>
      <c r="F104" s="328"/>
      <c r="G104" s="328"/>
      <c r="I104" s="328"/>
      <c r="J104" s="16"/>
      <c r="K104" s="16"/>
      <c r="L104" s="16"/>
    </row>
    <row r="105" spans="3:12" ht="15" x14ac:dyDescent="0.2">
      <c r="C105" s="171"/>
      <c r="D105" s="16"/>
      <c r="E105" s="16"/>
      <c r="F105" s="328"/>
      <c r="G105" s="328"/>
      <c r="I105" s="328"/>
      <c r="J105" s="16"/>
      <c r="K105" s="16"/>
      <c r="L105" s="16"/>
    </row>
    <row r="106" spans="3:12" ht="15" x14ac:dyDescent="0.2">
      <c r="C106" s="168"/>
      <c r="D106" s="16"/>
      <c r="E106" s="16"/>
      <c r="F106" s="328"/>
      <c r="G106" s="328"/>
      <c r="I106" s="328"/>
      <c r="J106" s="16"/>
      <c r="K106" s="16"/>
      <c r="L106" s="16"/>
    </row>
    <row r="107" spans="3:12" ht="15" x14ac:dyDescent="0.2">
      <c r="C107" s="168"/>
      <c r="D107" s="16"/>
      <c r="E107" s="16"/>
      <c r="F107" s="328"/>
      <c r="G107" s="328"/>
      <c r="I107" s="328"/>
      <c r="J107" s="16"/>
      <c r="K107" s="16"/>
      <c r="L107" s="16"/>
    </row>
    <row r="108" spans="3:12" ht="15" x14ac:dyDescent="0.2">
      <c r="C108" s="168"/>
      <c r="D108" s="16"/>
      <c r="E108" s="16"/>
      <c r="F108" s="328"/>
      <c r="G108" s="328"/>
      <c r="I108" s="328"/>
      <c r="J108" s="16"/>
      <c r="K108" s="16"/>
      <c r="L108" s="16"/>
    </row>
    <row r="109" spans="3:12" ht="15" x14ac:dyDescent="0.2">
      <c r="C109" s="168"/>
      <c r="D109" s="16"/>
      <c r="E109" s="16"/>
      <c r="F109" s="328"/>
      <c r="G109" s="328"/>
      <c r="I109" s="328"/>
      <c r="J109" s="16"/>
      <c r="K109" s="16"/>
      <c r="L109" s="16"/>
    </row>
    <row r="110" spans="3:12" ht="15" x14ac:dyDescent="0.2">
      <c r="C110" s="168"/>
      <c r="D110" s="16"/>
      <c r="E110" s="16"/>
      <c r="F110" s="328"/>
      <c r="G110" s="328"/>
      <c r="I110" s="328"/>
      <c r="J110" s="16"/>
      <c r="K110" s="16"/>
      <c r="L110" s="16"/>
    </row>
    <row r="111" spans="3:12" ht="15" x14ac:dyDescent="0.2">
      <c r="C111" s="168"/>
      <c r="D111" s="16"/>
      <c r="E111" s="16"/>
      <c r="F111" s="328"/>
      <c r="G111" s="328"/>
      <c r="I111" s="328"/>
      <c r="J111" s="16"/>
      <c r="K111" s="16"/>
      <c r="L111" s="16"/>
    </row>
    <row r="112" spans="3:12" ht="15" x14ac:dyDescent="0.2">
      <c r="C112" s="16"/>
      <c r="D112" s="16"/>
      <c r="E112" s="16"/>
      <c r="F112" s="328"/>
      <c r="G112" s="328"/>
      <c r="I112" s="328"/>
      <c r="J112" s="16"/>
      <c r="K112" s="16"/>
      <c r="L112" s="16"/>
    </row>
    <row r="113" spans="3:12" ht="15" x14ac:dyDescent="0.2">
      <c r="C113" s="16"/>
      <c r="D113" s="16"/>
      <c r="E113" s="16"/>
      <c r="F113" s="876"/>
      <c r="G113" s="876"/>
      <c r="H113" s="876"/>
      <c r="I113" s="16"/>
      <c r="J113" s="876"/>
      <c r="K113" s="876"/>
      <c r="L113" s="876"/>
    </row>
    <row r="114" spans="3:12" ht="15" x14ac:dyDescent="0.2">
      <c r="C114" s="16"/>
      <c r="D114" s="16"/>
      <c r="E114" s="16"/>
      <c r="F114" s="329"/>
      <c r="G114" s="329"/>
      <c r="H114" s="329"/>
      <c r="I114" s="16"/>
      <c r="J114" s="329"/>
      <c r="K114" s="329"/>
      <c r="L114" s="329"/>
    </row>
    <row r="115" spans="3:12" ht="15" x14ac:dyDescent="0.2">
      <c r="C115" s="330"/>
      <c r="D115" s="16"/>
      <c r="E115" s="16"/>
      <c r="F115" s="331"/>
      <c r="G115" s="331"/>
      <c r="H115" s="331"/>
      <c r="I115" s="16"/>
      <c r="J115" s="331"/>
      <c r="K115" s="331"/>
      <c r="L115" s="331"/>
    </row>
    <row r="116" spans="3:12" ht="15" x14ac:dyDescent="0.2">
      <c r="C116" s="16"/>
      <c r="D116" s="16"/>
      <c r="E116" s="16"/>
      <c r="F116" s="16"/>
      <c r="G116" s="16"/>
      <c r="H116" s="16"/>
      <c r="I116" s="16"/>
      <c r="J116" s="16"/>
      <c r="K116" s="16"/>
      <c r="L116" s="16"/>
    </row>
    <row r="117" spans="3:12" ht="15" x14ac:dyDescent="0.2">
      <c r="C117" s="16"/>
      <c r="D117" s="16"/>
      <c r="E117" s="16"/>
      <c r="F117" s="168"/>
      <c r="G117" s="325"/>
      <c r="H117" s="168"/>
      <c r="I117" s="16"/>
      <c r="J117" s="333"/>
      <c r="K117" s="325"/>
      <c r="L117" s="325"/>
    </row>
    <row r="118" spans="3:12" ht="15" x14ac:dyDescent="0.2">
      <c r="C118" s="16"/>
      <c r="D118" s="16"/>
      <c r="E118" s="16"/>
      <c r="F118" s="334"/>
      <c r="G118" s="327"/>
      <c r="H118" s="338"/>
      <c r="I118" s="16"/>
      <c r="J118" s="336"/>
      <c r="K118" s="327"/>
      <c r="L118" s="327"/>
    </row>
    <row r="119" spans="3:12" ht="15" x14ac:dyDescent="0.2">
      <c r="C119" s="16"/>
      <c r="D119" s="16"/>
      <c r="E119" s="16"/>
      <c r="F119" s="328"/>
      <c r="G119" s="327"/>
      <c r="H119" s="339"/>
      <c r="I119" s="16"/>
      <c r="J119" s="336"/>
      <c r="K119" s="327"/>
      <c r="L119" s="327"/>
    </row>
    <row r="120" spans="3:12" ht="15" x14ac:dyDescent="0.2">
      <c r="C120" s="16"/>
      <c r="D120" s="16"/>
      <c r="E120" s="16"/>
      <c r="F120" s="327"/>
      <c r="G120" s="327"/>
      <c r="H120" s="337"/>
      <c r="I120" s="16"/>
      <c r="J120" s="336"/>
      <c r="K120" s="327"/>
      <c r="L120" s="327"/>
    </row>
    <row r="121" spans="3:12" ht="15" x14ac:dyDescent="0.2">
      <c r="C121" s="16"/>
      <c r="D121" s="16"/>
      <c r="E121" s="16"/>
      <c r="F121" s="327"/>
      <c r="G121" s="327"/>
      <c r="H121" s="337"/>
      <c r="I121" s="16"/>
      <c r="J121" s="327"/>
      <c r="K121" s="327"/>
      <c r="L121" s="327"/>
    </row>
    <row r="123" spans="3:12" ht="15" x14ac:dyDescent="0.2">
      <c r="C123" s="871"/>
      <c r="D123" s="871"/>
      <c r="E123" s="871"/>
      <c r="F123" s="871"/>
      <c r="G123" s="871"/>
      <c r="H123" s="871"/>
      <c r="I123" s="871"/>
      <c r="J123" s="871"/>
      <c r="K123" s="871"/>
      <c r="L123" s="871"/>
    </row>
    <row r="125" spans="3:12" ht="15" x14ac:dyDescent="0.2">
      <c r="C125" s="871"/>
      <c r="D125" s="871"/>
      <c r="E125" s="871"/>
      <c r="F125" s="871"/>
      <c r="G125" s="871"/>
      <c r="H125" s="871"/>
      <c r="I125" s="871"/>
      <c r="J125" s="871"/>
      <c r="K125" s="871"/>
      <c r="L125" s="871"/>
    </row>
    <row r="126" spans="3:12" ht="15" x14ac:dyDescent="0.2">
      <c r="C126" s="847"/>
      <c r="D126" s="847"/>
      <c r="E126" s="847"/>
      <c r="F126" s="847"/>
      <c r="G126" s="847"/>
      <c r="H126" s="847"/>
      <c r="I126" s="847"/>
      <c r="J126" s="847"/>
      <c r="K126" s="847"/>
      <c r="L126" s="847"/>
    </row>
    <row r="127" spans="3:12" ht="15" x14ac:dyDescent="0.2">
      <c r="C127" s="168"/>
      <c r="D127" s="168"/>
      <c r="E127" s="168"/>
      <c r="F127" s="168"/>
      <c r="G127" s="168"/>
      <c r="H127" s="168"/>
      <c r="I127" s="168"/>
      <c r="J127" s="168"/>
      <c r="K127" s="168"/>
      <c r="L127" s="168"/>
    </row>
    <row r="128" spans="3:12" ht="15" x14ac:dyDescent="0.2">
      <c r="C128" s="16"/>
      <c r="D128" s="16"/>
      <c r="E128" s="16"/>
      <c r="F128" s="16"/>
      <c r="G128" s="16"/>
      <c r="H128" s="16"/>
      <c r="I128" s="16"/>
      <c r="J128" s="16"/>
      <c r="K128" s="16"/>
      <c r="L128" s="16"/>
    </row>
    <row r="129" spans="3:12" ht="15" x14ac:dyDescent="0.2">
      <c r="C129" s="330"/>
      <c r="D129" s="16"/>
      <c r="E129" s="16"/>
      <c r="F129" s="16"/>
      <c r="G129" s="16"/>
      <c r="H129" s="16"/>
      <c r="I129" s="16"/>
      <c r="J129" s="16"/>
      <c r="K129" s="16"/>
      <c r="L129" s="16"/>
    </row>
    <row r="130" spans="3:12" ht="9.75" customHeight="1" x14ac:dyDescent="0.2">
      <c r="C130" s="16"/>
      <c r="D130" s="16"/>
      <c r="E130" s="16"/>
      <c r="F130" s="168"/>
      <c r="G130" s="16"/>
      <c r="H130" s="16"/>
      <c r="I130" s="16"/>
      <c r="J130" s="16"/>
      <c r="K130" s="16"/>
      <c r="L130" s="16"/>
    </row>
    <row r="131" spans="3:12" ht="15" x14ac:dyDescent="0.2">
      <c r="C131" s="168"/>
      <c r="D131" s="16"/>
      <c r="E131" s="16"/>
      <c r="F131" s="877"/>
      <c r="G131" s="877"/>
      <c r="H131" s="877"/>
      <c r="I131" s="877"/>
      <c r="J131" s="16"/>
      <c r="K131" s="16"/>
      <c r="L131" s="168"/>
    </row>
    <row r="132" spans="3:12" ht="15" x14ac:dyDescent="0.2">
      <c r="C132" s="331"/>
      <c r="D132" s="16"/>
      <c r="E132" s="16"/>
      <c r="F132" s="331"/>
      <c r="G132" s="331"/>
      <c r="H132" s="331"/>
      <c r="I132" s="331"/>
      <c r="J132" s="16"/>
      <c r="K132" s="16"/>
      <c r="L132" s="331"/>
    </row>
    <row r="133" spans="3:12" ht="15" x14ac:dyDescent="0.2">
      <c r="C133" s="16"/>
      <c r="D133" s="16"/>
      <c r="E133" s="16"/>
      <c r="F133" s="16"/>
      <c r="G133" s="16"/>
      <c r="J133" s="16"/>
      <c r="K133" s="16"/>
      <c r="L133" s="16"/>
    </row>
    <row r="134" spans="3:12" ht="15" x14ac:dyDescent="0.2">
      <c r="C134" s="171"/>
      <c r="D134" s="16"/>
      <c r="E134" s="16"/>
      <c r="F134" s="332"/>
      <c r="G134" s="332"/>
      <c r="H134" s="332"/>
      <c r="I134" s="332"/>
      <c r="J134" s="16"/>
      <c r="K134" s="16"/>
      <c r="L134" s="332"/>
    </row>
    <row r="135" spans="3:12" ht="15" x14ac:dyDescent="0.2">
      <c r="C135" s="171"/>
      <c r="D135" s="16"/>
      <c r="E135" s="16"/>
      <c r="F135" s="328"/>
      <c r="G135" s="328"/>
      <c r="H135" s="328"/>
      <c r="I135" s="328"/>
      <c r="J135" s="16"/>
      <c r="K135" s="16"/>
      <c r="L135" s="328"/>
    </row>
    <row r="136" spans="3:12" ht="15" x14ac:dyDescent="0.2">
      <c r="C136" s="168"/>
      <c r="D136" s="16"/>
      <c r="E136" s="16"/>
      <c r="F136" s="328"/>
      <c r="G136" s="328"/>
      <c r="H136" s="328"/>
      <c r="I136" s="328"/>
      <c r="J136" s="16"/>
      <c r="K136" s="16"/>
      <c r="L136" s="328"/>
    </row>
    <row r="137" spans="3:12" ht="15" x14ac:dyDescent="0.2">
      <c r="C137" s="171"/>
      <c r="D137" s="16"/>
      <c r="E137" s="16"/>
      <c r="F137" s="328"/>
      <c r="G137" s="328"/>
      <c r="H137" s="328"/>
      <c r="I137" s="328"/>
      <c r="J137" s="16"/>
      <c r="K137" s="16"/>
      <c r="L137" s="328"/>
    </row>
    <row r="138" spans="3:12" ht="15" x14ac:dyDescent="0.2">
      <c r="C138" s="168"/>
      <c r="D138" s="16"/>
      <c r="E138" s="16"/>
      <c r="F138" s="328"/>
      <c r="G138" s="328"/>
      <c r="H138" s="328"/>
      <c r="I138" s="328"/>
      <c r="J138" s="16"/>
      <c r="K138" s="16"/>
      <c r="L138" s="328"/>
    </row>
    <row r="139" spans="3:12" ht="15" x14ac:dyDescent="0.2">
      <c r="C139" s="168"/>
      <c r="D139" s="16"/>
      <c r="E139" s="16"/>
      <c r="F139" s="328"/>
      <c r="G139" s="328"/>
      <c r="H139" s="328"/>
      <c r="I139" s="328"/>
      <c r="J139" s="16"/>
      <c r="K139" s="16"/>
      <c r="L139" s="328"/>
    </row>
    <row r="140" spans="3:12" ht="15" x14ac:dyDescent="0.2">
      <c r="C140" s="168"/>
      <c r="D140" s="16"/>
      <c r="E140" s="16"/>
      <c r="F140" s="328"/>
      <c r="G140" s="328"/>
      <c r="H140" s="328"/>
      <c r="I140" s="328"/>
      <c r="J140" s="16"/>
      <c r="K140" s="16"/>
      <c r="L140" s="328"/>
    </row>
    <row r="141" spans="3:12" ht="15" x14ac:dyDescent="0.2">
      <c r="C141" s="168"/>
      <c r="D141" s="16"/>
      <c r="E141" s="16"/>
      <c r="F141" s="328"/>
      <c r="G141" s="328"/>
      <c r="H141" s="328"/>
      <c r="I141" s="328"/>
      <c r="J141" s="16"/>
      <c r="K141" s="16"/>
      <c r="L141" s="328"/>
    </row>
    <row r="142" spans="3:12" ht="15" x14ac:dyDescent="0.2">
      <c r="C142" s="168"/>
      <c r="D142" s="16"/>
      <c r="E142" s="16"/>
      <c r="F142" s="328"/>
      <c r="G142" s="328"/>
      <c r="H142" s="328"/>
      <c r="I142" s="328"/>
      <c r="J142" s="16"/>
      <c r="K142" s="16"/>
      <c r="L142" s="328"/>
    </row>
    <row r="143" spans="3:12" ht="15" x14ac:dyDescent="0.2">
      <c r="C143" s="168"/>
      <c r="D143" s="16"/>
      <c r="E143" s="16"/>
      <c r="F143" s="328"/>
      <c r="G143" s="328"/>
      <c r="I143" s="328"/>
      <c r="J143" s="16"/>
      <c r="K143" s="16"/>
      <c r="L143" s="16"/>
    </row>
    <row r="144" spans="3:12" ht="15" x14ac:dyDescent="0.2">
      <c r="C144" s="16"/>
      <c r="D144" s="16"/>
      <c r="E144" s="16"/>
      <c r="F144" s="328"/>
      <c r="G144" s="328"/>
      <c r="I144" s="328"/>
      <c r="J144" s="16"/>
      <c r="K144" s="16"/>
      <c r="L144" s="16"/>
    </row>
    <row r="145" spans="3:12" ht="15" x14ac:dyDescent="0.2">
      <c r="C145" s="16"/>
      <c r="D145" s="16"/>
      <c r="E145" s="16"/>
      <c r="F145" s="876"/>
      <c r="G145" s="876"/>
      <c r="H145" s="876"/>
      <c r="I145" s="16"/>
      <c r="J145" s="876"/>
      <c r="K145" s="876"/>
      <c r="L145" s="876"/>
    </row>
    <row r="146" spans="3:12" ht="15" x14ac:dyDescent="0.2">
      <c r="C146" s="16"/>
      <c r="D146" s="16"/>
      <c r="E146" s="16"/>
      <c r="F146" s="329"/>
      <c r="G146" s="329"/>
      <c r="H146" s="329"/>
      <c r="I146" s="16"/>
      <c r="J146" s="329"/>
      <c r="K146" s="329"/>
      <c r="L146" s="329"/>
    </row>
    <row r="147" spans="3:12" ht="15" x14ac:dyDescent="0.2">
      <c r="C147" s="330"/>
      <c r="D147" s="16"/>
      <c r="E147" s="16"/>
      <c r="F147" s="331"/>
      <c r="G147" s="331"/>
      <c r="H147" s="331"/>
      <c r="I147" s="16"/>
      <c r="J147" s="331"/>
      <c r="K147" s="331"/>
      <c r="L147" s="331"/>
    </row>
    <row r="148" spans="3:12" ht="8.25" customHeight="1" x14ac:dyDescent="0.2">
      <c r="C148" s="16"/>
      <c r="D148" s="16"/>
      <c r="E148" s="16"/>
      <c r="F148" s="16"/>
      <c r="G148" s="16"/>
      <c r="H148" s="16"/>
      <c r="I148" s="16"/>
      <c r="J148" s="16"/>
      <c r="K148" s="16"/>
      <c r="L148" s="16"/>
    </row>
    <row r="149" spans="3:12" ht="15" x14ac:dyDescent="0.2">
      <c r="C149" s="16"/>
      <c r="D149" s="16"/>
      <c r="E149" s="16"/>
      <c r="F149" s="168"/>
      <c r="G149" s="325"/>
      <c r="H149" s="168"/>
      <c r="I149" s="16"/>
      <c r="J149" s="333"/>
      <c r="K149" s="325"/>
      <c r="L149" s="325"/>
    </row>
    <row r="150" spans="3:12" ht="15" x14ac:dyDescent="0.2">
      <c r="C150" s="16"/>
      <c r="D150" s="16"/>
      <c r="E150" s="16"/>
      <c r="F150" s="334"/>
      <c r="G150" s="327"/>
      <c r="H150" s="335"/>
      <c r="I150" s="16"/>
      <c r="J150" s="336"/>
      <c r="K150" s="327"/>
      <c r="L150" s="327"/>
    </row>
    <row r="151" spans="3:12" ht="15" x14ac:dyDescent="0.2">
      <c r="C151" s="16"/>
      <c r="D151" s="16"/>
      <c r="E151" s="16"/>
      <c r="F151" s="328"/>
      <c r="G151" s="327"/>
      <c r="H151" s="337"/>
      <c r="I151" s="16"/>
      <c r="J151" s="336"/>
      <c r="K151" s="327"/>
      <c r="L151" s="327"/>
    </row>
    <row r="152" spans="3:12" ht="15" x14ac:dyDescent="0.2">
      <c r="C152" s="16"/>
      <c r="D152" s="16"/>
      <c r="E152" s="16"/>
      <c r="F152" s="328"/>
      <c r="G152" s="327"/>
      <c r="H152" s="337"/>
      <c r="I152" s="16"/>
      <c r="J152" s="336"/>
      <c r="K152" s="327"/>
      <c r="L152" s="327"/>
    </row>
    <row r="153" spans="3:12" ht="15" x14ac:dyDescent="0.2">
      <c r="C153" s="16"/>
      <c r="D153" s="16"/>
      <c r="E153" s="16"/>
      <c r="F153" s="328"/>
      <c r="G153" s="327"/>
      <c r="H153" s="337"/>
      <c r="I153" s="16"/>
      <c r="J153" s="336"/>
      <c r="K153" s="327"/>
      <c r="L153" s="327"/>
    </row>
    <row r="154" spans="3:12" ht="15" x14ac:dyDescent="0.2">
      <c r="C154" s="16"/>
      <c r="D154" s="16"/>
      <c r="E154" s="16"/>
      <c r="F154" s="328"/>
      <c r="G154" s="327"/>
      <c r="H154" s="337"/>
      <c r="I154" s="16"/>
      <c r="J154" s="336"/>
      <c r="K154" s="327"/>
      <c r="L154" s="327"/>
    </row>
    <row r="155" spans="3:12" ht="15" x14ac:dyDescent="0.2">
      <c r="C155" s="16"/>
      <c r="D155" s="16"/>
      <c r="E155" s="16"/>
      <c r="F155" s="328"/>
      <c r="G155" s="327"/>
      <c r="H155" s="337"/>
      <c r="I155" s="16"/>
      <c r="J155" s="336"/>
      <c r="K155" s="327"/>
      <c r="L155" s="327"/>
    </row>
    <row r="156" spans="3:12" ht="15" x14ac:dyDescent="0.2">
      <c r="C156" s="16"/>
      <c r="D156" s="16"/>
      <c r="E156" s="16"/>
      <c r="F156" s="327"/>
      <c r="G156" s="327"/>
      <c r="H156" s="337"/>
      <c r="I156" s="16"/>
      <c r="J156" s="336"/>
      <c r="K156" s="327"/>
      <c r="L156" s="327"/>
    </row>
    <row r="157" spans="3:12" ht="15" x14ac:dyDescent="0.2">
      <c r="C157" s="16"/>
      <c r="D157" s="16"/>
      <c r="E157" s="16"/>
      <c r="F157" s="327"/>
      <c r="G157" s="327"/>
      <c r="H157" s="337"/>
      <c r="I157" s="16"/>
      <c r="J157" s="327"/>
      <c r="K157" s="327"/>
      <c r="L157" s="327"/>
    </row>
    <row r="158" spans="3:12" ht="9.75" customHeight="1" x14ac:dyDescent="0.2">
      <c r="C158" s="16"/>
      <c r="D158" s="16"/>
      <c r="E158" s="16"/>
      <c r="F158" s="328"/>
      <c r="G158" s="328"/>
      <c r="I158" s="16"/>
      <c r="J158" s="16"/>
      <c r="K158" s="16"/>
      <c r="L158" s="16"/>
    </row>
    <row r="159" spans="3:12" ht="15" x14ac:dyDescent="0.2">
      <c r="C159" s="330"/>
      <c r="D159" s="16"/>
      <c r="E159" s="16"/>
      <c r="F159" s="331"/>
      <c r="G159" s="331"/>
      <c r="H159" s="331"/>
      <c r="I159" s="16"/>
      <c r="J159" s="331"/>
      <c r="K159" s="331"/>
      <c r="L159" s="331"/>
    </row>
    <row r="160" spans="3:12" ht="9.1999999999999993" customHeight="1" x14ac:dyDescent="0.2">
      <c r="C160" s="16"/>
      <c r="D160" s="16"/>
      <c r="E160" s="16"/>
      <c r="F160" s="16"/>
      <c r="G160" s="16"/>
      <c r="H160" s="16"/>
      <c r="I160" s="16"/>
      <c r="J160" s="16"/>
      <c r="K160" s="16"/>
      <c r="L160" s="16"/>
    </row>
    <row r="161" spans="3:12" ht="15" x14ac:dyDescent="0.2">
      <c r="C161" s="16"/>
      <c r="D161" s="16"/>
      <c r="E161" s="16"/>
      <c r="F161" s="168"/>
      <c r="G161" s="325"/>
      <c r="H161" s="168"/>
      <c r="I161" s="16"/>
      <c r="J161" s="333"/>
      <c r="K161" s="325"/>
      <c r="L161" s="325"/>
    </row>
    <row r="162" spans="3:12" ht="15" x14ac:dyDescent="0.2">
      <c r="C162" s="16"/>
      <c r="D162" s="16"/>
      <c r="E162" s="16"/>
      <c r="F162" s="334"/>
      <c r="G162" s="327"/>
      <c r="H162" s="338"/>
      <c r="I162" s="16"/>
      <c r="J162" s="336"/>
      <c r="K162" s="327"/>
      <c r="L162" s="327"/>
    </row>
    <row r="163" spans="3:12" ht="15" x14ac:dyDescent="0.2">
      <c r="C163" s="16"/>
      <c r="D163" s="16"/>
      <c r="E163" s="16"/>
      <c r="F163" s="328"/>
      <c r="G163" s="327"/>
      <c r="H163" s="339"/>
      <c r="I163" s="16"/>
      <c r="J163" s="336"/>
      <c r="K163" s="327"/>
      <c r="L163" s="327"/>
    </row>
    <row r="164" spans="3:12" ht="15" x14ac:dyDescent="0.2">
      <c r="C164" s="16"/>
      <c r="D164" s="16"/>
      <c r="E164" s="16"/>
      <c r="F164" s="327"/>
      <c r="G164" s="327"/>
      <c r="H164" s="337"/>
      <c r="I164" s="16"/>
      <c r="J164" s="336"/>
      <c r="K164" s="327"/>
      <c r="L164" s="327"/>
    </row>
    <row r="165" spans="3:12" ht="15" customHeight="1" x14ac:dyDescent="0.2">
      <c r="F165" s="327"/>
      <c r="G165" s="327"/>
      <c r="H165" s="337"/>
      <c r="I165" s="16"/>
      <c r="J165" s="327"/>
      <c r="K165" s="327"/>
      <c r="L165" s="327"/>
    </row>
    <row r="166" spans="3:12" ht="8.25" customHeight="1" x14ac:dyDescent="0.2">
      <c r="C166" s="16"/>
      <c r="D166" s="16"/>
      <c r="E166" s="16"/>
      <c r="F166" s="328"/>
      <c r="G166" s="328"/>
      <c r="I166" s="16"/>
      <c r="J166" s="16"/>
      <c r="K166" s="16"/>
      <c r="L166" s="16"/>
    </row>
    <row r="167" spans="3:12" ht="15" x14ac:dyDescent="0.2">
      <c r="C167" s="330"/>
      <c r="D167" s="16"/>
      <c r="E167" s="16"/>
      <c r="F167" s="331"/>
      <c r="G167" s="331"/>
      <c r="H167" s="331"/>
      <c r="I167" s="16"/>
      <c r="J167" s="331"/>
      <c r="K167" s="331"/>
      <c r="L167" s="331"/>
    </row>
    <row r="168" spans="3:12" ht="7.5" customHeight="1" x14ac:dyDescent="0.2">
      <c r="C168" s="16"/>
      <c r="D168" s="16"/>
      <c r="E168" s="16"/>
      <c r="F168" s="16"/>
      <c r="G168" s="16"/>
      <c r="H168" s="16"/>
      <c r="I168" s="16"/>
      <c r="J168" s="16"/>
      <c r="K168" s="16"/>
      <c r="L168" s="16"/>
    </row>
    <row r="169" spans="3:12" ht="15" x14ac:dyDescent="0.2">
      <c r="C169" s="16"/>
      <c r="D169" s="16"/>
      <c r="E169" s="16"/>
      <c r="F169" s="168"/>
      <c r="G169" s="325"/>
      <c r="H169" s="168"/>
      <c r="I169" s="16"/>
      <c r="J169" s="333"/>
      <c r="K169" s="325"/>
      <c r="L169" s="325"/>
    </row>
    <row r="170" spans="3:12" ht="15" x14ac:dyDescent="0.2">
      <c r="C170" s="16"/>
      <c r="D170" s="16"/>
      <c r="E170" s="16"/>
      <c r="F170" s="334"/>
      <c r="G170" s="327"/>
      <c r="H170" s="338"/>
      <c r="I170" s="16"/>
      <c r="J170" s="336"/>
      <c r="K170" s="327"/>
      <c r="L170" s="327"/>
    </row>
    <row r="171" spans="3:12" ht="15" x14ac:dyDescent="0.2">
      <c r="C171" s="16"/>
      <c r="D171" s="16"/>
      <c r="E171" s="16"/>
      <c r="F171" s="328"/>
      <c r="G171" s="327"/>
      <c r="H171" s="339"/>
      <c r="I171" s="16"/>
      <c r="J171" s="336"/>
      <c r="K171" s="327"/>
      <c r="L171" s="327"/>
    </row>
    <row r="172" spans="3:12" ht="15" x14ac:dyDescent="0.2">
      <c r="C172" s="16"/>
      <c r="D172" s="16"/>
      <c r="E172" s="16"/>
      <c r="F172" s="327"/>
      <c r="G172" s="327"/>
      <c r="H172" s="337"/>
      <c r="I172" s="16"/>
      <c r="J172" s="336"/>
      <c r="K172" s="327"/>
      <c r="L172" s="327"/>
    </row>
  </sheetData>
  <mergeCells count="21">
    <mergeCell ref="J29:L29"/>
    <mergeCell ref="F29:H29"/>
    <mergeCell ref="C7:L7"/>
    <mergeCell ref="C9:L9"/>
    <mergeCell ref="C10:L10"/>
    <mergeCell ref="C91:L91"/>
    <mergeCell ref="C93:L93"/>
    <mergeCell ref="C94:L94"/>
    <mergeCell ref="F113:H113"/>
    <mergeCell ref="J113:L113"/>
    <mergeCell ref="C56:L56"/>
    <mergeCell ref="C58:L58"/>
    <mergeCell ref="C59:L59"/>
    <mergeCell ref="F78:H78"/>
    <mergeCell ref="J78:L78"/>
    <mergeCell ref="C123:L123"/>
    <mergeCell ref="C125:L125"/>
    <mergeCell ref="C126:L126"/>
    <mergeCell ref="F145:H145"/>
    <mergeCell ref="J145:L145"/>
    <mergeCell ref="F131:I131"/>
  </mergeCells>
  <phoneticPr fontId="14" type="noConversion"/>
  <pageMargins left="0.7" right="0.7" top="0.75" bottom="0.75" header="0.3" footer="0.3"/>
  <pageSetup orientation="portrait" r:id="rId1"/>
  <headerFooter>
    <oddHeader>&amp;R&amp;9KAW_R_PSCDR1_NUM014_Attachment 1
Case No. 2015-00418
Page &amp;P of &amp;N</oddHeader>
  </headerFooter>
  <rowBreaks count="3" manualBreakCount="3">
    <brk id="55" min="2" max="11" man="1"/>
    <brk id="90" min="2" max="11" man="1"/>
    <brk id="122" min="2" max="11"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1598"/>
  <sheetViews>
    <sheetView tabSelected="1" view="pageLayout" topLeftCell="B1" zoomScaleNormal="100" workbookViewId="0">
      <selection activeCell="M516" sqref="M516"/>
    </sheetView>
  </sheetViews>
  <sheetFormatPr defaultColWidth="9.77734375" defaultRowHeight="15" x14ac:dyDescent="0.2"/>
  <cols>
    <col min="1" max="1" width="9.6640625" style="16" bestFit="1" customWidth="1"/>
    <col min="2" max="3" width="7.77734375" style="16" customWidth="1"/>
    <col min="4" max="4" width="2" style="16" customWidth="1"/>
    <col min="5" max="5" width="8.6640625" style="16" customWidth="1"/>
    <col min="6" max="6" width="1.88671875" style="16" customWidth="1"/>
    <col min="7" max="7" width="8.6640625" style="16" customWidth="1"/>
    <col min="8" max="8" width="2" style="16" customWidth="1"/>
    <col min="9" max="9" width="8.6640625" style="16" customWidth="1"/>
    <col min="10" max="10" width="2" style="16" customWidth="1"/>
    <col min="11" max="11" width="8.6640625" style="16" customWidth="1"/>
    <col min="12" max="12" width="2" style="16" customWidth="1"/>
    <col min="13" max="13" width="8.6640625" style="16" customWidth="1"/>
    <col min="14" max="14" width="4.77734375" style="16" customWidth="1"/>
    <col min="15" max="15" width="10.5546875" style="16" customWidth="1"/>
    <col min="16" max="16" width="10.6640625" style="16" customWidth="1"/>
    <col min="17" max="17" width="9.77734375" style="16" customWidth="1"/>
    <col min="18" max="18" width="10.44140625" style="16" bestFit="1" customWidth="1"/>
    <col min="19" max="19" width="7.5546875" style="16" bestFit="1" customWidth="1"/>
    <col min="20" max="20" width="7.77734375" style="16" customWidth="1"/>
    <col min="21" max="21" width="10.77734375" style="16" customWidth="1"/>
    <col min="22" max="22" width="7.77734375" style="16" customWidth="1"/>
    <col min="23" max="23" width="8.77734375" style="16" customWidth="1"/>
    <col min="24" max="24" width="2.77734375" style="16" customWidth="1"/>
    <col min="25" max="25" width="9.77734375" style="16" customWidth="1"/>
    <col min="26" max="26" width="2.77734375" style="16" customWidth="1"/>
    <col min="27" max="27" width="7.77734375" style="16" customWidth="1"/>
    <col min="28" max="16384" width="9.77734375" style="16"/>
  </cols>
  <sheetData>
    <row r="1" spans="1:28" x14ac:dyDescent="0.2">
      <c r="B1" s="15" t="s">
        <v>7</v>
      </c>
      <c r="C1" s="15"/>
      <c r="D1" s="15"/>
      <c r="E1" s="15"/>
      <c r="F1" s="15"/>
      <c r="G1" s="15"/>
      <c r="H1" s="15"/>
      <c r="I1" s="15"/>
      <c r="J1" s="15"/>
      <c r="K1" s="15"/>
      <c r="L1" s="15"/>
      <c r="M1" s="15"/>
    </row>
    <row r="2" spans="1:28" x14ac:dyDescent="0.2">
      <c r="B2" s="15"/>
      <c r="C2" s="15"/>
      <c r="D2" s="15"/>
      <c r="E2" s="15"/>
      <c r="F2" s="15"/>
      <c r="G2" s="15"/>
      <c r="H2" s="15"/>
      <c r="I2" s="15"/>
      <c r="J2" s="15"/>
      <c r="K2" s="15"/>
      <c r="L2" s="15"/>
      <c r="M2" s="15"/>
    </row>
    <row r="3" spans="1:28" ht="13.35" customHeight="1" x14ac:dyDescent="0.2">
      <c r="B3" s="543" t="s">
        <v>197</v>
      </c>
      <c r="C3" s="543"/>
      <c r="D3" s="543"/>
      <c r="E3" s="543"/>
      <c r="F3" s="543"/>
      <c r="G3" s="543"/>
      <c r="H3" s="543"/>
      <c r="I3" s="543"/>
      <c r="J3" s="543"/>
      <c r="K3" s="543"/>
      <c r="L3" s="543"/>
      <c r="M3" s="543"/>
      <c r="N3" s="2"/>
      <c r="O3" s="2"/>
      <c r="P3" s="2"/>
      <c r="Q3" s="2"/>
      <c r="R3" s="2"/>
      <c r="S3" s="2"/>
      <c r="T3" s="2"/>
      <c r="U3" s="2"/>
      <c r="V3" s="2"/>
      <c r="W3" s="2"/>
      <c r="X3" s="2"/>
      <c r="Y3" s="2"/>
      <c r="Z3" s="2"/>
      <c r="AA3" s="2"/>
      <c r="AB3" s="2"/>
    </row>
    <row r="4" spans="1:28" ht="13.35" customHeight="1" x14ac:dyDescent="0.2">
      <c r="B4" s="544"/>
      <c r="C4" s="544"/>
      <c r="D4" s="544"/>
      <c r="E4" s="544"/>
      <c r="F4" s="544"/>
      <c r="G4" s="544"/>
      <c r="H4" s="544"/>
      <c r="I4" s="544"/>
      <c r="J4" s="544"/>
      <c r="K4" s="544"/>
      <c r="L4" s="544"/>
      <c r="M4" s="544"/>
      <c r="N4" s="2"/>
      <c r="O4" s="2"/>
      <c r="P4" s="2"/>
      <c r="Q4" s="2"/>
      <c r="R4" s="2"/>
      <c r="S4" s="2"/>
      <c r="T4" s="2"/>
      <c r="U4" s="2"/>
      <c r="V4" s="2"/>
      <c r="W4" s="2"/>
      <c r="X4" s="2"/>
      <c r="Y4" s="2"/>
      <c r="Z4" s="2"/>
      <c r="AA4" s="2"/>
      <c r="AB4" s="2"/>
    </row>
    <row r="5" spans="1:28" ht="13.35" customHeight="1" x14ac:dyDescent="0.2">
      <c r="B5" s="544" t="s">
        <v>964</v>
      </c>
      <c r="C5" s="544"/>
      <c r="D5" s="544"/>
      <c r="E5" s="544"/>
      <c r="F5" s="544"/>
      <c r="G5" s="544"/>
      <c r="H5" s="544"/>
      <c r="I5" s="544"/>
      <c r="J5" s="544"/>
      <c r="K5" s="544"/>
      <c r="L5" s="544"/>
      <c r="M5" s="544"/>
      <c r="N5" s="2"/>
      <c r="O5" s="2"/>
      <c r="P5" s="2"/>
      <c r="Q5" s="2"/>
      <c r="R5" s="2"/>
      <c r="S5" s="2"/>
      <c r="T5" s="2"/>
      <c r="U5" s="2"/>
      <c r="V5" s="2"/>
      <c r="W5" s="2"/>
      <c r="X5" s="2"/>
      <c r="Y5" s="2"/>
      <c r="Z5" s="2"/>
      <c r="AA5" s="2"/>
      <c r="AB5" s="2"/>
    </row>
    <row r="6" spans="1:28" ht="13.35" customHeight="1" x14ac:dyDescent="0.2">
      <c r="B6" s="544" t="s">
        <v>965</v>
      </c>
      <c r="C6" s="544"/>
      <c r="D6" s="544"/>
      <c r="E6" s="544"/>
      <c r="F6" s="544"/>
      <c r="G6" s="544"/>
      <c r="H6" s="544"/>
      <c r="I6" s="544"/>
      <c r="J6" s="544"/>
      <c r="K6" s="544"/>
      <c r="L6" s="544"/>
      <c r="M6" s="544"/>
      <c r="N6" s="2"/>
      <c r="O6" s="2"/>
      <c r="P6" s="2"/>
      <c r="Q6" s="2"/>
      <c r="R6" s="2"/>
      <c r="S6" s="2"/>
      <c r="T6" s="2"/>
      <c r="U6" s="2"/>
      <c r="V6" s="2"/>
      <c r="W6" s="2"/>
      <c r="X6" s="2"/>
      <c r="Y6" s="2"/>
      <c r="Z6" s="2"/>
      <c r="AA6" s="2"/>
      <c r="AB6" s="2"/>
    </row>
    <row r="7" spans="1:28" ht="13.35" customHeight="1" x14ac:dyDescent="0.2">
      <c r="B7" s="544"/>
      <c r="C7" s="544"/>
      <c r="D7" s="544"/>
      <c r="E7" s="544"/>
      <c r="F7" s="544"/>
      <c r="G7" s="544"/>
      <c r="H7" s="544"/>
      <c r="I7" s="544"/>
      <c r="J7" s="544"/>
      <c r="K7" s="544"/>
      <c r="L7" s="544"/>
      <c r="M7" s="544"/>
      <c r="N7" s="2"/>
      <c r="O7" s="2"/>
      <c r="P7" s="2"/>
      <c r="Q7" s="2"/>
      <c r="R7" s="2"/>
      <c r="S7" s="2"/>
      <c r="T7" s="2"/>
      <c r="U7" s="2"/>
      <c r="V7" s="2"/>
      <c r="W7" s="2"/>
      <c r="X7" s="2"/>
      <c r="Y7" s="2"/>
      <c r="Z7" s="2"/>
      <c r="AA7" s="2"/>
      <c r="AB7" s="2"/>
    </row>
    <row r="8" spans="1:28" ht="27.6" customHeight="1" x14ac:dyDescent="0.2">
      <c r="B8" s="848" t="s">
        <v>198</v>
      </c>
      <c r="C8" s="848"/>
      <c r="D8" s="848"/>
      <c r="E8" s="848"/>
      <c r="F8" s="848"/>
      <c r="G8" s="848"/>
      <c r="H8" s="848"/>
      <c r="I8" s="848"/>
      <c r="J8" s="848"/>
      <c r="K8" s="848"/>
      <c r="L8" s="848"/>
      <c r="M8" s="848"/>
      <c r="N8" s="2"/>
      <c r="O8" s="2"/>
      <c r="P8" s="2"/>
      <c r="Q8" s="2"/>
      <c r="R8" s="2"/>
      <c r="S8" s="2"/>
      <c r="T8" s="2"/>
      <c r="U8" s="2"/>
      <c r="V8" s="2"/>
      <c r="W8" s="2"/>
      <c r="X8" s="2"/>
      <c r="Y8" s="2"/>
      <c r="Z8" s="2"/>
      <c r="AA8" s="2"/>
      <c r="AB8" s="2"/>
    </row>
    <row r="9" spans="1:28" ht="10.7" customHeight="1" x14ac:dyDescent="0.2">
      <c r="B9" s="544"/>
      <c r="C9" s="544"/>
      <c r="D9" s="544"/>
      <c r="E9" s="544"/>
      <c r="F9" s="544"/>
      <c r="G9" s="544"/>
      <c r="H9" s="544"/>
      <c r="I9" s="544"/>
      <c r="J9" s="544"/>
      <c r="K9" s="544"/>
      <c r="L9" s="544"/>
      <c r="M9" s="544"/>
      <c r="N9" s="2"/>
      <c r="O9" s="2"/>
      <c r="P9" s="2"/>
      <c r="Q9" s="2"/>
      <c r="R9" s="2"/>
      <c r="S9" s="2"/>
      <c r="T9" s="2"/>
      <c r="U9" s="2"/>
      <c r="V9" s="2"/>
      <c r="W9" s="2"/>
      <c r="X9" s="2"/>
      <c r="Y9" s="2"/>
      <c r="Z9" s="2"/>
      <c r="AA9" s="2"/>
      <c r="AB9" s="2"/>
    </row>
    <row r="10" spans="1:28" ht="13.35" customHeight="1" x14ac:dyDescent="0.2">
      <c r="B10" s="544"/>
      <c r="C10" s="544"/>
      <c r="D10" s="544"/>
      <c r="E10" s="544"/>
      <c r="F10" s="543" t="s">
        <v>199</v>
      </c>
      <c r="G10" s="543"/>
      <c r="H10" s="543"/>
      <c r="I10" s="544"/>
      <c r="J10" s="544"/>
      <c r="K10" s="544"/>
      <c r="L10" s="544"/>
      <c r="M10" s="544"/>
      <c r="N10" s="2"/>
      <c r="O10" s="2"/>
      <c r="P10" s="2"/>
      <c r="Q10" s="2"/>
      <c r="R10" s="2"/>
      <c r="S10" s="2"/>
      <c r="T10" s="2"/>
      <c r="U10" s="2"/>
      <c r="V10" s="2"/>
      <c r="W10" s="2"/>
      <c r="X10" s="2"/>
      <c r="Y10" s="2"/>
      <c r="Z10" s="2"/>
      <c r="AA10" s="2"/>
      <c r="AB10" s="2"/>
    </row>
    <row r="11" spans="1:28" ht="13.35" customHeight="1" x14ac:dyDescent="0.2">
      <c r="B11" s="543" t="s">
        <v>200</v>
      </c>
      <c r="C11" s="543"/>
      <c r="D11" s="544"/>
      <c r="E11" s="544"/>
      <c r="F11" s="543" t="s">
        <v>201</v>
      </c>
      <c r="G11" s="543"/>
      <c r="H11" s="543"/>
      <c r="I11" s="544"/>
      <c r="J11" s="543" t="s">
        <v>202</v>
      </c>
      <c r="K11" s="543"/>
      <c r="L11" s="543"/>
      <c r="M11" s="544"/>
      <c r="N11" s="2"/>
      <c r="O11" s="2"/>
      <c r="P11" s="393"/>
      <c r="Q11" s="2"/>
      <c r="R11" s="2"/>
      <c r="S11" s="2"/>
      <c r="T11" s="2"/>
      <c r="U11" s="2"/>
      <c r="V11" s="2"/>
      <c r="W11" s="2"/>
      <c r="X11" s="2"/>
      <c r="Y11" s="2"/>
      <c r="Z11" s="2"/>
      <c r="AA11" s="2"/>
      <c r="AB11" s="2"/>
    </row>
    <row r="12" spans="1:28" ht="13.35" customHeight="1" x14ac:dyDescent="0.2">
      <c r="B12" s="543" t="s">
        <v>203</v>
      </c>
      <c r="C12" s="543"/>
      <c r="D12" s="544"/>
      <c r="E12" s="544"/>
      <c r="F12" s="543" t="s">
        <v>583</v>
      </c>
      <c r="G12" s="543"/>
      <c r="H12" s="543"/>
      <c r="I12" s="544"/>
      <c r="J12" s="543" t="s">
        <v>204</v>
      </c>
      <c r="K12" s="543"/>
      <c r="L12" s="543"/>
      <c r="M12" s="544"/>
      <c r="N12" s="2"/>
      <c r="O12" s="2">
        <v>2015</v>
      </c>
      <c r="P12" s="393"/>
      <c r="Q12"/>
      <c r="R12"/>
      <c r="S12"/>
      <c r="T12"/>
      <c r="U12"/>
      <c r="V12"/>
      <c r="W12"/>
      <c r="X12"/>
      <c r="Y12" s="2"/>
      <c r="Z12" s="2"/>
      <c r="AA12" s="2"/>
      <c r="AB12" s="2"/>
    </row>
    <row r="13" spans="1:28" ht="13.35" customHeight="1" x14ac:dyDescent="0.2">
      <c r="B13" s="546" t="s">
        <v>205</v>
      </c>
      <c r="C13" s="546"/>
      <c r="D13" s="544"/>
      <c r="E13" s="544"/>
      <c r="F13" s="546" t="s">
        <v>206</v>
      </c>
      <c r="G13" s="546"/>
      <c r="H13" s="546"/>
      <c r="I13" s="544"/>
      <c r="J13" s="546" t="s">
        <v>207</v>
      </c>
      <c r="K13" s="546"/>
      <c r="L13" s="546"/>
      <c r="M13" s="544"/>
      <c r="N13" s="2"/>
      <c r="O13" s="2" t="s">
        <v>584</v>
      </c>
      <c r="P13" s="393"/>
      <c r="Q13" s="375"/>
      <c r="R13" s="374"/>
      <c r="S13" s="375"/>
      <c r="T13"/>
      <c r="U13"/>
      <c r="V13"/>
      <c r="W13"/>
      <c r="X13"/>
      <c r="Y13" s="2"/>
      <c r="Z13" s="2"/>
      <c r="AA13" s="2"/>
      <c r="AB13" s="2"/>
    </row>
    <row r="14" spans="1:28" ht="12.75" customHeight="1" x14ac:dyDescent="0.2">
      <c r="B14" s="544"/>
      <c r="C14" s="544"/>
      <c r="D14" s="544"/>
      <c r="E14" s="544"/>
      <c r="F14" s="544"/>
      <c r="G14" s="544"/>
      <c r="H14" s="544"/>
      <c r="I14" s="544"/>
      <c r="J14" s="544"/>
      <c r="K14" s="544"/>
      <c r="L14" s="544"/>
      <c r="M14" s="544"/>
      <c r="N14" s="2"/>
      <c r="P14" s="393"/>
      <c r="Q14" s="370"/>
      <c r="R14" s="374"/>
      <c r="S14" s="376"/>
      <c r="T14" s="82"/>
      <c r="U14" s="82"/>
      <c r="V14" s="82"/>
      <c r="W14" s="82"/>
      <c r="X14"/>
      <c r="Y14" s="2"/>
      <c r="Z14" s="2"/>
      <c r="AA14" s="2"/>
      <c r="AB14" s="2"/>
    </row>
    <row r="15" spans="1:28" ht="13.35" customHeight="1" x14ac:dyDescent="0.2">
      <c r="A15" s="193"/>
      <c r="B15" s="544" t="s">
        <v>208</v>
      </c>
      <c r="C15" s="544"/>
      <c r="D15" s="544"/>
      <c r="E15" s="544"/>
      <c r="F15" s="544"/>
      <c r="G15" s="726">
        <f>ROUND(O15/365,0)</f>
        <v>15275</v>
      </c>
      <c r="H15" s="548"/>
      <c r="I15" s="544"/>
      <c r="J15" s="544"/>
      <c r="K15" s="551">
        <f>ROUND(G15/G$23,4)+0.0001</f>
        <v>0.49109999999999998</v>
      </c>
      <c r="L15" s="544"/>
      <c r="M15" s="544"/>
      <c r="N15" s="2"/>
      <c r="O15" s="394">
        <f>+'[7]Sch M'!$O13</f>
        <v>5575259</v>
      </c>
      <c r="P15" s="393"/>
      <c r="Q15" s="370"/>
      <c r="R15" s="374"/>
      <c r="S15" s="376"/>
      <c r="T15" s="82"/>
      <c r="U15" s="82"/>
      <c r="V15" s="82"/>
      <c r="W15" s="82"/>
      <c r="X15"/>
      <c r="Y15" s="2"/>
      <c r="Z15" s="2"/>
      <c r="AA15" s="2"/>
      <c r="AB15" s="2"/>
    </row>
    <row r="16" spans="1:28" ht="13.35" customHeight="1" x14ac:dyDescent="0.2">
      <c r="A16" s="193"/>
      <c r="B16" s="544" t="s">
        <v>209</v>
      </c>
      <c r="C16" s="544"/>
      <c r="D16" s="544"/>
      <c r="E16" s="544"/>
      <c r="F16" s="544"/>
      <c r="G16" s="726">
        <f>ROUND(O16/365,0)</f>
        <v>9566</v>
      </c>
      <c r="H16" s="548"/>
      <c r="I16" s="544"/>
      <c r="J16" s="544"/>
      <c r="K16" s="551">
        <f t="shared" ref="K16:K21" si="0">ROUND(G16/G$23,4)</f>
        <v>0.3075</v>
      </c>
      <c r="L16" s="544"/>
      <c r="M16" s="544"/>
      <c r="N16" s="2"/>
      <c r="O16" s="394">
        <f>+'[7]Sch M'!$O14+'[7]Sch M'!$O$20</f>
        <v>3491634</v>
      </c>
      <c r="P16" s="393"/>
      <c r="Q16" s="370"/>
      <c r="R16" s="374"/>
      <c r="S16" s="376"/>
      <c r="T16" s="82"/>
      <c r="U16"/>
      <c r="V16"/>
      <c r="W16" s="82"/>
      <c r="X16"/>
      <c r="Y16" s="2"/>
      <c r="Z16" s="2"/>
      <c r="AA16" s="2"/>
      <c r="AB16" s="2"/>
    </row>
    <row r="17" spans="1:28" ht="13.35" customHeight="1" x14ac:dyDescent="0.2">
      <c r="A17" s="193"/>
      <c r="B17" s="544" t="s">
        <v>210</v>
      </c>
      <c r="C17" s="544"/>
      <c r="D17" s="544"/>
      <c r="E17" s="544"/>
      <c r="F17" s="544"/>
      <c r="G17" s="726">
        <f>ROUND(O17/365,0)</f>
        <v>1696</v>
      </c>
      <c r="H17" s="548"/>
      <c r="I17" s="544"/>
      <c r="J17" s="544"/>
      <c r="K17" s="551">
        <f t="shared" si="0"/>
        <v>5.45E-2</v>
      </c>
      <c r="L17" s="544"/>
      <c r="M17" s="544"/>
      <c r="N17" s="2"/>
      <c r="O17" s="394">
        <f>+'[7]Sch M'!$O15</f>
        <v>619086</v>
      </c>
      <c r="P17" s="393"/>
      <c r="Q17" s="370"/>
      <c r="R17" s="374"/>
      <c r="S17" s="376"/>
      <c r="T17" s="82"/>
      <c r="U17"/>
      <c r="V17"/>
      <c r="W17" s="82"/>
      <c r="X17"/>
      <c r="Y17" s="2"/>
      <c r="Z17" s="2"/>
      <c r="AA17" s="2"/>
      <c r="AB17" s="2"/>
    </row>
    <row r="18" spans="1:28" ht="13.35" customHeight="1" x14ac:dyDescent="0.2">
      <c r="A18" s="193"/>
      <c r="B18" s="544" t="s">
        <v>214</v>
      </c>
      <c r="C18" s="544"/>
      <c r="D18" s="544"/>
      <c r="E18" s="544"/>
      <c r="F18" s="544"/>
      <c r="G18" s="726">
        <f>ROUND(O18/365,0)</f>
        <v>3277</v>
      </c>
      <c r="H18" s="548"/>
      <c r="I18" s="544"/>
      <c r="J18" s="544"/>
      <c r="K18" s="551">
        <f t="shared" si="0"/>
        <v>0.1053</v>
      </c>
      <c r="L18" s="544"/>
      <c r="M18" s="544"/>
      <c r="N18" s="2"/>
      <c r="O18" s="394">
        <f>+'[7]Sch M'!$O16</f>
        <v>1196002</v>
      </c>
      <c r="P18" s="393"/>
      <c r="Q18" s="370"/>
      <c r="R18" s="376"/>
      <c r="S18" s="376"/>
      <c r="T18" s="82"/>
      <c r="U18"/>
      <c r="V18"/>
      <c r="W18" s="82"/>
      <c r="X18"/>
      <c r="Y18" s="2"/>
      <c r="Z18" s="2"/>
      <c r="AA18" s="2"/>
      <c r="AB18" s="2"/>
    </row>
    <row r="19" spans="1:28" ht="13.35" customHeight="1" x14ac:dyDescent="0.2">
      <c r="A19" s="193"/>
      <c r="B19" s="544" t="s">
        <v>333</v>
      </c>
      <c r="C19" s="544"/>
      <c r="D19" s="544"/>
      <c r="E19" s="544"/>
      <c r="F19" s="544"/>
      <c r="G19" s="726">
        <f>ROUND(O19/365,0)</f>
        <v>1105</v>
      </c>
      <c r="H19" s="548"/>
      <c r="I19" s="544"/>
      <c r="J19" s="544"/>
      <c r="K19" s="551">
        <f t="shared" si="0"/>
        <v>3.5499999999999997E-2</v>
      </c>
      <c r="L19" s="544"/>
      <c r="M19" s="544"/>
      <c r="N19" s="2"/>
      <c r="O19" s="394">
        <f>+'[7]Sch M'!$O17</f>
        <v>403500</v>
      </c>
      <c r="P19" s="393"/>
      <c r="Q19" s="116"/>
      <c r="R19" s="116">
        <f>+'F 3B 4B'!G13</f>
        <v>38233082.19178082</v>
      </c>
      <c r="S19" s="374"/>
      <c r="T19"/>
      <c r="U19"/>
      <c r="V19"/>
      <c r="W19" s="82"/>
      <c r="X19"/>
      <c r="Y19" s="2"/>
      <c r="Z19" s="2"/>
      <c r="AA19" s="2"/>
      <c r="AB19" s="2"/>
    </row>
    <row r="20" spans="1:28" ht="13.35" customHeight="1" x14ac:dyDescent="0.2">
      <c r="B20" s="544" t="s">
        <v>216</v>
      </c>
      <c r="C20" s="544"/>
      <c r="D20" s="544"/>
      <c r="E20" s="544"/>
      <c r="F20" s="544"/>
      <c r="G20" s="726">
        <f>ROUND(+R22*Fire!O26,0)</f>
        <v>88</v>
      </c>
      <c r="H20" s="548"/>
      <c r="I20" s="544"/>
      <c r="J20" s="544"/>
      <c r="K20" s="551">
        <f t="shared" si="0"/>
        <v>2.8E-3</v>
      </c>
      <c r="L20" s="544"/>
      <c r="M20" s="544"/>
      <c r="N20" s="2"/>
      <c r="O20" s="2"/>
      <c r="P20" s="393"/>
      <c r="Q20" s="374"/>
      <c r="R20" s="248">
        <f>+R19/1000</f>
        <v>38233.082191780821</v>
      </c>
      <c r="S20" s="374" t="s">
        <v>584</v>
      </c>
      <c r="T20"/>
      <c r="U20"/>
      <c r="V20"/>
      <c r="W20"/>
      <c r="X20"/>
      <c r="Y20" s="2"/>
      <c r="Z20" s="2"/>
      <c r="AA20" s="2"/>
      <c r="AB20" s="2"/>
    </row>
    <row r="21" spans="1:28" ht="13.35" customHeight="1" x14ac:dyDescent="0.2">
      <c r="B21" s="544" t="s">
        <v>217</v>
      </c>
      <c r="C21" s="544"/>
      <c r="D21" s="544"/>
      <c r="E21" s="544"/>
      <c r="F21" s="544"/>
      <c r="G21" s="727">
        <f>ROUND(+R22*Fire!O33,0)</f>
        <v>103</v>
      </c>
      <c r="H21" s="548"/>
      <c r="I21" s="544"/>
      <c r="J21" s="544"/>
      <c r="K21" s="551">
        <f t="shared" si="0"/>
        <v>3.3E-3</v>
      </c>
      <c r="L21" s="544"/>
      <c r="M21" s="544"/>
      <c r="N21" s="2"/>
      <c r="O21" s="394">
        <f>SUM(O15:O20)</f>
        <v>11285481</v>
      </c>
      <c r="P21" s="393"/>
      <c r="Q21" s="374"/>
      <c r="R21" s="374"/>
      <c r="S21" s="374"/>
      <c r="T21"/>
      <c r="U21"/>
      <c r="V21"/>
      <c r="W21"/>
      <c r="X21"/>
      <c r="Y21" s="2"/>
      <c r="Z21" s="2"/>
      <c r="AA21" s="2"/>
      <c r="AB21" s="2"/>
    </row>
    <row r="22" spans="1:28" ht="13.35" customHeight="1" x14ac:dyDescent="0.2">
      <c r="B22" s="544"/>
      <c r="C22" s="544"/>
      <c r="D22" s="544"/>
      <c r="E22" s="544"/>
      <c r="F22" s="544"/>
      <c r="G22" s="726"/>
      <c r="H22" s="548"/>
      <c r="I22" s="544"/>
      <c r="J22" s="544"/>
      <c r="K22" s="554"/>
      <c r="L22" s="544"/>
      <c r="M22" s="544"/>
      <c r="N22" s="2"/>
      <c r="O22" s="394">
        <f>+SUM('[9]Sch M'!$T$13:$T$17)</f>
        <v>12167690.418868866</v>
      </c>
      <c r="P22" s="393"/>
      <c r="Q22" s="374"/>
      <c r="R22" s="374">
        <f>ROUND(+R20*0.005,0)</f>
        <v>191</v>
      </c>
      <c r="S22" s="374" t="s">
        <v>584</v>
      </c>
      <c r="T22"/>
      <c r="U22"/>
      <c r="V22"/>
      <c r="W22"/>
      <c r="X22"/>
      <c r="Y22" s="2"/>
      <c r="Z22" s="2"/>
      <c r="AA22" s="2"/>
      <c r="AB22" s="2"/>
    </row>
    <row r="23" spans="1:28" ht="13.35" customHeight="1" thickBot="1" x14ac:dyDescent="0.25">
      <c r="B23" s="544" t="s">
        <v>218</v>
      </c>
      <c r="C23" s="544"/>
      <c r="D23" s="544"/>
      <c r="E23" s="544"/>
      <c r="F23" s="544"/>
      <c r="G23" s="728">
        <f>SUM(G15:G22)</f>
        <v>31110</v>
      </c>
      <c r="H23" s="548"/>
      <c r="I23" s="544"/>
      <c r="J23" s="544"/>
      <c r="K23" s="551">
        <f>SUM(K15:K22)</f>
        <v>0.99999999999999989</v>
      </c>
      <c r="L23" s="544"/>
      <c r="M23" s="544"/>
      <c r="N23" s="2"/>
      <c r="O23" s="2"/>
      <c r="P23" s="393"/>
      <c r="Q23" s="374"/>
      <c r="R23" s="377"/>
      <c r="S23" s="377"/>
      <c r="T23"/>
      <c r="U23"/>
      <c r="V23"/>
      <c r="W23"/>
      <c r="X23"/>
      <c r="Y23" s="2"/>
      <c r="Z23" s="2"/>
      <c r="AA23" s="2"/>
      <c r="AB23" s="2"/>
    </row>
    <row r="24" spans="1:28" ht="13.35" customHeight="1" thickTop="1" x14ac:dyDescent="0.2">
      <c r="B24" s="544"/>
      <c r="C24" s="544"/>
      <c r="D24" s="544"/>
      <c r="E24" s="544"/>
      <c r="F24" s="544"/>
      <c r="G24" s="556"/>
      <c r="H24" s="544"/>
      <c r="I24" s="544"/>
      <c r="J24" s="544"/>
      <c r="K24" s="558"/>
      <c r="L24" s="544"/>
      <c r="M24" s="544"/>
      <c r="N24" s="2"/>
      <c r="O24" s="2"/>
      <c r="P24" s="393"/>
      <c r="Q24" s="374"/>
      <c r="R24" s="377">
        <f>+G20+G21</f>
        <v>191</v>
      </c>
      <c r="S24" s="377"/>
      <c r="T24"/>
      <c r="U24"/>
      <c r="V24"/>
      <c r="W24"/>
      <c r="X24"/>
      <c r="Y24" s="2"/>
      <c r="Z24" s="2"/>
      <c r="AA24" s="2"/>
      <c r="AB24" s="2"/>
    </row>
    <row r="25" spans="1:28" ht="13.35" customHeight="1" x14ac:dyDescent="0.2">
      <c r="B25" s="544"/>
      <c r="C25" s="544"/>
      <c r="D25" s="544"/>
      <c r="E25" s="544"/>
      <c r="F25" s="544"/>
      <c r="G25" s="552"/>
      <c r="H25" s="544"/>
      <c r="I25" s="544"/>
      <c r="J25" s="544"/>
      <c r="K25" s="544"/>
      <c r="L25" s="544"/>
      <c r="M25" s="544"/>
      <c r="N25" s="2"/>
      <c r="O25" s="2"/>
      <c r="P25" s="393"/>
      <c r="Q25" s="2"/>
      <c r="R25" s="249"/>
      <c r="S25" s="250"/>
      <c r="T25" s="2"/>
      <c r="U25" s="2"/>
      <c r="V25" s="2"/>
      <c r="W25" s="2"/>
      <c r="X25" s="2"/>
      <c r="Y25" s="2"/>
      <c r="Z25" s="2"/>
      <c r="AA25" s="2"/>
      <c r="AB25" s="2"/>
    </row>
    <row r="26" spans="1:28" ht="13.35" customHeight="1" x14ac:dyDescent="0.2">
      <c r="B26" s="544" t="s">
        <v>219</v>
      </c>
      <c r="C26" s="544"/>
      <c r="D26" s="544"/>
      <c r="E26" s="544"/>
      <c r="F26" s="544"/>
      <c r="G26" s="544"/>
      <c r="H26" s="544"/>
      <c r="I26" s="544"/>
      <c r="J26" s="544"/>
      <c r="K26" s="544"/>
      <c r="L26" s="544"/>
      <c r="M26" s="544"/>
      <c r="N26" s="2"/>
      <c r="O26" s="2"/>
      <c r="P26" s="393"/>
      <c r="Q26" s="2"/>
      <c r="R26" s="2"/>
      <c r="S26" s="2"/>
      <c r="T26" s="2"/>
      <c r="U26" s="2"/>
      <c r="V26" s="2"/>
      <c r="W26" s="2"/>
      <c r="X26" s="2"/>
      <c r="Y26" s="2"/>
      <c r="Z26" s="2"/>
      <c r="AA26" s="2"/>
      <c r="AB26" s="2"/>
    </row>
    <row r="27" spans="1:28" ht="13.35" customHeight="1" x14ac:dyDescent="0.2">
      <c r="B27" s="544" t="s">
        <v>220</v>
      </c>
      <c r="C27" s="544"/>
      <c r="D27" s="544"/>
      <c r="E27" s="544"/>
      <c r="F27" s="544"/>
      <c r="G27" s="544"/>
      <c r="H27" s="544"/>
      <c r="I27" s="544"/>
      <c r="J27" s="544"/>
      <c r="K27" s="544"/>
      <c r="L27" s="544"/>
      <c r="M27" s="544"/>
      <c r="N27" s="2"/>
      <c r="O27" s="2"/>
      <c r="P27" s="393"/>
      <c r="Q27" s="2"/>
      <c r="R27" s="2"/>
      <c r="S27" s="2"/>
      <c r="T27" s="2"/>
      <c r="U27" s="2"/>
      <c r="V27" s="2"/>
      <c r="W27" s="2"/>
      <c r="X27" s="2"/>
      <c r="Y27" s="2"/>
      <c r="Z27" s="2"/>
      <c r="AA27" s="2"/>
      <c r="AB27" s="2"/>
    </row>
    <row r="28" spans="1:28" ht="9.1999999999999993" customHeight="1" x14ac:dyDescent="0.2">
      <c r="B28" s="544"/>
      <c r="C28" s="544"/>
      <c r="D28" s="544"/>
      <c r="E28" s="544"/>
      <c r="F28" s="544"/>
      <c r="G28" s="544"/>
      <c r="H28" s="544"/>
      <c r="I28" s="544"/>
      <c r="J28" s="544"/>
      <c r="K28" s="544"/>
      <c r="L28" s="544"/>
      <c r="M28" s="544"/>
      <c r="N28" s="2"/>
      <c r="O28" s="2"/>
      <c r="P28" s="393"/>
      <c r="Q28" s="2"/>
      <c r="R28" s="2"/>
      <c r="S28" s="2"/>
      <c r="T28" s="2"/>
      <c r="U28" s="2"/>
      <c r="V28" s="2"/>
      <c r="W28" s="2"/>
      <c r="X28" s="2"/>
      <c r="Y28" s="2"/>
      <c r="Z28" s="2"/>
      <c r="AA28" s="2"/>
      <c r="AB28" s="2"/>
    </row>
    <row r="29" spans="1:28" ht="27.6" customHeight="1" x14ac:dyDescent="0.2">
      <c r="B29" s="848" t="s">
        <v>221</v>
      </c>
      <c r="C29" s="848"/>
      <c r="D29" s="848"/>
      <c r="E29" s="848"/>
      <c r="F29" s="848"/>
      <c r="G29" s="848"/>
      <c r="H29" s="848"/>
      <c r="I29" s="848"/>
      <c r="J29" s="848"/>
      <c r="K29" s="848"/>
      <c r="L29" s="848"/>
      <c r="M29" s="848"/>
      <c r="N29" s="2"/>
      <c r="O29" s="2"/>
      <c r="P29" s="393"/>
      <c r="Q29" s="2"/>
      <c r="R29" s="2"/>
      <c r="S29" s="2"/>
      <c r="T29" s="2"/>
      <c r="U29" s="2"/>
      <c r="V29" s="2"/>
      <c r="W29" s="2"/>
      <c r="X29" s="2"/>
      <c r="Y29" s="2"/>
      <c r="Z29" s="2"/>
      <c r="AA29" s="2"/>
      <c r="AB29" s="2"/>
    </row>
    <row r="30" spans="1:28" ht="7.9" customHeight="1" x14ac:dyDescent="0.2">
      <c r="B30" s="544"/>
      <c r="C30" s="544"/>
      <c r="D30" s="544"/>
      <c r="E30" s="544"/>
      <c r="F30" s="544"/>
      <c r="G30" s="544"/>
      <c r="H30" s="544"/>
      <c r="I30" s="544"/>
      <c r="J30" s="544"/>
      <c r="K30" s="544"/>
      <c r="L30" s="544"/>
      <c r="M30" s="544"/>
      <c r="N30" s="2"/>
      <c r="O30" s="2"/>
      <c r="P30" s="2"/>
      <c r="Q30" s="2"/>
      <c r="R30" s="2"/>
      <c r="S30" s="2"/>
      <c r="T30" s="2"/>
      <c r="U30" s="2"/>
      <c r="V30" s="2"/>
      <c r="W30" s="2"/>
      <c r="X30" s="2"/>
      <c r="Y30" s="2"/>
      <c r="Z30" s="2"/>
      <c r="AA30" s="2"/>
      <c r="AB30" s="2"/>
    </row>
    <row r="31" spans="1:28" ht="13.35" customHeight="1" x14ac:dyDescent="0.2">
      <c r="B31" s="544"/>
      <c r="C31" s="544"/>
      <c r="D31" s="544"/>
      <c r="E31" s="543" t="s">
        <v>199</v>
      </c>
      <c r="F31" s="543"/>
      <c r="G31" s="543"/>
      <c r="H31" s="544"/>
      <c r="I31" s="543" t="s">
        <v>222</v>
      </c>
      <c r="J31" s="543"/>
      <c r="K31" s="543"/>
      <c r="L31" s="544"/>
      <c r="M31" s="544"/>
      <c r="N31" s="2"/>
      <c r="O31" s="2"/>
      <c r="P31" s="2"/>
      <c r="Q31" s="2"/>
      <c r="R31" s="2"/>
      <c r="S31" s="2"/>
      <c r="T31" s="2"/>
      <c r="U31" s="2"/>
      <c r="V31" s="2"/>
      <c r="W31" s="2"/>
      <c r="X31" s="2"/>
      <c r="Y31" s="2"/>
      <c r="Z31" s="2"/>
      <c r="AA31" s="2"/>
      <c r="AB31" s="2"/>
    </row>
    <row r="32" spans="1:28" ht="13.35" customHeight="1" x14ac:dyDescent="0.2">
      <c r="B32" s="544"/>
      <c r="C32" s="544"/>
      <c r="D32" s="544"/>
      <c r="E32" s="543" t="s">
        <v>223</v>
      </c>
      <c r="F32" s="543"/>
      <c r="G32" s="543"/>
      <c r="H32" s="544"/>
      <c r="I32" s="543" t="s">
        <v>224</v>
      </c>
      <c r="J32" s="543"/>
      <c r="K32" s="543"/>
      <c r="L32" s="544"/>
      <c r="M32" s="544"/>
      <c r="N32" s="2"/>
      <c r="O32" s="2"/>
      <c r="P32" s="2"/>
      <c r="Q32" s="2"/>
      <c r="R32" s="2"/>
      <c r="S32" s="2"/>
      <c r="T32" s="2"/>
      <c r="U32" s="2"/>
      <c r="V32" s="2"/>
      <c r="W32" s="2"/>
      <c r="X32" s="2"/>
      <c r="Y32" s="2"/>
      <c r="Z32" s="2"/>
      <c r="AA32" s="2"/>
      <c r="AB32" s="2"/>
    </row>
    <row r="33" spans="2:28" ht="13.35" customHeight="1" x14ac:dyDescent="0.2">
      <c r="B33" s="543" t="s">
        <v>200</v>
      </c>
      <c r="C33" s="543"/>
      <c r="D33" s="544"/>
      <c r="E33" s="547" t="s">
        <v>202</v>
      </c>
      <c r="F33" s="547"/>
      <c r="G33" s="547" t="s">
        <v>225</v>
      </c>
      <c r="H33" s="600"/>
      <c r="I33" s="547" t="s">
        <v>202</v>
      </c>
      <c r="J33" s="547"/>
      <c r="K33" s="547" t="s">
        <v>225</v>
      </c>
      <c r="L33" s="600"/>
      <c r="M33" s="600" t="s">
        <v>202</v>
      </c>
      <c r="N33" s="2"/>
      <c r="O33" s="2"/>
      <c r="P33" s="2"/>
      <c r="Q33" s="2"/>
      <c r="R33" s="2"/>
      <c r="S33" s="2"/>
      <c r="T33" s="2"/>
      <c r="U33" s="2"/>
      <c r="V33" s="2"/>
      <c r="W33" s="2"/>
      <c r="X33" s="2"/>
      <c r="Y33" s="2"/>
      <c r="Z33" s="2"/>
      <c r="AA33" s="2"/>
      <c r="AB33" s="2"/>
    </row>
    <row r="34" spans="2:28" ht="13.35" customHeight="1" x14ac:dyDescent="0.2">
      <c r="B34" s="543" t="s">
        <v>203</v>
      </c>
      <c r="C34" s="543"/>
      <c r="D34" s="544"/>
      <c r="E34" s="600" t="s">
        <v>226</v>
      </c>
      <c r="F34" s="600"/>
      <c r="G34" s="600" t="s">
        <v>204</v>
      </c>
      <c r="H34" s="600"/>
      <c r="I34" s="600" t="s">
        <v>204</v>
      </c>
      <c r="J34" s="600"/>
      <c r="K34" s="600" t="s">
        <v>204</v>
      </c>
      <c r="L34" s="600"/>
      <c r="M34" s="600" t="s">
        <v>204</v>
      </c>
      <c r="N34" s="2"/>
      <c r="O34" s="2"/>
      <c r="P34" s="2"/>
      <c r="Q34" s="2"/>
      <c r="R34" s="2"/>
      <c r="S34" s="2"/>
      <c r="T34" s="2"/>
      <c r="U34" s="2"/>
      <c r="V34" s="2"/>
      <c r="W34" s="2"/>
      <c r="X34" s="2"/>
      <c r="Y34" s="2"/>
      <c r="Z34" s="2"/>
      <c r="AA34" s="2"/>
      <c r="AB34" s="2"/>
    </row>
    <row r="35" spans="2:28" ht="13.35" customHeight="1" x14ac:dyDescent="0.2">
      <c r="B35" s="546" t="s">
        <v>205</v>
      </c>
      <c r="C35" s="546"/>
      <c r="D35" s="544"/>
      <c r="E35" s="547" t="s">
        <v>227</v>
      </c>
      <c r="F35" s="544"/>
      <c r="G35" s="691" t="s">
        <v>228</v>
      </c>
      <c r="H35" s="544"/>
      <c r="I35" s="547" t="s">
        <v>229</v>
      </c>
      <c r="J35" s="544"/>
      <c r="K35" s="691" t="s">
        <v>230</v>
      </c>
      <c r="L35" s="544"/>
      <c r="M35" s="547" t="s">
        <v>231</v>
      </c>
      <c r="N35" s="2"/>
      <c r="O35" s="2"/>
      <c r="P35" s="2"/>
      <c r="Q35" s="2"/>
      <c r="R35" s="2"/>
      <c r="S35" s="2"/>
      <c r="T35" s="2"/>
      <c r="U35" s="2"/>
      <c r="V35" s="2"/>
      <c r="W35" s="2"/>
      <c r="X35" s="2"/>
      <c r="Y35" s="2"/>
      <c r="Z35" s="2"/>
      <c r="AA35" s="2"/>
      <c r="AB35" s="2"/>
    </row>
    <row r="36" spans="2:28" ht="13.35" customHeight="1" x14ac:dyDescent="0.2">
      <c r="B36" s="544"/>
      <c r="C36" s="544"/>
      <c r="D36" s="544"/>
      <c r="E36" s="544"/>
      <c r="F36" s="544"/>
      <c r="G36" s="551">
        <f>'F 2 B'!$H$29</f>
        <v>0.57140000000000002</v>
      </c>
      <c r="H36" s="544"/>
      <c r="I36" s="544"/>
      <c r="J36" s="544"/>
      <c r="K36" s="551">
        <f>'F 2 B'!$H$31</f>
        <v>0.42859999999999998</v>
      </c>
      <c r="L36" s="544"/>
      <c r="M36" s="544"/>
      <c r="N36" s="2"/>
      <c r="O36" s="2"/>
      <c r="P36" s="2"/>
      <c r="Q36" s="2"/>
      <c r="R36" s="2"/>
      <c r="S36" s="2"/>
      <c r="T36" s="2"/>
      <c r="U36" s="2"/>
      <c r="V36" s="2"/>
      <c r="W36" s="2"/>
      <c r="X36" s="2"/>
      <c r="Y36" s="2"/>
      <c r="Z36" s="2"/>
      <c r="AA36" s="2"/>
      <c r="AB36" s="2"/>
    </row>
    <row r="37" spans="2:28" ht="8.25" customHeight="1" x14ac:dyDescent="0.2">
      <c r="B37" s="544"/>
      <c r="C37" s="544"/>
      <c r="D37" s="544"/>
      <c r="E37" s="544"/>
      <c r="F37" s="544"/>
      <c r="G37" s="544"/>
      <c r="H37" s="544"/>
      <c r="I37" s="544"/>
      <c r="J37" s="544"/>
      <c r="K37" s="544"/>
      <c r="L37" s="544"/>
      <c r="M37" s="544"/>
      <c r="N37" s="2"/>
      <c r="O37" s="2"/>
      <c r="P37" s="2"/>
      <c r="Q37" s="2"/>
      <c r="R37" s="2"/>
      <c r="S37" s="2"/>
      <c r="T37" s="2"/>
      <c r="U37" s="2"/>
      <c r="V37" s="2"/>
      <c r="W37" s="2"/>
      <c r="X37" s="2"/>
      <c r="Y37" s="2"/>
      <c r="Z37" s="2"/>
      <c r="AA37" s="2"/>
      <c r="AB37" s="2"/>
    </row>
    <row r="38" spans="2:28" ht="13.35" customHeight="1" x14ac:dyDescent="0.2">
      <c r="B38" s="544" t="s">
        <v>208</v>
      </c>
      <c r="C38" s="544"/>
      <c r="D38" s="544"/>
      <c r="E38" s="551">
        <f t="shared" ref="E38:E44" si="1">K15</f>
        <v>0.49109999999999998</v>
      </c>
      <c r="F38" s="544"/>
      <c r="G38" s="551">
        <f>ROUND(E38*G$36,4)</f>
        <v>0.28060000000000002</v>
      </c>
      <c r="H38" s="544"/>
      <c r="I38" s="551">
        <f>'F 2 B'!$J$14</f>
        <v>0.53979999999999995</v>
      </c>
      <c r="J38" s="544"/>
      <c r="K38" s="551">
        <f>ROUND(I38*K$36,4)-0.0001</f>
        <v>0.23130000000000001</v>
      </c>
      <c r="L38" s="544"/>
      <c r="M38" s="551">
        <f t="shared" ref="M38:M44" si="2">G38+K38</f>
        <v>0.51190000000000002</v>
      </c>
      <c r="N38" s="2"/>
      <c r="O38" s="2"/>
      <c r="P38" s="2"/>
      <c r="Q38" s="4"/>
      <c r="R38" s="2"/>
      <c r="S38" s="2"/>
      <c r="T38" s="2"/>
      <c r="U38" s="2"/>
      <c r="V38" s="2"/>
      <c r="W38" s="2"/>
      <c r="X38" s="2"/>
      <c r="Y38" s="2"/>
      <c r="Z38" s="2"/>
      <c r="AA38" s="2"/>
      <c r="AB38" s="2"/>
    </row>
    <row r="39" spans="2:28" ht="13.35" customHeight="1" x14ac:dyDescent="0.2">
      <c r="B39" s="544" t="s">
        <v>209</v>
      </c>
      <c r="C39" s="544"/>
      <c r="D39" s="544"/>
      <c r="E39" s="551">
        <f t="shared" si="1"/>
        <v>0.3075</v>
      </c>
      <c r="F39" s="544"/>
      <c r="G39" s="551">
        <f t="shared" ref="G39:G43" si="3">ROUND(E39*G$36,4)</f>
        <v>0.1757</v>
      </c>
      <c r="H39" s="544"/>
      <c r="I39" s="551">
        <f>'F 2 B'!$J$15</f>
        <v>0.30420000000000003</v>
      </c>
      <c r="J39" s="544"/>
      <c r="K39" s="551">
        <f>ROUND(I39*K$36,4)</f>
        <v>0.13039999999999999</v>
      </c>
      <c r="L39" s="544"/>
      <c r="M39" s="551">
        <f t="shared" si="2"/>
        <v>0.30609999999999998</v>
      </c>
      <c r="N39" s="2"/>
      <c r="O39" s="2"/>
      <c r="P39" s="2"/>
      <c r="Q39" s="4"/>
      <c r="R39" s="2"/>
      <c r="S39" s="2"/>
      <c r="T39" s="2"/>
      <c r="U39" s="2"/>
      <c r="V39" s="2"/>
      <c r="W39" s="2"/>
      <c r="X39" s="2"/>
      <c r="Y39" s="2"/>
      <c r="Z39" s="2"/>
      <c r="AA39" s="2"/>
      <c r="AB39" s="2"/>
    </row>
    <row r="40" spans="2:28" ht="13.35" customHeight="1" x14ac:dyDescent="0.2">
      <c r="B40" s="544" t="s">
        <v>210</v>
      </c>
      <c r="C40" s="544"/>
      <c r="D40" s="544"/>
      <c r="E40" s="551">
        <f t="shared" si="1"/>
        <v>5.45E-2</v>
      </c>
      <c r="F40" s="544"/>
      <c r="G40" s="551">
        <f t="shared" si="3"/>
        <v>3.1099999999999999E-2</v>
      </c>
      <c r="H40" s="544"/>
      <c r="I40" s="551">
        <f>'F 2 B'!$J$16</f>
        <v>4.19E-2</v>
      </c>
      <c r="J40" s="544"/>
      <c r="K40" s="551">
        <f>ROUND(I40*K$36,4)</f>
        <v>1.7999999999999999E-2</v>
      </c>
      <c r="L40" s="544"/>
      <c r="M40" s="551">
        <f t="shared" si="2"/>
        <v>4.9099999999999998E-2</v>
      </c>
      <c r="N40" s="2"/>
      <c r="O40" s="2"/>
      <c r="P40" s="2"/>
      <c r="Q40" s="4"/>
      <c r="R40" s="2"/>
      <c r="S40" s="2"/>
      <c r="T40" s="2"/>
      <c r="U40" s="2"/>
      <c r="V40" s="2"/>
      <c r="W40" s="2"/>
      <c r="X40" s="2"/>
      <c r="Y40" s="2"/>
      <c r="Z40" s="2"/>
      <c r="AA40" s="2"/>
      <c r="AB40" s="2"/>
    </row>
    <row r="41" spans="2:28" ht="13.35" customHeight="1" x14ac:dyDescent="0.2">
      <c r="B41" s="544" t="s">
        <v>214</v>
      </c>
      <c r="C41" s="544"/>
      <c r="D41" s="544"/>
      <c r="E41" s="551">
        <f t="shared" si="1"/>
        <v>0.1053</v>
      </c>
      <c r="F41" s="544"/>
      <c r="G41" s="551">
        <f t="shared" si="3"/>
        <v>6.0199999999999997E-2</v>
      </c>
      <c r="H41" s="544"/>
      <c r="I41" s="551">
        <f>'F 2 B'!$J$17</f>
        <v>8.6800000000000002E-2</v>
      </c>
      <c r="J41" s="544"/>
      <c r="K41" s="551">
        <f>ROUND(I41*K$36,4)</f>
        <v>3.7199999999999997E-2</v>
      </c>
      <c r="L41" s="544"/>
      <c r="M41" s="551">
        <f t="shared" si="2"/>
        <v>9.7399999999999987E-2</v>
      </c>
      <c r="N41" s="2"/>
      <c r="O41" s="2"/>
      <c r="P41" s="2"/>
      <c r="Q41" s="4"/>
      <c r="R41" s="2"/>
      <c r="S41" s="2"/>
      <c r="T41" s="2"/>
      <c r="U41" s="2"/>
      <c r="V41" s="2"/>
      <c r="W41" s="2"/>
      <c r="X41" s="2"/>
      <c r="Y41" s="2"/>
      <c r="Z41" s="2"/>
      <c r="AA41" s="2"/>
      <c r="AB41" s="2"/>
    </row>
    <row r="42" spans="2:28" ht="13.35" customHeight="1" x14ac:dyDescent="0.2">
      <c r="B42" s="544" t="s">
        <v>333</v>
      </c>
      <c r="C42" s="544"/>
      <c r="D42" s="544"/>
      <c r="E42" s="551">
        <f t="shared" si="1"/>
        <v>3.5499999999999997E-2</v>
      </c>
      <c r="F42" s="544"/>
      <c r="G42" s="551">
        <f t="shared" si="3"/>
        <v>2.0299999999999999E-2</v>
      </c>
      <c r="H42" s="544"/>
      <c r="I42" s="551">
        <f>'F 2 B'!$J$18</f>
        <v>2.7300000000000001E-2</v>
      </c>
      <c r="J42" s="544"/>
      <c r="K42" s="551">
        <f>ROUND(I42*K$36,4)</f>
        <v>1.17E-2</v>
      </c>
      <c r="L42" s="544"/>
      <c r="M42" s="551">
        <f t="shared" si="2"/>
        <v>3.2000000000000001E-2</v>
      </c>
      <c r="N42" s="2"/>
      <c r="O42" s="2"/>
      <c r="P42" s="2"/>
      <c r="Q42" s="4"/>
      <c r="R42" s="2"/>
      <c r="S42" s="2"/>
      <c r="T42" s="2"/>
      <c r="U42" s="2"/>
      <c r="V42" s="2"/>
      <c r="W42" s="2"/>
      <c r="X42" s="2"/>
      <c r="Y42" s="2"/>
      <c r="Z42" s="2"/>
      <c r="AA42" s="2"/>
      <c r="AB42" s="2"/>
    </row>
    <row r="43" spans="2:28" ht="13.35" customHeight="1" x14ac:dyDescent="0.2">
      <c r="B43" s="544" t="s">
        <v>216</v>
      </c>
      <c r="C43" s="544"/>
      <c r="D43" s="544"/>
      <c r="E43" s="551">
        <f t="shared" si="1"/>
        <v>2.8E-3</v>
      </c>
      <c r="F43" s="544"/>
      <c r="G43" s="551">
        <f t="shared" si="3"/>
        <v>1.6000000000000001E-3</v>
      </c>
      <c r="H43" s="544"/>
      <c r="I43" s="544"/>
      <c r="J43" s="544"/>
      <c r="K43" s="544"/>
      <c r="L43" s="544"/>
      <c r="M43" s="551">
        <f t="shared" si="2"/>
        <v>1.6000000000000001E-3</v>
      </c>
      <c r="N43" s="2"/>
      <c r="O43" s="2"/>
      <c r="P43" s="2"/>
      <c r="Q43" s="4"/>
      <c r="R43" s="2"/>
      <c r="S43" s="2"/>
      <c r="T43" s="2"/>
      <c r="U43" s="2"/>
      <c r="V43" s="2"/>
      <c r="W43" s="2"/>
      <c r="X43" s="2"/>
      <c r="Y43" s="2"/>
      <c r="Z43" s="2"/>
      <c r="AA43" s="2"/>
      <c r="AB43" s="2"/>
    </row>
    <row r="44" spans="2:28" ht="13.35" customHeight="1" x14ac:dyDescent="0.2">
      <c r="B44" s="544" t="s">
        <v>217</v>
      </c>
      <c r="C44" s="544"/>
      <c r="D44" s="544"/>
      <c r="E44" s="551">
        <f t="shared" si="1"/>
        <v>3.3E-3</v>
      </c>
      <c r="F44" s="544"/>
      <c r="G44" s="698">
        <f>ROUND(E44*G$36,4)</f>
        <v>1.9E-3</v>
      </c>
      <c r="H44" s="544"/>
      <c r="I44" s="544"/>
      <c r="J44" s="544"/>
      <c r="K44" s="544"/>
      <c r="L44" s="544"/>
      <c r="M44" s="551">
        <f t="shared" si="2"/>
        <v>1.9E-3</v>
      </c>
      <c r="N44" s="2"/>
      <c r="O44" s="2"/>
      <c r="P44" s="2"/>
      <c r="Q44" s="4"/>
      <c r="R44" s="2"/>
      <c r="S44" s="2"/>
      <c r="T44" s="2"/>
      <c r="U44" s="2"/>
      <c r="V44" s="2"/>
      <c r="W44" s="2"/>
      <c r="X44" s="2"/>
      <c r="Y44" s="2"/>
      <c r="Z44" s="2"/>
      <c r="AA44" s="2"/>
      <c r="AB44" s="2"/>
    </row>
    <row r="45" spans="2:28" ht="8.25" customHeight="1" x14ac:dyDescent="0.2">
      <c r="B45" s="544"/>
      <c r="C45" s="544"/>
      <c r="D45" s="544"/>
      <c r="E45" s="554"/>
      <c r="F45" s="544"/>
      <c r="G45" s="554"/>
      <c r="H45" s="544"/>
      <c r="I45" s="554"/>
      <c r="J45" s="544"/>
      <c r="K45" s="554"/>
      <c r="L45" s="544"/>
      <c r="M45" s="554"/>
      <c r="N45" s="2"/>
      <c r="O45" s="2"/>
      <c r="P45" s="2"/>
      <c r="Q45" s="11"/>
      <c r="R45" s="2"/>
      <c r="S45" s="2"/>
      <c r="T45" s="2"/>
      <c r="U45" s="2"/>
      <c r="V45" s="2"/>
      <c r="W45" s="2"/>
      <c r="X45" s="2"/>
      <c r="Y45" s="2"/>
      <c r="Z45" s="2"/>
      <c r="AA45" s="2"/>
      <c r="AB45" s="2"/>
    </row>
    <row r="46" spans="2:28" ht="13.35" customHeight="1" thickBot="1" x14ac:dyDescent="0.25">
      <c r="B46" s="544" t="s">
        <v>218</v>
      </c>
      <c r="C46" s="544"/>
      <c r="D46" s="544"/>
      <c r="E46" s="551">
        <f>SUM(E38:E45)</f>
        <v>0.99999999999999989</v>
      </c>
      <c r="F46" s="544"/>
      <c r="G46" s="579">
        <f>SUM(G38:G45)</f>
        <v>0.57140000000000013</v>
      </c>
      <c r="H46" s="544"/>
      <c r="I46" s="551">
        <f>SUM(I38:I45)</f>
        <v>1</v>
      </c>
      <c r="J46" s="544"/>
      <c r="K46" s="551">
        <f>SUM(K38:K45)</f>
        <v>0.42860000000000004</v>
      </c>
      <c r="L46" s="544"/>
      <c r="M46" s="551">
        <f>SUM(M38:M45)</f>
        <v>1.0000000000000002</v>
      </c>
      <c r="N46" s="2"/>
      <c r="O46" s="2"/>
      <c r="P46" s="2"/>
      <c r="Q46" s="4"/>
      <c r="R46" s="2"/>
      <c r="S46" s="2"/>
      <c r="T46" s="2"/>
      <c r="U46" s="2"/>
      <c r="V46" s="2"/>
      <c r="W46" s="2"/>
      <c r="X46" s="2"/>
      <c r="Y46" s="2"/>
      <c r="Z46" s="2"/>
      <c r="AA46" s="2"/>
      <c r="AB46" s="2"/>
    </row>
    <row r="47" spans="2:28" ht="13.35" customHeight="1" thickTop="1" x14ac:dyDescent="0.2">
      <c r="B47" s="548"/>
      <c r="C47" s="548"/>
      <c r="D47" s="548"/>
      <c r="E47" s="729"/>
      <c r="F47" s="548"/>
      <c r="G47" s="583"/>
      <c r="H47" s="548"/>
      <c r="I47" s="729"/>
      <c r="J47" s="548"/>
      <c r="K47" s="729"/>
      <c r="L47" s="548"/>
      <c r="M47" s="729"/>
      <c r="N47" s="2"/>
      <c r="O47" s="2"/>
      <c r="P47" s="2"/>
      <c r="Q47" s="2"/>
      <c r="R47" s="2"/>
      <c r="S47" s="2"/>
      <c r="T47" s="2"/>
      <c r="U47" s="2"/>
      <c r="V47" s="2"/>
      <c r="W47" s="2"/>
      <c r="X47" s="2"/>
      <c r="Y47" s="2"/>
      <c r="Z47" s="2"/>
      <c r="AA47" s="2"/>
      <c r="AB47" s="2"/>
    </row>
    <row r="48" spans="2:28" ht="25.9" customHeight="1" x14ac:dyDescent="0.2">
      <c r="B48" s="849" t="s">
        <v>232</v>
      </c>
      <c r="C48" s="849"/>
      <c r="D48" s="849"/>
      <c r="E48" s="849"/>
      <c r="F48" s="849"/>
      <c r="G48" s="849"/>
      <c r="H48" s="849"/>
      <c r="I48" s="849"/>
      <c r="J48" s="849"/>
      <c r="K48" s="849"/>
      <c r="L48" s="849"/>
      <c r="M48" s="849"/>
      <c r="N48" s="2"/>
      <c r="O48" s="2"/>
      <c r="P48" s="2"/>
      <c r="Q48" s="2"/>
      <c r="R48" s="2"/>
      <c r="S48" s="2"/>
      <c r="T48" s="2"/>
      <c r="U48" s="2"/>
      <c r="V48" s="2"/>
      <c r="W48" s="2"/>
      <c r="X48" s="2"/>
      <c r="Y48" s="2"/>
      <c r="Z48" s="2"/>
      <c r="AA48" s="2"/>
      <c r="AB48" s="2"/>
    </row>
    <row r="49" spans="2:28" ht="13.35" customHeight="1" x14ac:dyDescent="0.2">
      <c r="B49" s="548"/>
      <c r="C49" s="548"/>
      <c r="D49" s="548"/>
      <c r="E49" s="548"/>
      <c r="F49" s="548"/>
      <c r="G49" s="548"/>
      <c r="H49" s="548"/>
      <c r="I49" s="548"/>
      <c r="J49" s="548"/>
      <c r="K49" s="548"/>
      <c r="L49" s="548"/>
      <c r="M49" s="548"/>
      <c r="N49" s="2"/>
      <c r="O49" s="2"/>
      <c r="P49" s="2"/>
      <c r="Q49" s="2"/>
      <c r="R49" s="2"/>
      <c r="S49" s="2"/>
      <c r="T49" s="2"/>
      <c r="U49" s="2"/>
      <c r="V49" s="2"/>
      <c r="W49" s="2"/>
      <c r="X49" s="2"/>
      <c r="Y49" s="2"/>
      <c r="Z49" s="2"/>
      <c r="AA49" s="2"/>
      <c r="AB49" s="2"/>
    </row>
    <row r="50" spans="2:28" ht="13.35"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x14ac:dyDescent="0.2">
      <c r="B63" s="2"/>
      <c r="C63" s="2"/>
      <c r="D63" s="2"/>
      <c r="E63" s="2"/>
      <c r="F63" s="2"/>
      <c r="G63" s="2"/>
      <c r="H63" s="2"/>
      <c r="I63" s="2"/>
      <c r="J63" s="2"/>
      <c r="K63" s="2"/>
      <c r="L63" s="2"/>
      <c r="M63" s="2"/>
      <c r="N63" s="2"/>
      <c r="O63" s="2"/>
      <c r="P63" s="2"/>
      <c r="Q63" s="2"/>
      <c r="AB63" s="2"/>
    </row>
    <row r="64" spans="2:28" x14ac:dyDescent="0.2">
      <c r="B64" s="2"/>
      <c r="C64" s="2"/>
      <c r="D64" s="2"/>
      <c r="E64" s="2"/>
      <c r="F64" s="2"/>
      <c r="G64" s="2"/>
      <c r="H64" s="2"/>
      <c r="I64" s="2"/>
      <c r="J64" s="2"/>
      <c r="K64" s="2"/>
      <c r="L64" s="2"/>
      <c r="M64" s="2"/>
      <c r="N64" s="2"/>
      <c r="O64" s="2"/>
      <c r="P64" s="2"/>
      <c r="Q64" s="2"/>
      <c r="AB64" s="2"/>
    </row>
    <row r="65" spans="2:28" x14ac:dyDescent="0.2">
      <c r="B65" s="2"/>
      <c r="C65" s="2"/>
      <c r="D65" s="2"/>
      <c r="E65" s="2"/>
      <c r="F65" s="2"/>
      <c r="G65" s="2"/>
      <c r="H65" s="2"/>
      <c r="I65" s="2"/>
      <c r="J65" s="2"/>
      <c r="K65" s="2"/>
      <c r="L65" s="2"/>
      <c r="M65" s="2"/>
      <c r="N65" s="2"/>
      <c r="O65" s="2"/>
      <c r="P65" s="2"/>
      <c r="Q65" s="2"/>
      <c r="AB65" s="2"/>
    </row>
    <row r="66" spans="2:28" x14ac:dyDescent="0.2">
      <c r="B66" s="2"/>
      <c r="C66" s="2"/>
      <c r="D66" s="2"/>
      <c r="E66" s="2"/>
      <c r="F66" s="2"/>
      <c r="G66" s="2"/>
      <c r="H66" s="2"/>
      <c r="I66" s="2"/>
      <c r="J66" s="2"/>
      <c r="K66" s="2"/>
      <c r="L66" s="2"/>
      <c r="M66" s="2"/>
      <c r="N66" s="2"/>
      <c r="O66" s="2"/>
      <c r="P66" s="2"/>
      <c r="Q66" s="2"/>
      <c r="AB66" s="2"/>
    </row>
    <row r="67" spans="2:28" x14ac:dyDescent="0.2">
      <c r="B67" s="2"/>
      <c r="C67" s="2"/>
      <c r="D67" s="2"/>
      <c r="E67" s="2"/>
      <c r="F67" s="2"/>
      <c r="G67" s="2"/>
      <c r="H67" s="2"/>
      <c r="I67" s="2"/>
      <c r="J67" s="2"/>
      <c r="K67" s="2"/>
      <c r="L67" s="2"/>
      <c r="M67" s="2"/>
      <c r="N67" s="2"/>
      <c r="O67" s="2"/>
      <c r="P67" s="2"/>
      <c r="Q67" s="2"/>
      <c r="AB67" s="2"/>
    </row>
    <row r="68" spans="2:28" x14ac:dyDescent="0.2">
      <c r="B68" s="2"/>
      <c r="C68" s="2"/>
      <c r="D68" s="2"/>
      <c r="E68" s="2"/>
      <c r="F68" s="2"/>
      <c r="G68" s="2"/>
      <c r="H68" s="2"/>
      <c r="I68" s="2"/>
      <c r="J68" s="2"/>
      <c r="K68" s="2"/>
      <c r="L68" s="2"/>
      <c r="M68" s="2"/>
      <c r="N68" s="2"/>
      <c r="O68" s="2"/>
      <c r="P68" s="2"/>
      <c r="Q68" s="2"/>
      <c r="AB68" s="2"/>
    </row>
    <row r="69" spans="2:28" x14ac:dyDescent="0.2">
      <c r="B69" s="2"/>
      <c r="C69" s="2"/>
      <c r="D69" s="2"/>
      <c r="E69" s="2"/>
      <c r="F69" s="2"/>
      <c r="G69" s="2"/>
      <c r="H69" s="2"/>
      <c r="I69" s="2"/>
      <c r="J69" s="2"/>
      <c r="K69" s="2"/>
      <c r="L69" s="2"/>
      <c r="M69" s="2"/>
      <c r="N69" s="2"/>
      <c r="O69" s="2"/>
      <c r="P69" s="2"/>
      <c r="Q69" s="2"/>
      <c r="AB69" s="2"/>
    </row>
    <row r="70" spans="2:28" x14ac:dyDescent="0.2">
      <c r="B70" s="2"/>
      <c r="C70" s="2"/>
      <c r="D70" s="2"/>
      <c r="E70" s="2"/>
      <c r="F70" s="2"/>
      <c r="G70" s="2"/>
      <c r="H70" s="2"/>
      <c r="I70" s="2"/>
      <c r="J70" s="2"/>
      <c r="K70" s="2"/>
      <c r="L70" s="2"/>
      <c r="M70" s="2"/>
      <c r="N70" s="2"/>
      <c r="O70" s="2"/>
      <c r="P70" s="2"/>
      <c r="Q70" s="2"/>
      <c r="AB70" s="2"/>
    </row>
    <row r="71" spans="2:28" x14ac:dyDescent="0.2">
      <c r="B71" s="2"/>
      <c r="C71" s="2"/>
      <c r="D71" s="2"/>
      <c r="E71" s="2"/>
      <c r="F71" s="2"/>
      <c r="G71" s="2"/>
      <c r="H71" s="2"/>
      <c r="I71" s="2"/>
      <c r="J71" s="2"/>
      <c r="K71" s="2"/>
      <c r="L71" s="2"/>
      <c r="M71" s="2"/>
      <c r="N71" s="2"/>
      <c r="O71" s="2"/>
      <c r="P71" s="2"/>
      <c r="Q71" s="2"/>
      <c r="AB71" s="2"/>
    </row>
    <row r="72" spans="2:28" x14ac:dyDescent="0.2">
      <c r="B72" s="2"/>
      <c r="C72" s="2"/>
      <c r="D72" s="2"/>
      <c r="E72" s="2"/>
      <c r="F72" s="2"/>
      <c r="G72" s="2"/>
      <c r="H72" s="2"/>
      <c r="I72" s="2"/>
      <c r="J72" s="2"/>
      <c r="K72" s="2"/>
      <c r="L72" s="2"/>
      <c r="M72" s="2"/>
      <c r="N72" s="2"/>
      <c r="O72" s="2"/>
      <c r="P72" s="2"/>
      <c r="Q72" s="2"/>
      <c r="AB72" s="2"/>
    </row>
    <row r="73" spans="2:28" x14ac:dyDescent="0.2">
      <c r="B73" s="2"/>
      <c r="C73" s="2"/>
      <c r="D73" s="2"/>
      <c r="E73" s="2"/>
      <c r="F73" s="2"/>
      <c r="G73" s="2"/>
      <c r="H73" s="2"/>
      <c r="I73" s="2"/>
      <c r="J73" s="2"/>
      <c r="K73" s="2"/>
      <c r="L73" s="2"/>
      <c r="M73" s="2"/>
      <c r="N73" s="2"/>
      <c r="O73" s="2"/>
      <c r="P73" s="2"/>
      <c r="Q73" s="2"/>
      <c r="AB73" s="2"/>
    </row>
    <row r="74" spans="2:28" x14ac:dyDescent="0.2">
      <c r="B74" s="2"/>
      <c r="C74" s="2"/>
      <c r="D74" s="2"/>
      <c r="E74" s="2"/>
      <c r="F74" s="2"/>
      <c r="G74" s="2"/>
      <c r="H74" s="2"/>
      <c r="I74" s="2"/>
      <c r="J74" s="2"/>
      <c r="K74" s="2"/>
      <c r="L74" s="2"/>
      <c r="M74" s="2"/>
      <c r="N74" s="2"/>
      <c r="O74" s="2"/>
      <c r="P74" s="2"/>
      <c r="Q74" s="2"/>
      <c r="AB74" s="2"/>
    </row>
    <row r="75" spans="2:28" x14ac:dyDescent="0.2">
      <c r="B75" s="2"/>
      <c r="C75" s="2"/>
      <c r="D75" s="2"/>
      <c r="E75" s="2"/>
      <c r="F75" s="2"/>
      <c r="G75" s="2"/>
      <c r="H75" s="2"/>
      <c r="I75" s="2"/>
      <c r="J75" s="2"/>
      <c r="K75" s="2"/>
      <c r="L75" s="2"/>
      <c r="M75" s="2"/>
      <c r="N75" s="2"/>
      <c r="O75" s="2"/>
      <c r="P75" s="2"/>
      <c r="Q75" s="2"/>
      <c r="AB75" s="2"/>
    </row>
    <row r="76" spans="2:28" x14ac:dyDescent="0.2">
      <c r="B76" s="2"/>
      <c r="C76" s="2"/>
      <c r="D76" s="2"/>
      <c r="E76" s="2"/>
      <c r="F76" s="2"/>
      <c r="G76" s="2"/>
      <c r="H76" s="2"/>
      <c r="I76" s="2"/>
      <c r="J76" s="2"/>
      <c r="K76" s="2"/>
      <c r="L76" s="2"/>
      <c r="M76" s="2"/>
      <c r="N76" s="2"/>
      <c r="O76" s="2"/>
      <c r="P76" s="2"/>
      <c r="Q76" s="2"/>
      <c r="AB76" s="2"/>
    </row>
    <row r="77" spans="2:28" ht="12.75" customHeight="1" x14ac:dyDescent="0.2">
      <c r="B77" s="2"/>
      <c r="C77" s="2"/>
      <c r="D77" s="2"/>
      <c r="E77" s="2"/>
      <c r="F77" s="2"/>
      <c r="G77" s="2"/>
      <c r="H77" s="2"/>
      <c r="I77" s="2"/>
      <c r="J77" s="2"/>
      <c r="K77" s="2"/>
      <c r="L77" s="2"/>
      <c r="M77" s="2"/>
      <c r="N77" s="2"/>
      <c r="O77" s="2"/>
      <c r="P77" s="2"/>
      <c r="Q77" s="2"/>
      <c r="AB77" s="2"/>
    </row>
    <row r="78" spans="2:28" x14ac:dyDescent="0.2">
      <c r="B78" s="2"/>
      <c r="C78" s="2"/>
      <c r="D78" s="2"/>
      <c r="E78" s="2"/>
      <c r="F78" s="2"/>
      <c r="G78" s="2"/>
      <c r="H78" s="2"/>
      <c r="I78" s="2"/>
      <c r="J78" s="2"/>
      <c r="K78" s="2"/>
      <c r="L78" s="2"/>
      <c r="M78" s="2"/>
      <c r="N78" s="2"/>
      <c r="O78" s="2"/>
      <c r="P78" s="2"/>
      <c r="Q78" s="2"/>
      <c r="AB78" s="2"/>
    </row>
    <row r="79" spans="2:28" x14ac:dyDescent="0.2">
      <c r="B79" s="2"/>
      <c r="C79" s="2"/>
      <c r="D79" s="2"/>
      <c r="E79" s="2"/>
      <c r="F79" s="2"/>
      <c r="G79" s="2"/>
      <c r="H79" s="2"/>
      <c r="I79" s="2"/>
      <c r="J79" s="2"/>
      <c r="K79" s="2"/>
      <c r="L79" s="2"/>
      <c r="M79" s="2"/>
      <c r="N79" s="2"/>
      <c r="O79" s="2"/>
      <c r="P79" s="2"/>
      <c r="Q79" s="2"/>
      <c r="AB79" s="2"/>
    </row>
    <row r="80" spans="2:28" x14ac:dyDescent="0.2">
      <c r="B80" s="2"/>
      <c r="C80" s="2"/>
      <c r="D80" s="2"/>
      <c r="E80" s="2"/>
      <c r="F80" s="2"/>
      <c r="G80" s="2"/>
      <c r="H80" s="2"/>
      <c r="I80" s="2"/>
      <c r="J80" s="2"/>
      <c r="K80" s="2"/>
      <c r="L80" s="2"/>
      <c r="M80" s="2"/>
      <c r="N80" s="2"/>
      <c r="O80" s="2"/>
      <c r="P80" s="2"/>
      <c r="Q80" s="2"/>
      <c r="AB80" s="2"/>
    </row>
    <row r="81" spans="2:28" x14ac:dyDescent="0.2">
      <c r="B81" s="2"/>
      <c r="C81" s="2"/>
      <c r="D81" s="2"/>
      <c r="E81" s="2"/>
      <c r="F81" s="2"/>
      <c r="G81" s="2"/>
      <c r="H81" s="2"/>
      <c r="I81" s="2"/>
      <c r="J81" s="2"/>
      <c r="K81" s="2"/>
      <c r="L81" s="2"/>
      <c r="M81" s="2"/>
      <c r="N81" s="2"/>
      <c r="O81" s="2"/>
      <c r="P81" s="2"/>
      <c r="Q81" s="2"/>
      <c r="AB81" s="2"/>
    </row>
    <row r="82" spans="2:28" x14ac:dyDescent="0.2">
      <c r="B82" s="2"/>
      <c r="C82" s="2"/>
      <c r="D82" s="2"/>
      <c r="E82" s="2"/>
      <c r="F82" s="2"/>
      <c r="G82" s="2"/>
      <c r="H82" s="2"/>
      <c r="I82" s="2"/>
      <c r="J82" s="2"/>
      <c r="K82" s="2"/>
      <c r="L82" s="2"/>
      <c r="M82" s="2"/>
      <c r="N82" s="2"/>
      <c r="O82" s="2"/>
      <c r="P82" s="2"/>
      <c r="Q82" s="2"/>
      <c r="AB82" s="2"/>
    </row>
    <row r="83" spans="2:28" x14ac:dyDescent="0.2">
      <c r="B83" s="2"/>
      <c r="C83" s="2"/>
      <c r="D83" s="2"/>
      <c r="E83" s="2"/>
      <c r="F83" s="2"/>
      <c r="G83" s="2"/>
      <c r="H83" s="2"/>
      <c r="I83" s="2"/>
      <c r="J83" s="2"/>
      <c r="K83" s="2"/>
      <c r="L83" s="2"/>
      <c r="M83" s="2"/>
      <c r="N83" s="2"/>
      <c r="O83" s="2"/>
      <c r="P83" s="2"/>
      <c r="Q83" s="2"/>
      <c r="AB83" s="2"/>
    </row>
    <row r="84" spans="2:28" x14ac:dyDescent="0.2">
      <c r="B84" s="2"/>
      <c r="C84" s="2"/>
      <c r="D84" s="2"/>
      <c r="E84" s="2"/>
      <c r="F84" s="2"/>
      <c r="G84" s="2"/>
      <c r="H84" s="2"/>
      <c r="I84" s="2"/>
      <c r="J84" s="2"/>
      <c r="K84" s="2"/>
      <c r="L84" s="2"/>
      <c r="M84" s="2"/>
      <c r="N84" s="2"/>
      <c r="O84" s="2"/>
      <c r="P84" s="2"/>
      <c r="Q84" s="2"/>
      <c r="AA84" s="195"/>
      <c r="AB84" s="2"/>
    </row>
    <row r="85" spans="2:28" x14ac:dyDescent="0.2">
      <c r="B85" s="2"/>
      <c r="C85" s="2"/>
      <c r="D85" s="2"/>
      <c r="E85" s="2"/>
      <c r="F85" s="2"/>
      <c r="G85" s="2"/>
      <c r="H85" s="2"/>
      <c r="I85" s="2"/>
      <c r="J85" s="2"/>
      <c r="K85" s="2"/>
      <c r="L85" s="2"/>
      <c r="M85" s="2"/>
      <c r="N85" s="2"/>
      <c r="O85" s="2"/>
      <c r="P85" s="2"/>
      <c r="Q85" s="2"/>
      <c r="AA85" s="195"/>
      <c r="AB85" s="2"/>
    </row>
    <row r="86" spans="2:28" x14ac:dyDescent="0.2">
      <c r="B86" s="2"/>
      <c r="C86" s="2"/>
      <c r="D86" s="2"/>
      <c r="E86" s="2"/>
      <c r="F86" s="2"/>
      <c r="G86" s="2"/>
      <c r="H86" s="2"/>
      <c r="I86" s="2"/>
      <c r="J86" s="2"/>
      <c r="K86" s="2"/>
      <c r="L86" s="2"/>
      <c r="M86" s="2"/>
      <c r="N86" s="2"/>
      <c r="O86" s="2"/>
      <c r="P86" s="2"/>
      <c r="Q86" s="2"/>
      <c r="AB86" s="2"/>
    </row>
    <row r="87" spans="2:28" x14ac:dyDescent="0.2">
      <c r="B87" s="2"/>
      <c r="C87" s="2"/>
      <c r="D87" s="2"/>
      <c r="E87" s="2"/>
      <c r="F87" s="2"/>
      <c r="G87" s="2"/>
      <c r="H87" s="2"/>
      <c r="I87" s="2"/>
      <c r="J87" s="2"/>
      <c r="K87" s="2"/>
      <c r="L87" s="2"/>
      <c r="M87" s="2"/>
      <c r="N87" s="2"/>
      <c r="O87" s="2"/>
      <c r="P87" s="2"/>
      <c r="Q87" s="2"/>
      <c r="AB87" s="2"/>
    </row>
    <row r="88" spans="2:28" x14ac:dyDescent="0.2">
      <c r="B88" s="2"/>
      <c r="C88" s="2"/>
      <c r="D88" s="2"/>
      <c r="E88" s="2"/>
      <c r="F88" s="2"/>
      <c r="G88" s="2"/>
      <c r="H88" s="2"/>
      <c r="I88" s="2"/>
      <c r="J88" s="2"/>
      <c r="K88" s="2"/>
      <c r="L88" s="2"/>
      <c r="M88" s="2"/>
      <c r="N88" s="2"/>
      <c r="O88" s="2"/>
      <c r="P88" s="2"/>
      <c r="Q88" s="2"/>
      <c r="AB88" s="2"/>
    </row>
    <row r="89" spans="2:28" x14ac:dyDescent="0.2">
      <c r="B89" s="2"/>
      <c r="C89" s="2"/>
      <c r="D89" s="2"/>
      <c r="E89" s="2"/>
      <c r="F89" s="2"/>
      <c r="G89" s="2"/>
      <c r="H89" s="2"/>
      <c r="I89" s="2"/>
      <c r="J89" s="2"/>
      <c r="K89" s="2"/>
      <c r="L89" s="2"/>
      <c r="M89" s="2"/>
      <c r="N89" s="2"/>
      <c r="O89" s="2"/>
      <c r="P89" s="2"/>
      <c r="Q89" s="2"/>
      <c r="AB89" s="2"/>
    </row>
    <row r="90" spans="2:28" x14ac:dyDescent="0.2">
      <c r="B90" s="2"/>
      <c r="C90" s="2"/>
      <c r="D90" s="2"/>
      <c r="E90" s="2"/>
      <c r="F90" s="2"/>
      <c r="G90" s="2"/>
      <c r="H90" s="2"/>
      <c r="I90" s="2"/>
      <c r="J90" s="2"/>
      <c r="K90" s="2"/>
      <c r="L90" s="2"/>
      <c r="M90" s="2"/>
      <c r="N90" s="2"/>
      <c r="O90" s="2"/>
      <c r="P90" s="2"/>
      <c r="Q90" s="2"/>
      <c r="AB90" s="2"/>
    </row>
    <row r="91" spans="2:28" x14ac:dyDescent="0.2">
      <c r="B91" s="2"/>
      <c r="C91" s="2"/>
      <c r="D91" s="2"/>
      <c r="E91" s="2"/>
      <c r="F91" s="2"/>
      <c r="G91" s="2"/>
      <c r="H91" s="2"/>
      <c r="I91" s="2"/>
      <c r="J91" s="2"/>
      <c r="K91" s="2"/>
      <c r="L91" s="2"/>
      <c r="M91" s="2"/>
      <c r="N91" s="2"/>
      <c r="O91" s="2"/>
      <c r="P91" s="2"/>
      <c r="Q91" s="2"/>
      <c r="AB91" s="2"/>
    </row>
    <row r="92" spans="2:28" x14ac:dyDescent="0.2">
      <c r="B92" s="2"/>
      <c r="C92" s="2"/>
      <c r="D92" s="2"/>
      <c r="E92" s="2"/>
      <c r="F92" s="2"/>
      <c r="G92" s="2"/>
      <c r="H92" s="2"/>
      <c r="I92" s="2"/>
      <c r="J92" s="2"/>
      <c r="K92" s="2"/>
      <c r="L92" s="2"/>
      <c r="M92" s="2"/>
      <c r="N92" s="2"/>
      <c r="O92" s="2"/>
      <c r="P92" s="2"/>
      <c r="Q92" s="2"/>
      <c r="AB92" s="2"/>
    </row>
    <row r="93" spans="2:28" x14ac:dyDescent="0.2">
      <c r="B93" s="2"/>
      <c r="C93" s="2"/>
      <c r="D93" s="2"/>
      <c r="E93" s="2"/>
      <c r="F93" s="2"/>
      <c r="G93" s="2"/>
      <c r="H93" s="2"/>
      <c r="I93" s="2"/>
      <c r="J93" s="2"/>
      <c r="K93" s="2"/>
      <c r="L93" s="2"/>
      <c r="M93" s="2"/>
      <c r="N93" s="2"/>
      <c r="O93" s="2"/>
      <c r="P93" s="2"/>
      <c r="Q93" s="2"/>
      <c r="AB93" s="2"/>
    </row>
    <row r="94" spans="2:28" x14ac:dyDescent="0.2">
      <c r="B94" s="2"/>
      <c r="C94" s="2"/>
      <c r="D94" s="2"/>
      <c r="E94" s="2"/>
      <c r="F94" s="2"/>
      <c r="G94" s="2"/>
      <c r="H94" s="2"/>
      <c r="I94" s="2"/>
      <c r="J94" s="2"/>
      <c r="K94" s="2"/>
      <c r="L94" s="2"/>
      <c r="M94" s="2"/>
      <c r="N94" s="2"/>
      <c r="O94" s="2"/>
      <c r="P94" s="2"/>
      <c r="Q94" s="2"/>
      <c r="AB94" s="2"/>
    </row>
    <row r="95" spans="2:28" x14ac:dyDescent="0.2">
      <c r="B95" s="2"/>
      <c r="C95" s="2"/>
      <c r="D95" s="2"/>
      <c r="E95" s="2"/>
      <c r="F95" s="2"/>
      <c r="G95" s="2"/>
      <c r="H95" s="2"/>
      <c r="I95" s="2"/>
      <c r="J95" s="2"/>
      <c r="K95" s="2"/>
      <c r="L95" s="2"/>
      <c r="M95" s="2"/>
      <c r="N95" s="2"/>
      <c r="O95" s="2"/>
      <c r="P95" s="2"/>
      <c r="Q95" s="2"/>
      <c r="AB95" s="2"/>
    </row>
    <row r="96" spans="2:28" x14ac:dyDescent="0.2">
      <c r="B96" s="2"/>
      <c r="C96" s="2"/>
      <c r="D96" s="2"/>
      <c r="E96" s="2"/>
      <c r="F96" s="2"/>
      <c r="G96" s="2"/>
      <c r="H96" s="2"/>
      <c r="I96" s="2"/>
      <c r="J96" s="2"/>
      <c r="K96" s="2"/>
      <c r="L96" s="2"/>
      <c r="M96" s="2"/>
      <c r="N96" s="2"/>
      <c r="O96" s="2"/>
      <c r="P96" s="2"/>
      <c r="Q96" s="2"/>
      <c r="AB96" s="2"/>
    </row>
    <row r="97" spans="2:28" x14ac:dyDescent="0.2">
      <c r="B97" s="2"/>
      <c r="C97" s="2"/>
      <c r="D97" s="2"/>
      <c r="E97" s="2"/>
      <c r="F97" s="2"/>
      <c r="G97" s="2"/>
      <c r="H97" s="2"/>
      <c r="I97" s="2"/>
      <c r="J97" s="2"/>
      <c r="K97" s="2"/>
      <c r="L97" s="2"/>
      <c r="M97" s="2"/>
      <c r="N97" s="2"/>
      <c r="O97" s="2"/>
      <c r="P97" s="2"/>
      <c r="Q97" s="2"/>
      <c r="AB97" s="2"/>
    </row>
    <row r="98" spans="2:28" x14ac:dyDescent="0.2">
      <c r="B98" s="2"/>
      <c r="C98" s="2"/>
      <c r="D98" s="2"/>
      <c r="E98" s="2"/>
      <c r="F98" s="2"/>
      <c r="G98" s="2"/>
      <c r="H98" s="2"/>
      <c r="I98" s="2"/>
      <c r="J98" s="2"/>
      <c r="K98" s="2"/>
      <c r="L98" s="2"/>
      <c r="M98" s="2"/>
      <c r="N98" s="2"/>
      <c r="O98" s="2"/>
      <c r="P98" s="2"/>
      <c r="Q98" s="2"/>
      <c r="AB98" s="2"/>
    </row>
    <row r="99" spans="2:28" x14ac:dyDescent="0.2">
      <c r="B99" s="2"/>
      <c r="C99" s="2"/>
      <c r="D99" s="2"/>
      <c r="E99" s="2"/>
      <c r="F99" s="2"/>
      <c r="G99" s="2"/>
      <c r="H99" s="2"/>
      <c r="I99" s="2"/>
      <c r="J99" s="2"/>
      <c r="K99" s="2"/>
      <c r="L99" s="2"/>
      <c r="M99" s="2"/>
      <c r="N99" s="2"/>
      <c r="O99" s="2"/>
      <c r="P99" s="2"/>
      <c r="Q99" s="2"/>
      <c r="AB99" s="2"/>
    </row>
    <row r="100" spans="2:28" x14ac:dyDescent="0.2">
      <c r="B100" s="2"/>
      <c r="C100" s="2"/>
      <c r="D100" s="2"/>
      <c r="E100" s="2"/>
      <c r="F100" s="2"/>
      <c r="G100" s="2"/>
      <c r="H100" s="2"/>
      <c r="I100" s="2"/>
      <c r="J100" s="2"/>
      <c r="K100" s="2"/>
      <c r="L100" s="2"/>
      <c r="M100" s="2"/>
      <c r="N100" s="2"/>
      <c r="O100" s="2"/>
      <c r="P100" s="2"/>
      <c r="Q100" s="2"/>
      <c r="AB100" s="2"/>
    </row>
    <row r="101" spans="2:28" x14ac:dyDescent="0.2">
      <c r="B101" s="2"/>
      <c r="C101" s="2"/>
      <c r="D101" s="2"/>
      <c r="E101" s="2"/>
      <c r="F101" s="2"/>
      <c r="G101" s="2"/>
      <c r="H101" s="2"/>
      <c r="I101" s="2"/>
      <c r="J101" s="2"/>
      <c r="K101" s="2"/>
      <c r="L101" s="2"/>
      <c r="M101" s="2"/>
      <c r="N101" s="2"/>
      <c r="O101" s="2"/>
      <c r="P101" s="2"/>
      <c r="Q101" s="2"/>
      <c r="AB101" s="2"/>
    </row>
    <row r="102" spans="2:28" x14ac:dyDescent="0.2">
      <c r="B102" s="2"/>
      <c r="C102" s="2"/>
      <c r="D102" s="2"/>
      <c r="E102" s="2"/>
      <c r="F102" s="2"/>
      <c r="G102" s="2"/>
      <c r="H102" s="2"/>
      <c r="I102" s="2"/>
      <c r="J102" s="2"/>
      <c r="K102" s="2"/>
      <c r="L102" s="2"/>
      <c r="M102" s="2"/>
      <c r="N102" s="2"/>
      <c r="O102" s="2"/>
      <c r="P102" s="2"/>
      <c r="Q102" s="2"/>
      <c r="AB102" s="2"/>
    </row>
    <row r="103" spans="2:28" x14ac:dyDescent="0.2">
      <c r="B103" s="2"/>
      <c r="C103" s="2"/>
      <c r="D103" s="2"/>
      <c r="E103" s="2"/>
      <c r="F103" s="2"/>
      <c r="G103" s="2"/>
      <c r="H103" s="2"/>
      <c r="I103" s="2"/>
      <c r="J103" s="2"/>
      <c r="K103" s="2"/>
      <c r="L103" s="2"/>
      <c r="M103" s="2"/>
      <c r="N103" s="2"/>
      <c r="O103" s="2"/>
      <c r="P103" s="2"/>
      <c r="Q103" s="2"/>
      <c r="AB103" s="2"/>
    </row>
    <row r="104" spans="2:28" x14ac:dyDescent="0.2">
      <c r="B104" s="2"/>
      <c r="C104" s="2"/>
      <c r="D104" s="2"/>
      <c r="E104" s="2"/>
      <c r="F104" s="2"/>
      <c r="G104" s="2"/>
      <c r="H104" s="2"/>
      <c r="I104" s="2"/>
      <c r="J104" s="2"/>
      <c r="K104" s="2"/>
      <c r="L104" s="2"/>
      <c r="M104" s="2"/>
      <c r="N104" s="2"/>
      <c r="O104" s="2"/>
      <c r="P104" s="2"/>
      <c r="Q104" s="2"/>
      <c r="AB104" s="2"/>
    </row>
    <row r="105" spans="2:28" x14ac:dyDescent="0.2">
      <c r="B105" s="2"/>
      <c r="C105" s="2"/>
      <c r="D105" s="2"/>
      <c r="E105" s="2"/>
      <c r="F105" s="2"/>
      <c r="G105" s="2"/>
      <c r="H105" s="2"/>
      <c r="I105" s="2"/>
      <c r="J105" s="2"/>
      <c r="K105" s="2"/>
      <c r="L105" s="2"/>
      <c r="M105" s="2"/>
      <c r="N105" s="2"/>
      <c r="O105" s="2"/>
      <c r="P105" s="2"/>
      <c r="Q105" s="2"/>
      <c r="AB105" s="2"/>
    </row>
    <row r="106" spans="2:28" x14ac:dyDescent="0.2">
      <c r="B106" s="2"/>
      <c r="C106" s="2"/>
      <c r="D106" s="2"/>
      <c r="E106" s="2"/>
      <c r="F106" s="2"/>
      <c r="G106" s="2"/>
      <c r="H106" s="2"/>
      <c r="I106" s="2"/>
      <c r="J106" s="2"/>
      <c r="K106" s="2"/>
      <c r="L106" s="2"/>
      <c r="M106" s="2"/>
      <c r="N106" s="2"/>
      <c r="O106" s="2"/>
      <c r="P106" s="2"/>
      <c r="Q106" s="2"/>
      <c r="AB106" s="2"/>
    </row>
    <row r="107" spans="2:28" x14ac:dyDescent="0.2">
      <c r="B107" s="2"/>
      <c r="C107" s="2"/>
      <c r="D107" s="2"/>
      <c r="E107" s="2"/>
      <c r="F107" s="2"/>
      <c r="G107" s="2"/>
      <c r="H107" s="2"/>
      <c r="I107" s="2"/>
      <c r="J107" s="2"/>
      <c r="K107" s="2"/>
      <c r="L107" s="2"/>
      <c r="M107" s="2"/>
      <c r="N107" s="2"/>
      <c r="O107" s="2"/>
      <c r="P107" s="2"/>
      <c r="Q107" s="2"/>
      <c r="R107" s="2" t="s">
        <v>233</v>
      </c>
      <c r="S107" s="2"/>
      <c r="T107" s="2"/>
      <c r="U107" s="2"/>
      <c r="V107" s="2"/>
      <c r="W107" s="2"/>
      <c r="X107" s="2"/>
      <c r="Y107" s="2"/>
      <c r="Z107" s="2"/>
      <c r="AA107" s="2"/>
      <c r="AB107" s="2"/>
    </row>
    <row r="108" spans="2:28" x14ac:dyDescent="0.2">
      <c r="B108" s="2"/>
      <c r="C108" s="2"/>
      <c r="D108" s="2"/>
      <c r="E108" s="2"/>
      <c r="F108" s="2"/>
      <c r="G108" s="2"/>
      <c r="H108" s="2"/>
      <c r="I108" s="2"/>
      <c r="J108" s="2"/>
      <c r="K108" s="2"/>
      <c r="L108" s="2"/>
      <c r="M108" s="2"/>
      <c r="N108" s="2"/>
      <c r="O108" s="2"/>
      <c r="P108" s="2"/>
      <c r="Q108" s="2"/>
      <c r="R108" s="2"/>
      <c r="S108" s="2"/>
      <c r="T108" s="2"/>
      <c r="U108" s="2"/>
      <c r="V108" s="2"/>
      <c r="W108" s="11"/>
      <c r="X108" s="2"/>
      <c r="Y108" s="2"/>
      <c r="Z108" s="2"/>
      <c r="AA108" s="2"/>
      <c r="AB108" s="2"/>
    </row>
    <row r="109" spans="2:28"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2:28"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x14ac:dyDescent="0.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x14ac:dyDescent="0.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x14ac:dyDescent="0.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x14ac:dyDescent="0.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x14ac:dyDescent="0.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x14ac:dyDescent="0.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x14ac:dyDescent="0.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x14ac:dyDescent="0.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x14ac:dyDescent="0.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x14ac:dyDescent="0.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x14ac:dyDescent="0.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x14ac:dyDescent="0.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x14ac:dyDescent="0.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x14ac:dyDescent="0.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x14ac:dyDescent="0.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x14ac:dyDescent="0.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x14ac:dyDescent="0.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x14ac:dyDescent="0.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x14ac:dyDescent="0.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x14ac:dyDescent="0.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x14ac:dyDescent="0.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x14ac:dyDescent="0.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x14ac:dyDescent="0.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x14ac:dyDescent="0.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x14ac:dyDescent="0.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x14ac:dyDescent="0.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x14ac:dyDescent="0.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x14ac:dyDescent="0.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x14ac:dyDescent="0.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x14ac:dyDescent="0.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x14ac:dyDescent="0.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x14ac:dyDescent="0.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x14ac:dyDescent="0.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x14ac:dyDescent="0.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x14ac:dyDescent="0.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x14ac:dyDescent="0.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x14ac:dyDescent="0.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x14ac:dyDescent="0.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x14ac:dyDescent="0.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x14ac:dyDescent="0.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x14ac:dyDescent="0.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x14ac:dyDescent="0.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x14ac:dyDescent="0.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x14ac:dyDescent="0.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x14ac:dyDescent="0.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x14ac:dyDescent="0.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x14ac:dyDescent="0.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x14ac:dyDescent="0.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x14ac:dyDescent="0.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x14ac:dyDescent="0.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x14ac:dyDescent="0.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x14ac:dyDescent="0.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x14ac:dyDescent="0.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x14ac:dyDescent="0.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x14ac:dyDescent="0.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x14ac:dyDescent="0.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x14ac:dyDescent="0.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x14ac:dyDescent="0.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x14ac:dyDescent="0.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x14ac:dyDescent="0.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x14ac:dyDescent="0.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x14ac:dyDescent="0.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x14ac:dyDescent="0.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x14ac:dyDescent="0.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x14ac:dyDescent="0.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x14ac:dyDescent="0.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x14ac:dyDescent="0.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x14ac:dyDescent="0.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x14ac:dyDescent="0.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x14ac:dyDescent="0.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x14ac:dyDescent="0.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x14ac:dyDescent="0.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x14ac:dyDescent="0.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x14ac:dyDescent="0.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x14ac:dyDescent="0.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x14ac:dyDescent="0.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x14ac:dyDescent="0.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x14ac:dyDescent="0.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x14ac:dyDescent="0.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x14ac:dyDescent="0.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x14ac:dyDescent="0.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x14ac:dyDescent="0.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x14ac:dyDescent="0.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x14ac:dyDescent="0.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x14ac:dyDescent="0.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x14ac:dyDescent="0.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x14ac:dyDescent="0.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x14ac:dyDescent="0.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x14ac:dyDescent="0.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x14ac:dyDescent="0.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x14ac:dyDescent="0.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x14ac:dyDescent="0.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x14ac:dyDescent="0.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x14ac:dyDescent="0.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x14ac:dyDescent="0.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x14ac:dyDescent="0.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x14ac:dyDescent="0.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x14ac:dyDescent="0.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x14ac:dyDescent="0.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x14ac:dyDescent="0.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x14ac:dyDescent="0.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x14ac:dyDescent="0.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x14ac:dyDescent="0.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x14ac:dyDescent="0.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x14ac:dyDescent="0.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x14ac:dyDescent="0.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x14ac:dyDescent="0.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x14ac:dyDescent="0.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x14ac:dyDescent="0.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x14ac:dyDescent="0.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x14ac:dyDescent="0.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x14ac:dyDescent="0.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x14ac:dyDescent="0.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x14ac:dyDescent="0.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x14ac:dyDescent="0.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x14ac:dyDescent="0.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x14ac:dyDescent="0.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x14ac:dyDescent="0.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x14ac:dyDescent="0.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x14ac:dyDescent="0.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x14ac:dyDescent="0.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x14ac:dyDescent="0.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x14ac:dyDescent="0.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x14ac:dyDescent="0.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x14ac:dyDescent="0.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x14ac:dyDescent="0.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x14ac:dyDescent="0.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x14ac:dyDescent="0.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x14ac:dyDescent="0.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x14ac:dyDescent="0.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x14ac:dyDescent="0.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x14ac:dyDescent="0.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x14ac:dyDescent="0.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x14ac:dyDescent="0.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x14ac:dyDescent="0.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x14ac:dyDescent="0.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x14ac:dyDescent="0.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x14ac:dyDescent="0.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x14ac:dyDescent="0.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x14ac:dyDescent="0.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x14ac:dyDescent="0.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x14ac:dyDescent="0.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x14ac:dyDescent="0.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x14ac:dyDescent="0.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x14ac:dyDescent="0.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x14ac:dyDescent="0.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x14ac:dyDescent="0.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x14ac:dyDescent="0.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x14ac:dyDescent="0.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x14ac:dyDescent="0.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x14ac:dyDescent="0.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x14ac:dyDescent="0.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x14ac:dyDescent="0.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x14ac:dyDescent="0.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x14ac:dyDescent="0.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x14ac:dyDescent="0.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x14ac:dyDescent="0.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x14ac:dyDescent="0.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x14ac:dyDescent="0.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x14ac:dyDescent="0.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x14ac:dyDescent="0.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x14ac:dyDescent="0.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x14ac:dyDescent="0.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x14ac:dyDescent="0.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x14ac:dyDescent="0.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x14ac:dyDescent="0.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x14ac:dyDescent="0.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x14ac:dyDescent="0.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x14ac:dyDescent="0.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x14ac:dyDescent="0.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x14ac:dyDescent="0.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x14ac:dyDescent="0.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x14ac:dyDescent="0.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x14ac:dyDescent="0.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x14ac:dyDescent="0.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x14ac:dyDescent="0.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x14ac:dyDescent="0.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x14ac:dyDescent="0.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x14ac:dyDescent="0.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x14ac:dyDescent="0.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x14ac:dyDescent="0.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x14ac:dyDescent="0.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x14ac:dyDescent="0.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x14ac:dyDescent="0.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x14ac:dyDescent="0.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x14ac:dyDescent="0.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x14ac:dyDescent="0.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x14ac:dyDescent="0.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x14ac:dyDescent="0.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x14ac:dyDescent="0.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x14ac:dyDescent="0.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x14ac:dyDescent="0.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x14ac:dyDescent="0.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x14ac:dyDescent="0.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x14ac:dyDescent="0.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x14ac:dyDescent="0.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x14ac:dyDescent="0.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x14ac:dyDescent="0.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x14ac:dyDescent="0.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x14ac:dyDescent="0.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x14ac:dyDescent="0.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x14ac:dyDescent="0.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x14ac:dyDescent="0.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x14ac:dyDescent="0.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x14ac:dyDescent="0.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x14ac:dyDescent="0.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x14ac:dyDescent="0.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x14ac:dyDescent="0.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x14ac:dyDescent="0.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x14ac:dyDescent="0.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x14ac:dyDescent="0.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x14ac:dyDescent="0.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x14ac:dyDescent="0.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x14ac:dyDescent="0.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x14ac:dyDescent="0.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x14ac:dyDescent="0.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x14ac:dyDescent="0.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x14ac:dyDescent="0.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x14ac:dyDescent="0.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x14ac:dyDescent="0.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x14ac:dyDescent="0.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x14ac:dyDescent="0.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x14ac:dyDescent="0.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x14ac:dyDescent="0.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x14ac:dyDescent="0.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x14ac:dyDescent="0.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x14ac:dyDescent="0.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x14ac:dyDescent="0.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x14ac:dyDescent="0.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x14ac:dyDescent="0.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x14ac:dyDescent="0.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x14ac:dyDescent="0.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x14ac:dyDescent="0.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x14ac:dyDescent="0.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x14ac:dyDescent="0.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x14ac:dyDescent="0.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x14ac:dyDescent="0.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x14ac:dyDescent="0.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x14ac:dyDescent="0.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x14ac:dyDescent="0.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x14ac:dyDescent="0.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x14ac:dyDescent="0.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x14ac:dyDescent="0.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x14ac:dyDescent="0.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x14ac:dyDescent="0.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x14ac:dyDescent="0.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x14ac:dyDescent="0.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x14ac:dyDescent="0.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x14ac:dyDescent="0.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x14ac:dyDescent="0.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x14ac:dyDescent="0.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x14ac:dyDescent="0.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x14ac:dyDescent="0.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x14ac:dyDescent="0.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x14ac:dyDescent="0.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x14ac:dyDescent="0.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x14ac:dyDescent="0.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x14ac:dyDescent="0.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x14ac:dyDescent="0.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x14ac:dyDescent="0.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x14ac:dyDescent="0.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x14ac:dyDescent="0.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x14ac:dyDescent="0.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x14ac:dyDescent="0.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x14ac:dyDescent="0.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x14ac:dyDescent="0.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x14ac:dyDescent="0.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x14ac:dyDescent="0.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x14ac:dyDescent="0.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x14ac:dyDescent="0.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x14ac:dyDescent="0.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x14ac:dyDescent="0.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x14ac:dyDescent="0.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x14ac:dyDescent="0.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x14ac:dyDescent="0.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x14ac:dyDescent="0.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x14ac:dyDescent="0.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x14ac:dyDescent="0.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x14ac:dyDescent="0.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x14ac:dyDescent="0.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x14ac:dyDescent="0.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x14ac:dyDescent="0.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x14ac:dyDescent="0.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x14ac:dyDescent="0.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x14ac:dyDescent="0.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x14ac:dyDescent="0.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x14ac:dyDescent="0.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x14ac:dyDescent="0.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x14ac:dyDescent="0.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x14ac:dyDescent="0.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x14ac:dyDescent="0.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x14ac:dyDescent="0.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x14ac:dyDescent="0.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x14ac:dyDescent="0.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x14ac:dyDescent="0.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x14ac:dyDescent="0.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x14ac:dyDescent="0.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x14ac:dyDescent="0.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x14ac:dyDescent="0.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x14ac:dyDescent="0.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x14ac:dyDescent="0.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x14ac:dyDescent="0.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x14ac:dyDescent="0.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x14ac:dyDescent="0.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x14ac:dyDescent="0.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x14ac:dyDescent="0.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x14ac:dyDescent="0.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x14ac:dyDescent="0.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x14ac:dyDescent="0.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x14ac:dyDescent="0.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x14ac:dyDescent="0.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x14ac:dyDescent="0.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x14ac:dyDescent="0.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x14ac:dyDescent="0.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x14ac:dyDescent="0.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x14ac:dyDescent="0.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x14ac:dyDescent="0.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x14ac:dyDescent="0.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x14ac:dyDescent="0.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x14ac:dyDescent="0.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x14ac:dyDescent="0.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x14ac:dyDescent="0.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x14ac:dyDescent="0.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x14ac:dyDescent="0.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x14ac:dyDescent="0.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x14ac:dyDescent="0.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x14ac:dyDescent="0.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x14ac:dyDescent="0.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x14ac:dyDescent="0.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x14ac:dyDescent="0.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x14ac:dyDescent="0.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x14ac:dyDescent="0.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x14ac:dyDescent="0.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x14ac:dyDescent="0.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x14ac:dyDescent="0.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x14ac:dyDescent="0.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x14ac:dyDescent="0.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x14ac:dyDescent="0.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x14ac:dyDescent="0.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x14ac:dyDescent="0.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x14ac:dyDescent="0.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x14ac:dyDescent="0.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x14ac:dyDescent="0.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x14ac:dyDescent="0.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x14ac:dyDescent="0.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x14ac:dyDescent="0.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x14ac:dyDescent="0.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x14ac:dyDescent="0.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x14ac:dyDescent="0.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x14ac:dyDescent="0.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x14ac:dyDescent="0.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x14ac:dyDescent="0.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x14ac:dyDescent="0.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x14ac:dyDescent="0.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x14ac:dyDescent="0.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x14ac:dyDescent="0.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x14ac:dyDescent="0.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x14ac:dyDescent="0.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x14ac:dyDescent="0.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x14ac:dyDescent="0.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x14ac:dyDescent="0.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x14ac:dyDescent="0.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x14ac:dyDescent="0.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x14ac:dyDescent="0.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x14ac:dyDescent="0.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x14ac:dyDescent="0.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x14ac:dyDescent="0.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x14ac:dyDescent="0.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x14ac:dyDescent="0.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x14ac:dyDescent="0.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x14ac:dyDescent="0.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x14ac:dyDescent="0.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x14ac:dyDescent="0.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x14ac:dyDescent="0.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x14ac:dyDescent="0.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x14ac:dyDescent="0.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x14ac:dyDescent="0.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x14ac:dyDescent="0.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x14ac:dyDescent="0.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x14ac:dyDescent="0.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x14ac:dyDescent="0.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x14ac:dyDescent="0.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x14ac:dyDescent="0.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x14ac:dyDescent="0.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x14ac:dyDescent="0.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x14ac:dyDescent="0.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x14ac:dyDescent="0.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x14ac:dyDescent="0.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x14ac:dyDescent="0.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x14ac:dyDescent="0.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x14ac:dyDescent="0.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x14ac:dyDescent="0.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x14ac:dyDescent="0.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x14ac:dyDescent="0.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x14ac:dyDescent="0.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x14ac:dyDescent="0.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x14ac:dyDescent="0.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x14ac:dyDescent="0.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x14ac:dyDescent="0.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x14ac:dyDescent="0.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x14ac:dyDescent="0.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x14ac:dyDescent="0.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x14ac:dyDescent="0.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x14ac:dyDescent="0.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x14ac:dyDescent="0.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x14ac:dyDescent="0.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x14ac:dyDescent="0.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x14ac:dyDescent="0.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x14ac:dyDescent="0.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x14ac:dyDescent="0.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x14ac:dyDescent="0.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x14ac:dyDescent="0.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x14ac:dyDescent="0.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x14ac:dyDescent="0.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x14ac:dyDescent="0.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x14ac:dyDescent="0.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x14ac:dyDescent="0.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x14ac:dyDescent="0.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x14ac:dyDescent="0.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x14ac:dyDescent="0.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x14ac:dyDescent="0.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x14ac:dyDescent="0.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x14ac:dyDescent="0.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x14ac:dyDescent="0.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x14ac:dyDescent="0.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x14ac:dyDescent="0.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x14ac:dyDescent="0.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x14ac:dyDescent="0.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x14ac:dyDescent="0.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x14ac:dyDescent="0.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x14ac:dyDescent="0.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x14ac:dyDescent="0.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x14ac:dyDescent="0.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x14ac:dyDescent="0.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x14ac:dyDescent="0.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x14ac:dyDescent="0.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x14ac:dyDescent="0.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x14ac:dyDescent="0.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x14ac:dyDescent="0.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x14ac:dyDescent="0.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x14ac:dyDescent="0.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x14ac:dyDescent="0.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x14ac:dyDescent="0.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x14ac:dyDescent="0.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x14ac:dyDescent="0.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x14ac:dyDescent="0.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x14ac:dyDescent="0.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x14ac:dyDescent="0.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x14ac:dyDescent="0.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x14ac:dyDescent="0.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x14ac:dyDescent="0.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x14ac:dyDescent="0.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x14ac:dyDescent="0.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x14ac:dyDescent="0.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x14ac:dyDescent="0.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x14ac:dyDescent="0.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x14ac:dyDescent="0.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x14ac:dyDescent="0.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x14ac:dyDescent="0.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x14ac:dyDescent="0.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x14ac:dyDescent="0.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x14ac:dyDescent="0.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x14ac:dyDescent="0.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x14ac:dyDescent="0.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x14ac:dyDescent="0.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x14ac:dyDescent="0.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x14ac:dyDescent="0.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x14ac:dyDescent="0.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x14ac:dyDescent="0.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x14ac:dyDescent="0.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x14ac:dyDescent="0.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x14ac:dyDescent="0.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x14ac:dyDescent="0.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x14ac:dyDescent="0.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x14ac:dyDescent="0.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x14ac:dyDescent="0.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x14ac:dyDescent="0.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x14ac:dyDescent="0.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x14ac:dyDescent="0.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x14ac:dyDescent="0.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x14ac:dyDescent="0.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x14ac:dyDescent="0.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x14ac:dyDescent="0.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x14ac:dyDescent="0.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x14ac:dyDescent="0.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x14ac:dyDescent="0.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x14ac:dyDescent="0.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x14ac:dyDescent="0.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x14ac:dyDescent="0.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x14ac:dyDescent="0.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x14ac:dyDescent="0.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x14ac:dyDescent="0.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x14ac:dyDescent="0.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x14ac:dyDescent="0.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x14ac:dyDescent="0.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x14ac:dyDescent="0.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x14ac:dyDescent="0.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x14ac:dyDescent="0.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x14ac:dyDescent="0.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x14ac:dyDescent="0.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x14ac:dyDescent="0.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x14ac:dyDescent="0.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x14ac:dyDescent="0.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x14ac:dyDescent="0.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x14ac:dyDescent="0.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x14ac:dyDescent="0.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x14ac:dyDescent="0.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x14ac:dyDescent="0.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x14ac:dyDescent="0.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x14ac:dyDescent="0.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x14ac:dyDescent="0.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x14ac:dyDescent="0.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x14ac:dyDescent="0.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x14ac:dyDescent="0.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x14ac:dyDescent="0.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x14ac:dyDescent="0.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x14ac:dyDescent="0.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x14ac:dyDescent="0.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x14ac:dyDescent="0.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x14ac:dyDescent="0.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x14ac:dyDescent="0.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x14ac:dyDescent="0.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x14ac:dyDescent="0.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x14ac:dyDescent="0.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x14ac:dyDescent="0.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x14ac:dyDescent="0.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x14ac:dyDescent="0.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x14ac:dyDescent="0.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x14ac:dyDescent="0.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x14ac:dyDescent="0.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x14ac:dyDescent="0.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x14ac:dyDescent="0.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x14ac:dyDescent="0.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x14ac:dyDescent="0.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x14ac:dyDescent="0.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x14ac:dyDescent="0.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x14ac:dyDescent="0.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x14ac:dyDescent="0.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x14ac:dyDescent="0.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x14ac:dyDescent="0.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x14ac:dyDescent="0.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x14ac:dyDescent="0.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x14ac:dyDescent="0.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x14ac:dyDescent="0.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x14ac:dyDescent="0.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x14ac:dyDescent="0.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x14ac:dyDescent="0.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x14ac:dyDescent="0.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x14ac:dyDescent="0.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x14ac:dyDescent="0.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x14ac:dyDescent="0.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x14ac:dyDescent="0.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x14ac:dyDescent="0.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x14ac:dyDescent="0.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x14ac:dyDescent="0.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x14ac:dyDescent="0.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x14ac:dyDescent="0.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x14ac:dyDescent="0.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x14ac:dyDescent="0.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x14ac:dyDescent="0.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x14ac:dyDescent="0.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x14ac:dyDescent="0.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x14ac:dyDescent="0.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x14ac:dyDescent="0.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x14ac:dyDescent="0.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x14ac:dyDescent="0.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x14ac:dyDescent="0.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x14ac:dyDescent="0.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x14ac:dyDescent="0.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x14ac:dyDescent="0.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x14ac:dyDescent="0.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x14ac:dyDescent="0.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x14ac:dyDescent="0.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x14ac:dyDescent="0.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x14ac:dyDescent="0.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x14ac:dyDescent="0.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x14ac:dyDescent="0.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x14ac:dyDescent="0.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x14ac:dyDescent="0.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x14ac:dyDescent="0.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x14ac:dyDescent="0.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x14ac:dyDescent="0.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x14ac:dyDescent="0.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x14ac:dyDescent="0.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x14ac:dyDescent="0.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x14ac:dyDescent="0.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x14ac:dyDescent="0.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x14ac:dyDescent="0.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x14ac:dyDescent="0.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x14ac:dyDescent="0.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x14ac:dyDescent="0.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x14ac:dyDescent="0.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x14ac:dyDescent="0.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x14ac:dyDescent="0.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x14ac:dyDescent="0.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x14ac:dyDescent="0.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x14ac:dyDescent="0.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x14ac:dyDescent="0.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x14ac:dyDescent="0.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x14ac:dyDescent="0.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x14ac:dyDescent="0.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x14ac:dyDescent="0.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x14ac:dyDescent="0.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x14ac:dyDescent="0.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x14ac:dyDescent="0.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x14ac:dyDescent="0.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x14ac:dyDescent="0.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x14ac:dyDescent="0.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x14ac:dyDescent="0.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x14ac:dyDescent="0.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x14ac:dyDescent="0.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x14ac:dyDescent="0.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x14ac:dyDescent="0.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x14ac:dyDescent="0.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x14ac:dyDescent="0.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x14ac:dyDescent="0.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x14ac:dyDescent="0.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x14ac:dyDescent="0.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x14ac:dyDescent="0.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x14ac:dyDescent="0.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x14ac:dyDescent="0.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x14ac:dyDescent="0.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x14ac:dyDescent="0.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x14ac:dyDescent="0.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x14ac:dyDescent="0.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x14ac:dyDescent="0.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x14ac:dyDescent="0.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x14ac:dyDescent="0.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x14ac:dyDescent="0.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x14ac:dyDescent="0.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x14ac:dyDescent="0.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x14ac:dyDescent="0.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x14ac:dyDescent="0.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x14ac:dyDescent="0.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x14ac:dyDescent="0.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x14ac:dyDescent="0.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x14ac:dyDescent="0.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x14ac:dyDescent="0.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x14ac:dyDescent="0.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x14ac:dyDescent="0.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x14ac:dyDescent="0.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x14ac:dyDescent="0.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x14ac:dyDescent="0.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x14ac:dyDescent="0.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x14ac:dyDescent="0.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x14ac:dyDescent="0.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x14ac:dyDescent="0.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x14ac:dyDescent="0.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x14ac:dyDescent="0.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x14ac:dyDescent="0.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x14ac:dyDescent="0.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x14ac:dyDescent="0.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x14ac:dyDescent="0.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x14ac:dyDescent="0.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x14ac:dyDescent="0.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x14ac:dyDescent="0.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x14ac:dyDescent="0.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x14ac:dyDescent="0.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x14ac:dyDescent="0.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x14ac:dyDescent="0.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x14ac:dyDescent="0.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x14ac:dyDescent="0.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x14ac:dyDescent="0.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x14ac:dyDescent="0.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x14ac:dyDescent="0.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x14ac:dyDescent="0.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x14ac:dyDescent="0.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x14ac:dyDescent="0.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x14ac:dyDescent="0.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x14ac:dyDescent="0.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x14ac:dyDescent="0.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x14ac:dyDescent="0.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x14ac:dyDescent="0.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x14ac:dyDescent="0.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x14ac:dyDescent="0.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x14ac:dyDescent="0.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x14ac:dyDescent="0.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x14ac:dyDescent="0.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x14ac:dyDescent="0.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x14ac:dyDescent="0.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x14ac:dyDescent="0.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x14ac:dyDescent="0.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x14ac:dyDescent="0.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x14ac:dyDescent="0.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x14ac:dyDescent="0.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x14ac:dyDescent="0.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x14ac:dyDescent="0.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x14ac:dyDescent="0.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x14ac:dyDescent="0.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x14ac:dyDescent="0.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x14ac:dyDescent="0.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x14ac:dyDescent="0.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x14ac:dyDescent="0.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x14ac:dyDescent="0.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x14ac:dyDescent="0.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x14ac:dyDescent="0.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x14ac:dyDescent="0.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x14ac:dyDescent="0.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x14ac:dyDescent="0.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x14ac:dyDescent="0.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x14ac:dyDescent="0.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x14ac:dyDescent="0.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x14ac:dyDescent="0.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x14ac:dyDescent="0.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x14ac:dyDescent="0.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x14ac:dyDescent="0.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x14ac:dyDescent="0.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x14ac:dyDescent="0.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x14ac:dyDescent="0.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x14ac:dyDescent="0.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x14ac:dyDescent="0.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x14ac:dyDescent="0.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x14ac:dyDescent="0.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x14ac:dyDescent="0.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x14ac:dyDescent="0.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x14ac:dyDescent="0.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x14ac:dyDescent="0.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x14ac:dyDescent="0.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x14ac:dyDescent="0.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x14ac:dyDescent="0.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x14ac:dyDescent="0.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x14ac:dyDescent="0.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x14ac:dyDescent="0.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x14ac:dyDescent="0.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x14ac:dyDescent="0.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x14ac:dyDescent="0.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x14ac:dyDescent="0.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x14ac:dyDescent="0.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x14ac:dyDescent="0.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x14ac:dyDescent="0.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x14ac:dyDescent="0.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x14ac:dyDescent="0.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x14ac:dyDescent="0.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x14ac:dyDescent="0.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x14ac:dyDescent="0.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x14ac:dyDescent="0.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x14ac:dyDescent="0.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x14ac:dyDescent="0.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x14ac:dyDescent="0.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x14ac:dyDescent="0.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x14ac:dyDescent="0.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x14ac:dyDescent="0.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x14ac:dyDescent="0.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x14ac:dyDescent="0.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x14ac:dyDescent="0.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x14ac:dyDescent="0.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x14ac:dyDescent="0.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x14ac:dyDescent="0.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x14ac:dyDescent="0.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x14ac:dyDescent="0.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x14ac:dyDescent="0.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x14ac:dyDescent="0.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x14ac:dyDescent="0.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x14ac:dyDescent="0.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x14ac:dyDescent="0.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x14ac:dyDescent="0.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x14ac:dyDescent="0.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x14ac:dyDescent="0.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x14ac:dyDescent="0.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x14ac:dyDescent="0.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x14ac:dyDescent="0.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x14ac:dyDescent="0.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x14ac:dyDescent="0.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x14ac:dyDescent="0.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x14ac:dyDescent="0.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x14ac:dyDescent="0.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x14ac:dyDescent="0.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x14ac:dyDescent="0.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x14ac:dyDescent="0.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x14ac:dyDescent="0.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x14ac:dyDescent="0.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x14ac:dyDescent="0.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x14ac:dyDescent="0.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x14ac:dyDescent="0.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x14ac:dyDescent="0.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x14ac:dyDescent="0.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x14ac:dyDescent="0.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x14ac:dyDescent="0.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x14ac:dyDescent="0.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x14ac:dyDescent="0.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x14ac:dyDescent="0.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x14ac:dyDescent="0.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x14ac:dyDescent="0.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x14ac:dyDescent="0.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x14ac:dyDescent="0.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x14ac:dyDescent="0.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x14ac:dyDescent="0.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x14ac:dyDescent="0.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x14ac:dyDescent="0.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x14ac:dyDescent="0.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x14ac:dyDescent="0.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x14ac:dyDescent="0.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x14ac:dyDescent="0.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x14ac:dyDescent="0.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x14ac:dyDescent="0.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x14ac:dyDescent="0.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x14ac:dyDescent="0.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x14ac:dyDescent="0.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x14ac:dyDescent="0.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x14ac:dyDescent="0.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x14ac:dyDescent="0.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x14ac:dyDescent="0.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x14ac:dyDescent="0.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x14ac:dyDescent="0.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x14ac:dyDescent="0.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row r="1598" spans="2:28" x14ac:dyDescent="0.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row>
  </sheetData>
  <mergeCells count="3">
    <mergeCell ref="B8:M8"/>
    <mergeCell ref="B29:M29"/>
    <mergeCell ref="B48:M48"/>
  </mergeCells>
  <phoneticPr fontId="14" type="noConversion"/>
  <printOptions horizontalCentered="1"/>
  <pageMargins left="0.7" right="0.7" top="0.75" bottom="0.75" header="0.3" footer="0.3"/>
  <pageSetup fitToHeight="0" orientation="portrait" r:id="rId1"/>
  <headerFooter>
    <oddHeader>&amp;R&amp;9KAW_R_PSCDR1_NUM014_Attachment 1
Case No. 2015-00418
Page &amp;P of &amp;N</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8"/>
  <sheetViews>
    <sheetView tabSelected="1" view="pageLayout" topLeftCell="C7" zoomScaleNormal="100" workbookViewId="0">
      <selection activeCell="M516" sqref="M516"/>
    </sheetView>
  </sheetViews>
  <sheetFormatPr defaultColWidth="9.77734375" defaultRowHeight="15" x14ac:dyDescent="0.2"/>
  <cols>
    <col min="1" max="1" width="5.77734375" style="14" customWidth="1"/>
    <col min="2" max="2" width="11.21875" style="14" customWidth="1"/>
    <col min="3" max="3" width="3.5546875" style="14" customWidth="1"/>
    <col min="4" max="4" width="9.77734375" style="14" customWidth="1"/>
    <col min="5" max="5" width="3.5546875" style="14" customWidth="1"/>
    <col min="6" max="6" width="9.77734375" style="14" customWidth="1"/>
    <col min="7" max="7" width="3.5546875" style="14" customWidth="1"/>
    <col min="8" max="8" width="9.77734375" style="14" customWidth="1"/>
    <col min="9" max="9" width="3.5546875" style="14" customWidth="1"/>
    <col min="10" max="16384" width="9.77734375" style="14"/>
  </cols>
  <sheetData>
    <row r="1" spans="1:10" x14ac:dyDescent="0.2">
      <c r="A1" s="15" t="s">
        <v>7</v>
      </c>
      <c r="B1" s="13"/>
      <c r="C1" s="13"/>
      <c r="D1" s="13"/>
      <c r="E1" s="13"/>
      <c r="F1" s="13"/>
      <c r="G1" s="13"/>
      <c r="H1" s="13"/>
      <c r="I1" s="13"/>
      <c r="J1" s="13"/>
    </row>
    <row r="2" spans="1:10" x14ac:dyDescent="0.2">
      <c r="A2" s="15"/>
      <c r="B2" s="13"/>
      <c r="C2" s="13"/>
      <c r="D2" s="13"/>
      <c r="E2" s="13"/>
      <c r="F2" s="13"/>
      <c r="G2" s="13"/>
      <c r="H2" s="13"/>
      <c r="I2" s="13"/>
      <c r="J2" s="13"/>
    </row>
    <row r="3" spans="1:10" x14ac:dyDescent="0.2">
      <c r="A3" s="703" t="s">
        <v>234</v>
      </c>
      <c r="B3" s="703"/>
      <c r="C3" s="703"/>
      <c r="D3" s="703"/>
      <c r="E3" s="703"/>
      <c r="F3" s="703"/>
      <c r="G3" s="703"/>
      <c r="H3" s="703"/>
      <c r="I3" s="703"/>
      <c r="J3" s="703"/>
    </row>
    <row r="4" spans="1:10" x14ac:dyDescent="0.2">
      <c r="A4" s="704"/>
      <c r="B4" s="704"/>
      <c r="C4" s="704"/>
      <c r="D4" s="704"/>
      <c r="E4" s="704"/>
      <c r="F4" s="704"/>
      <c r="G4" s="704"/>
      <c r="H4" s="704"/>
      <c r="I4" s="704"/>
      <c r="J4" s="704"/>
    </row>
    <row r="5" spans="1:10" x14ac:dyDescent="0.2">
      <c r="A5" s="704" t="s">
        <v>219</v>
      </c>
      <c r="B5" s="704"/>
      <c r="C5" s="704"/>
      <c r="D5" s="704"/>
      <c r="E5" s="704"/>
      <c r="F5" s="704"/>
      <c r="G5" s="704"/>
      <c r="H5" s="704"/>
      <c r="I5" s="704"/>
      <c r="J5" s="704"/>
    </row>
    <row r="6" spans="1:10" x14ac:dyDescent="0.2">
      <c r="A6" s="704" t="s">
        <v>235</v>
      </c>
      <c r="B6" s="704"/>
      <c r="C6" s="704"/>
      <c r="D6" s="704"/>
      <c r="E6" s="704"/>
      <c r="F6" s="704"/>
      <c r="G6" s="704"/>
      <c r="H6" s="704"/>
      <c r="I6" s="704"/>
      <c r="J6" s="704"/>
    </row>
    <row r="7" spans="1:10" x14ac:dyDescent="0.2">
      <c r="A7" s="704"/>
      <c r="B7" s="704"/>
      <c r="C7" s="704"/>
      <c r="D7" s="704"/>
      <c r="E7" s="704"/>
      <c r="F7" s="704"/>
      <c r="G7" s="704"/>
      <c r="H7" s="704"/>
      <c r="I7" s="704"/>
      <c r="J7" s="704"/>
    </row>
    <row r="8" spans="1:10" x14ac:dyDescent="0.2">
      <c r="A8" s="704"/>
      <c r="B8" s="704"/>
      <c r="C8" s="704"/>
      <c r="D8" s="704"/>
      <c r="E8" s="704"/>
      <c r="F8" s="703" t="s">
        <v>236</v>
      </c>
      <c r="G8" s="703"/>
      <c r="H8" s="703"/>
      <c r="I8" s="703"/>
      <c r="J8" s="703"/>
    </row>
    <row r="9" spans="1:10" x14ac:dyDescent="0.2">
      <c r="A9" s="704"/>
      <c r="B9" s="704"/>
      <c r="C9" s="704"/>
      <c r="D9" s="705" t="s">
        <v>199</v>
      </c>
      <c r="E9" s="705"/>
      <c r="F9" s="706"/>
      <c r="G9" s="706"/>
      <c r="H9" s="706" t="s">
        <v>237</v>
      </c>
      <c r="I9" s="706"/>
      <c r="J9" s="706"/>
    </row>
    <row r="10" spans="1:10" x14ac:dyDescent="0.2">
      <c r="A10" s="703" t="s">
        <v>200</v>
      </c>
      <c r="B10" s="703"/>
      <c r="C10" s="704"/>
      <c r="D10" s="705" t="s">
        <v>201</v>
      </c>
      <c r="E10" s="705"/>
      <c r="F10" s="705"/>
      <c r="G10" s="705"/>
      <c r="H10" s="705" t="s">
        <v>583</v>
      </c>
      <c r="I10" s="705"/>
      <c r="J10" s="705" t="s">
        <v>202</v>
      </c>
    </row>
    <row r="11" spans="1:10" x14ac:dyDescent="0.2">
      <c r="A11" s="703" t="s">
        <v>203</v>
      </c>
      <c r="B11" s="703"/>
      <c r="C11" s="704"/>
      <c r="D11" s="705" t="s">
        <v>583</v>
      </c>
      <c r="E11" s="705"/>
      <c r="F11" s="705" t="s">
        <v>238</v>
      </c>
      <c r="G11" s="705"/>
      <c r="H11" s="705" t="s">
        <v>239</v>
      </c>
      <c r="I11" s="705"/>
      <c r="J11" s="705" t="s">
        <v>204</v>
      </c>
    </row>
    <row r="12" spans="1:10" x14ac:dyDescent="0.2">
      <c r="A12" s="707" t="s">
        <v>205</v>
      </c>
      <c r="B12" s="707"/>
      <c r="C12" s="704"/>
      <c r="D12" s="706" t="s">
        <v>227</v>
      </c>
      <c r="E12" s="704"/>
      <c r="F12" s="706" t="s">
        <v>207</v>
      </c>
      <c r="G12" s="704"/>
      <c r="H12" s="706" t="s">
        <v>240</v>
      </c>
      <c r="I12" s="704"/>
      <c r="J12" s="706" t="s">
        <v>241</v>
      </c>
    </row>
    <row r="13" spans="1:10" x14ac:dyDescent="0.2">
      <c r="A13" s="704"/>
      <c r="B13" s="704"/>
      <c r="C13" s="704"/>
      <c r="D13" s="704"/>
      <c r="E13" s="704"/>
      <c r="F13" s="704"/>
      <c r="G13" s="704"/>
      <c r="H13" s="704"/>
      <c r="I13" s="704"/>
      <c r="J13" s="704"/>
    </row>
    <row r="14" spans="1:10" x14ac:dyDescent="0.2">
      <c r="A14" s="704" t="s">
        <v>208</v>
      </c>
      <c r="B14" s="704"/>
      <c r="C14" s="704"/>
      <c r="D14" s="708">
        <f>'F 1-2'!$G$15</f>
        <v>15275</v>
      </c>
      <c r="E14" s="704"/>
      <c r="F14" s="822">
        <v>1</v>
      </c>
      <c r="G14" s="704"/>
      <c r="H14" s="708">
        <f>ROUND(+D14*F14,0)</f>
        <v>15275</v>
      </c>
      <c r="I14" s="704"/>
      <c r="J14" s="709">
        <f>ROUND(H14/H$20,4)+0.0001</f>
        <v>0.53979999999999995</v>
      </c>
    </row>
    <row r="15" spans="1:10" x14ac:dyDescent="0.2">
      <c r="A15" s="704" t="s">
        <v>209</v>
      </c>
      <c r="B15" s="704"/>
      <c r="C15" s="704"/>
      <c r="D15" s="708">
        <f>'F 1-2'!$G$16</f>
        <v>9566</v>
      </c>
      <c r="E15" s="704"/>
      <c r="F15" s="822">
        <v>0.9</v>
      </c>
      <c r="G15" s="704"/>
      <c r="H15" s="708">
        <f>ROUND(+D15*F15,0)</f>
        <v>8609</v>
      </c>
      <c r="I15" s="704"/>
      <c r="J15" s="710">
        <f>ROUND(H15/H$20,4)</f>
        <v>0.30420000000000003</v>
      </c>
    </row>
    <row r="16" spans="1:10" x14ac:dyDescent="0.2">
      <c r="A16" s="704" t="s">
        <v>210</v>
      </c>
      <c r="B16" s="704"/>
      <c r="C16" s="704"/>
      <c r="D16" s="708">
        <f>'F 1-2'!$G$17</f>
        <v>1696</v>
      </c>
      <c r="E16" s="704"/>
      <c r="F16" s="822">
        <v>0.7</v>
      </c>
      <c r="G16" s="704"/>
      <c r="H16" s="708">
        <f>ROUND(+D16*F16,0)</f>
        <v>1187</v>
      </c>
      <c r="I16" s="704"/>
      <c r="J16" s="710">
        <f>ROUND(H16/H$20,4)</f>
        <v>4.19E-2</v>
      </c>
    </row>
    <row r="17" spans="1:13" x14ac:dyDescent="0.2">
      <c r="A17" s="704" t="s">
        <v>214</v>
      </c>
      <c r="B17" s="704"/>
      <c r="C17" s="704"/>
      <c r="D17" s="708">
        <f>'F 1-2'!$G$18</f>
        <v>3277</v>
      </c>
      <c r="E17" s="704"/>
      <c r="F17" s="822">
        <v>0.75</v>
      </c>
      <c r="G17" s="704"/>
      <c r="H17" s="708">
        <f>ROUND(+D17*F17,0)</f>
        <v>2458</v>
      </c>
      <c r="I17" s="704"/>
      <c r="J17" s="710">
        <f>ROUND(H17/H$20,4)</f>
        <v>8.6800000000000002E-2</v>
      </c>
    </row>
    <row r="18" spans="1:13" x14ac:dyDescent="0.2">
      <c r="A18" s="704" t="s">
        <v>333</v>
      </c>
      <c r="B18" s="704"/>
      <c r="C18" s="704"/>
      <c r="D18" s="708">
        <f>'F 1-2'!$G$19</f>
        <v>1105</v>
      </c>
      <c r="E18" s="704"/>
      <c r="F18" s="822">
        <v>0.7</v>
      </c>
      <c r="G18" s="704"/>
      <c r="H18" s="708">
        <f>ROUND(+D18*F18,0)</f>
        <v>774</v>
      </c>
      <c r="I18" s="704"/>
      <c r="J18" s="710">
        <f>ROUND(H18/H$20,4)</f>
        <v>2.7300000000000001E-2</v>
      </c>
    </row>
    <row r="19" spans="1:13" x14ac:dyDescent="0.2">
      <c r="A19" s="704"/>
      <c r="B19" s="704"/>
      <c r="C19" s="704"/>
      <c r="D19" s="711"/>
      <c r="E19" s="704"/>
      <c r="F19" s="712"/>
      <c r="G19" s="704"/>
      <c r="H19" s="711"/>
      <c r="I19" s="704"/>
      <c r="J19" s="713"/>
    </row>
    <row r="20" spans="1:13" ht="15.75" thickBot="1" x14ac:dyDescent="0.25">
      <c r="A20" s="704" t="s">
        <v>218</v>
      </c>
      <c r="B20" s="704"/>
      <c r="C20" s="704"/>
      <c r="D20" s="708">
        <f>SUM(D14:D18)</f>
        <v>30919</v>
      </c>
      <c r="E20" s="704"/>
      <c r="F20" s="712"/>
      <c r="G20" s="704"/>
      <c r="H20" s="714">
        <f>SUM(H14:H18)</f>
        <v>28303</v>
      </c>
      <c r="I20" s="704"/>
      <c r="J20" s="710">
        <f>SUM(J14:J19)</f>
        <v>1</v>
      </c>
      <c r="L20" s="162"/>
      <c r="M20" s="163"/>
    </row>
    <row r="21" spans="1:13" ht="15.75" thickTop="1" x14ac:dyDescent="0.2">
      <c r="A21" s="704"/>
      <c r="B21" s="704"/>
      <c r="C21" s="704"/>
      <c r="D21" s="715"/>
      <c r="E21" s="704"/>
      <c r="F21" s="712"/>
      <c r="G21" s="704"/>
      <c r="H21" s="716"/>
      <c r="I21" s="704"/>
      <c r="J21" s="717"/>
      <c r="M21" s="164"/>
    </row>
    <row r="22" spans="1:13" x14ac:dyDescent="0.2">
      <c r="A22" s="704"/>
      <c r="B22" s="704"/>
      <c r="C22" s="704"/>
      <c r="D22" s="718"/>
      <c r="E22" s="704"/>
      <c r="F22" s="704"/>
      <c r="G22" s="704"/>
      <c r="H22" s="712"/>
      <c r="I22" s="704"/>
      <c r="J22" s="704"/>
    </row>
    <row r="23" spans="1:13" ht="30.6" customHeight="1" x14ac:dyDescent="0.2">
      <c r="A23" s="850" t="s">
        <v>963</v>
      </c>
      <c r="B23" s="850"/>
      <c r="C23" s="850"/>
      <c r="D23" s="850"/>
      <c r="E23" s="850"/>
      <c r="F23" s="850"/>
      <c r="G23" s="850"/>
      <c r="H23" s="850"/>
      <c r="I23" s="850"/>
      <c r="J23" s="850"/>
    </row>
    <row r="24" spans="1:13" x14ac:dyDescent="0.2">
      <c r="A24" s="704"/>
      <c r="B24" s="704"/>
      <c r="C24" s="704"/>
      <c r="D24" s="704"/>
      <c r="E24" s="704"/>
      <c r="F24" s="704"/>
      <c r="G24" s="704"/>
      <c r="H24" s="704"/>
      <c r="I24" s="704"/>
      <c r="J24" s="704"/>
    </row>
    <row r="25" spans="1:13" x14ac:dyDescent="0.2">
      <c r="A25" s="704"/>
      <c r="B25" s="719"/>
      <c r="C25" s="719"/>
      <c r="D25" s="704"/>
      <c r="E25" s="704"/>
      <c r="F25" s="705" t="s">
        <v>242</v>
      </c>
      <c r="G25" s="705"/>
      <c r="H25" s="705"/>
      <c r="I25" s="704"/>
      <c r="J25" s="704"/>
    </row>
    <row r="26" spans="1:13" x14ac:dyDescent="0.2">
      <c r="A26" s="704"/>
      <c r="B26" s="719"/>
      <c r="C26" s="719"/>
      <c r="D26" s="704"/>
      <c r="E26" s="704"/>
      <c r="F26" s="705" t="s">
        <v>243</v>
      </c>
      <c r="G26" s="705"/>
      <c r="H26" s="705"/>
      <c r="I26" s="704"/>
      <c r="J26" s="704"/>
    </row>
    <row r="27" spans="1:13" x14ac:dyDescent="0.2">
      <c r="A27" s="704"/>
      <c r="B27" s="719"/>
      <c r="C27" s="719"/>
      <c r="D27" s="704"/>
      <c r="E27" s="704"/>
      <c r="F27" s="705" t="s">
        <v>244</v>
      </c>
      <c r="G27" s="705"/>
      <c r="H27" s="705" t="s">
        <v>245</v>
      </c>
      <c r="I27" s="704"/>
      <c r="J27" s="704"/>
    </row>
    <row r="28" spans="1:13" ht="10.15" customHeight="1" x14ac:dyDescent="0.2">
      <c r="A28" s="704"/>
      <c r="B28" s="719"/>
      <c r="C28" s="719"/>
      <c r="D28" s="704"/>
      <c r="E28" s="704"/>
      <c r="F28" s="720"/>
      <c r="G28" s="704"/>
      <c r="H28" s="720"/>
      <c r="I28" s="704"/>
      <c r="J28" s="704"/>
    </row>
    <row r="29" spans="1:13" x14ac:dyDescent="0.2">
      <c r="A29" s="704"/>
      <c r="B29" s="719"/>
      <c r="C29" s="719"/>
      <c r="D29" s="704" t="s">
        <v>246</v>
      </c>
      <c r="E29" s="719"/>
      <c r="F29" s="721">
        <v>1</v>
      </c>
      <c r="G29" s="704"/>
      <c r="H29" s="710">
        <f>ROUND(F29/F33,4)</f>
        <v>0.57140000000000002</v>
      </c>
      <c r="I29" s="704"/>
      <c r="J29" s="704"/>
    </row>
    <row r="30" spans="1:13" x14ac:dyDescent="0.2">
      <c r="A30" s="704"/>
      <c r="B30" s="719"/>
      <c r="C30" s="719"/>
      <c r="D30" s="704" t="s">
        <v>222</v>
      </c>
      <c r="E30" s="719"/>
      <c r="F30" s="721"/>
      <c r="G30" s="704"/>
      <c r="H30" s="704"/>
      <c r="I30" s="704"/>
      <c r="J30" s="704"/>
    </row>
    <row r="31" spans="1:13" x14ac:dyDescent="0.2">
      <c r="A31" s="704"/>
      <c r="B31" s="719"/>
      <c r="C31" s="719"/>
      <c r="D31" s="704" t="s">
        <v>182</v>
      </c>
      <c r="E31" s="719"/>
      <c r="F31" s="822">
        <v>0.75</v>
      </c>
      <c r="G31" s="704"/>
      <c r="H31" s="710">
        <f>ROUND(F31/F33,4)</f>
        <v>0.42859999999999998</v>
      </c>
      <c r="I31" s="704"/>
      <c r="J31" s="704"/>
    </row>
    <row r="32" spans="1:13" ht="10.9" customHeight="1" x14ac:dyDescent="0.2">
      <c r="A32" s="704"/>
      <c r="B32" s="719"/>
      <c r="C32" s="719"/>
      <c r="D32" s="704"/>
      <c r="E32" s="719"/>
      <c r="F32" s="722"/>
      <c r="G32" s="704"/>
      <c r="H32" s="720"/>
      <c r="I32" s="704"/>
      <c r="J32" s="704"/>
    </row>
    <row r="33" spans="1:10" ht="15.75" thickBot="1" x14ac:dyDescent="0.25">
      <c r="A33" s="704"/>
      <c r="B33" s="719"/>
      <c r="C33" s="719"/>
      <c r="D33" s="704" t="s">
        <v>248</v>
      </c>
      <c r="E33" s="719"/>
      <c r="F33" s="723">
        <f>SUM(F29:F32)</f>
        <v>1.75</v>
      </c>
      <c r="G33" s="704"/>
      <c r="H33" s="710">
        <f>SUM(H29:H32)</f>
        <v>1</v>
      </c>
      <c r="I33" s="704"/>
      <c r="J33" s="704"/>
    </row>
    <row r="34" spans="1:10" ht="15.75" thickTop="1" x14ac:dyDescent="0.2">
      <c r="A34" s="704"/>
      <c r="B34" s="719"/>
      <c r="C34" s="719"/>
      <c r="D34" s="704"/>
      <c r="E34" s="704"/>
      <c r="F34" s="724"/>
      <c r="G34" s="704"/>
      <c r="H34" s="725"/>
      <c r="I34" s="704"/>
      <c r="J34" s="704"/>
    </row>
    <row r="35" spans="1:10" x14ac:dyDescent="0.2">
      <c r="A35" s="704"/>
      <c r="B35" s="704"/>
      <c r="C35" s="704"/>
      <c r="D35" s="704"/>
      <c r="E35" s="721"/>
      <c r="F35" s="704"/>
      <c r="G35" s="704"/>
      <c r="H35" s="704"/>
      <c r="I35" s="704"/>
      <c r="J35" s="704"/>
    </row>
    <row r="36" spans="1:10" x14ac:dyDescent="0.2">
      <c r="A36" s="704"/>
      <c r="B36" s="704"/>
      <c r="C36" s="704"/>
      <c r="D36" s="704"/>
      <c r="E36" s="704"/>
      <c r="F36" s="704"/>
      <c r="G36" s="704"/>
      <c r="H36" s="704"/>
      <c r="I36" s="704"/>
      <c r="J36" s="704"/>
    </row>
    <row r="37" spans="1:10" x14ac:dyDescent="0.2">
      <c r="A37" s="720" t="s">
        <v>249</v>
      </c>
      <c r="B37" s="720"/>
      <c r="C37" s="704"/>
      <c r="D37" s="704"/>
      <c r="E37" s="704"/>
      <c r="F37" s="704"/>
      <c r="G37" s="704"/>
      <c r="H37" s="704"/>
      <c r="I37" s="704"/>
      <c r="J37" s="704"/>
    </row>
    <row r="38" spans="1:10" x14ac:dyDescent="0.2">
      <c r="A38" s="719"/>
      <c r="B38" s="719"/>
      <c r="C38" s="719"/>
      <c r="D38" s="719"/>
      <c r="E38" s="719"/>
      <c r="F38" s="719"/>
      <c r="G38" s="719"/>
      <c r="H38" s="719"/>
      <c r="I38" s="719"/>
      <c r="J38" s="719"/>
    </row>
  </sheetData>
  <mergeCells count="1">
    <mergeCell ref="A23:J23"/>
  </mergeCells>
  <phoneticPr fontId="14" type="noConversion"/>
  <printOptions horizontalCentered="1"/>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O214"/>
  <sheetViews>
    <sheetView tabSelected="1" view="pageLayout" zoomScaleNormal="100" workbookViewId="0">
      <selection activeCell="M516" sqref="M516"/>
    </sheetView>
  </sheetViews>
  <sheetFormatPr defaultColWidth="9.77734375" defaultRowHeight="15" x14ac:dyDescent="0.2"/>
  <cols>
    <col min="1" max="1" width="7.77734375" style="16" customWidth="1"/>
    <col min="2" max="2" width="7.88671875" style="16" customWidth="1"/>
    <col min="3" max="3" width="2.109375" style="16" customWidth="1"/>
    <col min="4" max="4" width="7.77734375" style="16" customWidth="1"/>
    <col min="5" max="5" width="2.109375" style="16" customWidth="1"/>
    <col min="6" max="6" width="7.77734375" style="16" customWidth="1"/>
    <col min="7" max="7" width="2.109375" style="16" customWidth="1"/>
    <col min="8" max="8" width="7.77734375" style="16" customWidth="1"/>
    <col min="9" max="9" width="2.109375" style="16" customWidth="1"/>
    <col min="10" max="10" width="7.77734375" style="16" customWidth="1"/>
    <col min="11" max="11" width="2.109375" style="16" customWidth="1"/>
    <col min="12" max="12" width="7.77734375" style="16" customWidth="1"/>
    <col min="13" max="13" width="2.109375" style="16" customWidth="1"/>
    <col min="14" max="14" width="7.77734375" style="16" customWidth="1"/>
    <col min="15" max="15" width="2.109375" style="16" customWidth="1"/>
    <col min="16" max="16" width="10.77734375" style="16" customWidth="1"/>
    <col min="17" max="17" width="2.109375" style="16" customWidth="1"/>
    <col min="18" max="18" width="11" style="16" customWidth="1"/>
    <col min="19" max="19" width="7.77734375" style="16" customWidth="1"/>
    <col min="20" max="20" width="3.77734375" style="16" customWidth="1"/>
    <col min="21" max="21" width="7.77734375" style="16" customWidth="1"/>
    <col min="22" max="22" width="2.77734375" style="16" customWidth="1"/>
    <col min="23" max="23" width="7.77734375" style="16" customWidth="1"/>
    <col min="24" max="24" width="2.77734375" style="16" customWidth="1"/>
    <col min="25" max="25" width="12.5546875" style="16" customWidth="1"/>
    <col min="26" max="26" width="2.77734375" style="16" customWidth="1"/>
    <col min="27" max="27" width="10.44140625" style="16" customWidth="1"/>
    <col min="28" max="28" width="2.77734375" style="16" customWidth="1"/>
    <col min="29" max="29" width="10" style="16" bestFit="1" customWidth="1"/>
    <col min="30" max="30" width="2.77734375" style="16" customWidth="1"/>
    <col min="31" max="31" width="13.5546875" style="16" bestFit="1" customWidth="1"/>
    <col min="32" max="32" width="2.77734375" style="16" customWidth="1"/>
    <col min="33" max="33" width="12.44140625" style="16" bestFit="1" customWidth="1"/>
    <col min="34" max="34" width="2.77734375" style="16" customWidth="1"/>
    <col min="35" max="35" width="12" style="16" bestFit="1" customWidth="1"/>
    <col min="36" max="38" width="9.77734375" style="16" customWidth="1"/>
    <col min="39" max="39" width="12.44140625" style="16" bestFit="1" customWidth="1"/>
    <col min="40" max="40" width="6.77734375" style="16" customWidth="1"/>
    <col min="41" max="41" width="4.77734375" style="16" customWidth="1"/>
    <col min="42" max="42" width="6.77734375" style="16" customWidth="1"/>
    <col min="43" max="43" width="9.77734375" style="16" customWidth="1"/>
    <col min="44" max="44" width="3.77734375" style="16" customWidth="1"/>
    <col min="45" max="45" width="6.77734375" style="16" customWidth="1"/>
    <col min="46" max="46" width="3.77734375" style="16" customWidth="1"/>
    <col min="47" max="47" width="8.77734375" style="16" customWidth="1"/>
    <col min="48" max="48" width="3.77734375" style="16" customWidth="1"/>
    <col min="49" max="49" width="7.77734375" style="16" customWidth="1"/>
    <col min="50" max="50" width="3.77734375" style="16" customWidth="1"/>
    <col min="51" max="51" width="9.77734375" style="16" customWidth="1"/>
    <col min="52" max="52" width="6.77734375" style="16" customWidth="1"/>
    <col min="53" max="53" width="2.77734375" style="16" customWidth="1"/>
    <col min="54" max="54" width="4.77734375" style="16" customWidth="1"/>
    <col min="55" max="55" width="2.77734375" style="16" customWidth="1"/>
    <col min="56" max="56" width="11.77734375" style="16" customWidth="1"/>
    <col min="57" max="57" width="3.77734375" style="16" customWidth="1"/>
    <col min="58" max="58" width="7.77734375" style="16" customWidth="1"/>
    <col min="59" max="59" width="3.77734375" style="16" customWidth="1"/>
    <col min="60" max="60" width="7.77734375" style="16" customWidth="1"/>
    <col min="61" max="61" width="3.77734375" style="16" customWidth="1"/>
    <col min="62" max="62" width="7.77734375" style="16" customWidth="1"/>
    <col min="63" max="63" width="3.77734375" style="16" customWidth="1"/>
    <col min="64" max="64" width="7.77734375" style="16" customWidth="1"/>
    <col min="65" max="16384" width="9.77734375" style="16"/>
  </cols>
  <sheetData>
    <row r="1" spans="1:18" x14ac:dyDescent="0.2">
      <c r="A1" s="15" t="s">
        <v>7</v>
      </c>
      <c r="B1" s="15"/>
      <c r="C1" s="15"/>
      <c r="D1" s="15"/>
      <c r="E1" s="15"/>
      <c r="F1" s="15"/>
      <c r="G1" s="15"/>
      <c r="H1" s="15"/>
      <c r="I1" s="15"/>
      <c r="J1" s="15"/>
      <c r="K1" s="15"/>
      <c r="L1" s="15"/>
      <c r="M1" s="15"/>
      <c r="N1" s="15"/>
      <c r="O1" s="15"/>
      <c r="P1" s="15"/>
    </row>
    <row r="2" spans="1:18" x14ac:dyDescent="0.2">
      <c r="A2" s="15"/>
      <c r="B2" s="15"/>
      <c r="C2" s="15"/>
      <c r="D2" s="15"/>
      <c r="E2" s="15"/>
      <c r="F2" s="15"/>
      <c r="G2" s="15"/>
      <c r="H2" s="15"/>
      <c r="I2" s="15"/>
      <c r="J2" s="15"/>
      <c r="K2" s="15"/>
      <c r="L2" s="15"/>
      <c r="M2" s="15"/>
      <c r="N2" s="15"/>
      <c r="O2" s="15"/>
      <c r="P2" s="15"/>
    </row>
    <row r="3" spans="1:18" x14ac:dyDescent="0.2">
      <c r="A3" s="543" t="s">
        <v>234</v>
      </c>
      <c r="B3" s="543"/>
      <c r="C3" s="543"/>
      <c r="D3" s="543"/>
      <c r="E3" s="543"/>
      <c r="F3" s="543"/>
      <c r="G3" s="543"/>
      <c r="H3" s="543"/>
      <c r="I3" s="543"/>
      <c r="J3" s="543"/>
      <c r="K3" s="543"/>
      <c r="L3" s="543"/>
      <c r="M3" s="543"/>
      <c r="N3" s="543"/>
      <c r="O3" s="543"/>
      <c r="P3" s="543"/>
      <c r="Q3" s="548"/>
      <c r="R3" s="548"/>
    </row>
    <row r="4" spans="1:18" x14ac:dyDescent="0.2">
      <c r="A4" s="548"/>
      <c r="B4" s="548"/>
      <c r="C4" s="548"/>
      <c r="D4" s="548"/>
      <c r="E4" s="548"/>
      <c r="F4" s="548"/>
      <c r="G4" s="548"/>
      <c r="H4" s="548"/>
      <c r="I4" s="548"/>
      <c r="J4" s="548"/>
      <c r="K4" s="548"/>
      <c r="L4" s="548"/>
      <c r="M4" s="548"/>
      <c r="N4" s="548"/>
      <c r="O4" s="548"/>
      <c r="P4" s="548"/>
      <c r="Q4" s="548"/>
      <c r="R4" s="548"/>
    </row>
    <row r="5" spans="1:18" x14ac:dyDescent="0.2">
      <c r="A5" s="544" t="s">
        <v>961</v>
      </c>
      <c r="B5" s="544"/>
      <c r="C5" s="544"/>
      <c r="D5" s="544"/>
      <c r="E5" s="544"/>
      <c r="F5" s="544"/>
      <c r="G5" s="544"/>
      <c r="H5" s="544"/>
      <c r="I5" s="544"/>
      <c r="J5" s="544"/>
      <c r="K5" s="544"/>
      <c r="L5" s="544"/>
      <c r="M5" s="544"/>
      <c r="N5" s="544"/>
      <c r="O5" s="544"/>
      <c r="P5" s="544"/>
      <c r="Q5" s="544"/>
      <c r="R5" s="544"/>
    </row>
    <row r="6" spans="1:18" x14ac:dyDescent="0.2">
      <c r="A6" s="544" t="s">
        <v>962</v>
      </c>
      <c r="B6" s="544"/>
      <c r="C6" s="544"/>
      <c r="D6" s="544"/>
      <c r="E6" s="544"/>
      <c r="F6" s="544"/>
      <c r="G6" s="544"/>
      <c r="H6" s="544"/>
      <c r="I6" s="544"/>
      <c r="J6" s="544"/>
      <c r="K6" s="544"/>
      <c r="L6" s="544"/>
      <c r="M6" s="544"/>
      <c r="N6" s="544"/>
      <c r="O6" s="544"/>
      <c r="P6" s="544"/>
      <c r="Q6" s="544"/>
      <c r="R6" s="544"/>
    </row>
    <row r="7" spans="1:18" x14ac:dyDescent="0.2">
      <c r="A7" s="544"/>
      <c r="B7" s="544"/>
      <c r="C7" s="544"/>
      <c r="D7" s="544"/>
      <c r="E7" s="544"/>
      <c r="F7" s="544"/>
      <c r="G7" s="544"/>
      <c r="H7" s="544"/>
      <c r="I7" s="544"/>
      <c r="J7" s="544"/>
      <c r="K7" s="544"/>
      <c r="L7" s="544"/>
      <c r="M7" s="544"/>
      <c r="N7" s="544"/>
      <c r="O7" s="544"/>
      <c r="P7" s="544"/>
      <c r="Q7" s="544"/>
      <c r="R7" s="544"/>
    </row>
    <row r="8" spans="1:18" ht="29.85" customHeight="1" x14ac:dyDescent="0.2">
      <c r="A8" s="848" t="s">
        <v>250</v>
      </c>
      <c r="B8" s="848"/>
      <c r="C8" s="848"/>
      <c r="D8" s="848"/>
      <c r="E8" s="848"/>
      <c r="F8" s="848"/>
      <c r="G8" s="848"/>
      <c r="H8" s="848"/>
      <c r="I8" s="848"/>
      <c r="J8" s="848"/>
      <c r="K8" s="848"/>
      <c r="L8" s="848"/>
      <c r="M8" s="848"/>
      <c r="N8" s="848"/>
      <c r="O8" s="848"/>
      <c r="P8" s="848"/>
      <c r="Q8" s="544"/>
      <c r="R8" s="544"/>
    </row>
    <row r="9" spans="1:18" x14ac:dyDescent="0.2">
      <c r="A9" s="544"/>
      <c r="B9" s="544"/>
      <c r="C9" s="544"/>
      <c r="D9" s="544"/>
      <c r="E9" s="544"/>
      <c r="F9" s="544"/>
      <c r="G9" s="544"/>
      <c r="H9" s="544"/>
      <c r="I9" s="544"/>
      <c r="J9" s="544"/>
      <c r="K9" s="544"/>
      <c r="L9" s="544"/>
      <c r="M9" s="544"/>
      <c r="N9" s="544"/>
      <c r="O9" s="544"/>
      <c r="P9" s="544"/>
      <c r="Q9" s="544"/>
      <c r="R9" s="544"/>
    </row>
    <row r="10" spans="1:18" x14ac:dyDescent="0.2">
      <c r="A10" s="544"/>
      <c r="B10" s="544"/>
      <c r="C10" s="544"/>
      <c r="D10" s="543" t="s">
        <v>199</v>
      </c>
      <c r="E10" s="543"/>
      <c r="F10" s="543"/>
      <c r="G10" s="544"/>
      <c r="H10" s="543" t="s">
        <v>222</v>
      </c>
      <c r="I10" s="543"/>
      <c r="J10" s="543"/>
      <c r="K10" s="544"/>
      <c r="L10" s="544"/>
      <c r="M10" s="544"/>
      <c r="N10" s="544"/>
      <c r="O10" s="544"/>
      <c r="P10" s="544"/>
      <c r="Q10" s="544"/>
      <c r="R10" s="544"/>
    </row>
    <row r="11" spans="1:18" x14ac:dyDescent="0.2">
      <c r="A11" s="544"/>
      <c r="B11" s="544"/>
      <c r="C11" s="544"/>
      <c r="D11" s="543" t="s">
        <v>223</v>
      </c>
      <c r="E11" s="543"/>
      <c r="F11" s="543"/>
      <c r="G11" s="544"/>
      <c r="H11" s="543" t="s">
        <v>224</v>
      </c>
      <c r="I11" s="543"/>
      <c r="J11" s="543"/>
      <c r="K11" s="544"/>
      <c r="L11" s="543" t="s">
        <v>251</v>
      </c>
      <c r="M11" s="543"/>
      <c r="N11" s="543"/>
      <c r="O11" s="544"/>
      <c r="P11" s="544"/>
      <c r="Q11" s="544"/>
      <c r="R11" s="544"/>
    </row>
    <row r="12" spans="1:18" x14ac:dyDescent="0.2">
      <c r="A12" s="543" t="s">
        <v>252</v>
      </c>
      <c r="B12" s="543"/>
      <c r="C12" s="544"/>
      <c r="D12" s="547" t="s">
        <v>202</v>
      </c>
      <c r="E12" s="547"/>
      <c r="F12" s="547" t="s">
        <v>225</v>
      </c>
      <c r="G12" s="600"/>
      <c r="H12" s="547" t="s">
        <v>202</v>
      </c>
      <c r="I12" s="547"/>
      <c r="J12" s="547" t="s">
        <v>225</v>
      </c>
      <c r="K12" s="600"/>
      <c r="L12" s="547" t="s">
        <v>202</v>
      </c>
      <c r="M12" s="547"/>
      <c r="N12" s="547" t="s">
        <v>225</v>
      </c>
      <c r="O12" s="600"/>
      <c r="P12" s="600" t="s">
        <v>202</v>
      </c>
      <c r="Q12" s="600"/>
      <c r="R12" s="548"/>
    </row>
    <row r="13" spans="1:18" x14ac:dyDescent="0.2">
      <c r="A13" s="543" t="s">
        <v>203</v>
      </c>
      <c r="B13" s="543"/>
      <c r="C13" s="544"/>
      <c r="D13" s="600" t="s">
        <v>204</v>
      </c>
      <c r="E13" s="600"/>
      <c r="F13" s="600" t="s">
        <v>204</v>
      </c>
      <c r="G13" s="600"/>
      <c r="H13" s="600" t="s">
        <v>204</v>
      </c>
      <c r="I13" s="600"/>
      <c r="J13" s="600" t="s">
        <v>204</v>
      </c>
      <c r="K13" s="600"/>
      <c r="L13" s="600" t="s">
        <v>204</v>
      </c>
      <c r="M13" s="600"/>
      <c r="N13" s="600" t="s">
        <v>204</v>
      </c>
      <c r="O13" s="600"/>
      <c r="P13" s="600" t="s">
        <v>204</v>
      </c>
      <c r="Q13" s="600"/>
      <c r="R13" s="548"/>
    </row>
    <row r="14" spans="1:18" x14ac:dyDescent="0.2">
      <c r="A14" s="546" t="s">
        <v>205</v>
      </c>
      <c r="B14" s="546"/>
      <c r="C14" s="544"/>
      <c r="D14" s="547" t="s">
        <v>227</v>
      </c>
      <c r="E14" s="544"/>
      <c r="F14" s="691" t="s">
        <v>253</v>
      </c>
      <c r="G14" s="544"/>
      <c r="H14" s="547" t="s">
        <v>229</v>
      </c>
      <c r="I14" s="544"/>
      <c r="J14" s="691" t="s">
        <v>254</v>
      </c>
      <c r="K14" s="544"/>
      <c r="L14" s="547" t="s">
        <v>255</v>
      </c>
      <c r="M14" s="544"/>
      <c r="N14" s="691" t="s">
        <v>256</v>
      </c>
      <c r="O14" s="544"/>
      <c r="P14" s="547" t="s">
        <v>257</v>
      </c>
      <c r="Q14" s="544"/>
      <c r="R14" s="548"/>
    </row>
    <row r="15" spans="1:18" x14ac:dyDescent="0.2">
      <c r="A15" s="548"/>
      <c r="B15" s="548"/>
      <c r="C15" s="548"/>
      <c r="D15" s="692"/>
      <c r="E15" s="692"/>
      <c r="F15" s="692">
        <f>'F 3B 4B'!$I$13</f>
        <v>0.52439999999999998</v>
      </c>
      <c r="G15" s="692"/>
      <c r="H15" s="692"/>
      <c r="I15" s="692"/>
      <c r="J15" s="692">
        <f>'F 3B 4B'!$I$15</f>
        <v>0.39329999999999998</v>
      </c>
      <c r="K15" s="692"/>
      <c r="L15" s="692"/>
      <c r="M15" s="692"/>
      <c r="N15" s="692">
        <f>'F 3B 4B'!$I$19</f>
        <v>8.2299999999999998E-2</v>
      </c>
      <c r="O15" s="692"/>
      <c r="P15" s="692"/>
      <c r="Q15" s="548"/>
      <c r="R15" s="548"/>
    </row>
    <row r="16" spans="1:18" x14ac:dyDescent="0.2">
      <c r="A16" s="548"/>
      <c r="B16" s="548"/>
      <c r="C16" s="548"/>
      <c r="D16" s="692"/>
      <c r="E16" s="692"/>
      <c r="F16" s="692"/>
      <c r="G16" s="692"/>
      <c r="H16" s="692"/>
      <c r="I16" s="692"/>
      <c r="J16" s="692"/>
      <c r="K16" s="692"/>
      <c r="L16" s="692"/>
      <c r="M16" s="692"/>
      <c r="N16" s="692"/>
      <c r="O16" s="692"/>
      <c r="P16" s="692"/>
      <c r="Q16" s="548"/>
      <c r="R16" s="548"/>
    </row>
    <row r="17" spans="1:67" x14ac:dyDescent="0.2">
      <c r="A17" s="544" t="s">
        <v>208</v>
      </c>
      <c r="B17" s="548"/>
      <c r="C17" s="548"/>
      <c r="D17" s="692">
        <f>'F 1-2'!$K$15</f>
        <v>0.49109999999999998</v>
      </c>
      <c r="E17" s="692"/>
      <c r="F17" s="692">
        <f>ROUND($F$15*D17,4)</f>
        <v>0.25750000000000001</v>
      </c>
      <c r="G17" s="692"/>
      <c r="H17" s="692">
        <f>'F 2 B'!$J$14</f>
        <v>0.53979999999999995</v>
      </c>
      <c r="I17" s="692"/>
      <c r="J17" s="692">
        <f>ROUND($J$15*H17,4)+0.0001</f>
        <v>0.21239999999999998</v>
      </c>
      <c r="K17" s="692"/>
      <c r="L17" s="692"/>
      <c r="M17" s="692"/>
      <c r="N17" s="692"/>
      <c r="O17" s="692"/>
      <c r="P17" s="692">
        <f t="shared" ref="P17:P23" si="0">N17+J17+F17</f>
        <v>0.46989999999999998</v>
      </c>
      <c r="Q17" s="548"/>
      <c r="R17" s="548"/>
    </row>
    <row r="18" spans="1:67" x14ac:dyDescent="0.2">
      <c r="A18" s="544" t="s">
        <v>209</v>
      </c>
      <c r="B18" s="548"/>
      <c r="C18" s="548"/>
      <c r="D18" s="692">
        <f>'F 1-2'!$K$16</f>
        <v>0.3075</v>
      </c>
      <c r="E18" s="692"/>
      <c r="F18" s="692">
        <f t="shared" ref="F18:F23" si="1">ROUND($F$15*D18,4)</f>
        <v>0.1613</v>
      </c>
      <c r="G18" s="692"/>
      <c r="H18" s="692">
        <f>'F 2 B'!$J$15</f>
        <v>0.30420000000000003</v>
      </c>
      <c r="I18" s="692"/>
      <c r="J18" s="692">
        <f>ROUND($J$15*H18,4)</f>
        <v>0.1196</v>
      </c>
      <c r="K18" s="692"/>
      <c r="L18" s="692"/>
      <c r="M18" s="692"/>
      <c r="N18" s="692"/>
      <c r="O18" s="692"/>
      <c r="P18" s="692">
        <f t="shared" si="0"/>
        <v>0.28089999999999998</v>
      </c>
      <c r="Q18" s="548"/>
      <c r="R18" s="548"/>
    </row>
    <row r="19" spans="1:67" x14ac:dyDescent="0.2">
      <c r="A19" s="544" t="s">
        <v>210</v>
      </c>
      <c r="B19" s="548"/>
      <c r="C19" s="548"/>
      <c r="D19" s="692">
        <f>'F 1-2'!$K$17</f>
        <v>5.45E-2</v>
      </c>
      <c r="E19" s="692"/>
      <c r="F19" s="692">
        <f>ROUND($F$15*D19,4)</f>
        <v>2.86E-2</v>
      </c>
      <c r="G19" s="692"/>
      <c r="H19" s="692">
        <f>'F 2 B'!$J$16</f>
        <v>4.19E-2</v>
      </c>
      <c r="I19" s="692"/>
      <c r="J19" s="692">
        <f>ROUND($J$15*H19,4)</f>
        <v>1.6500000000000001E-2</v>
      </c>
      <c r="K19" s="692"/>
      <c r="L19" s="692"/>
      <c r="M19" s="692"/>
      <c r="N19" s="692"/>
      <c r="O19" s="692"/>
      <c r="P19" s="692">
        <f t="shared" si="0"/>
        <v>4.5100000000000001E-2</v>
      </c>
      <c r="Q19" s="548"/>
      <c r="R19" s="548"/>
    </row>
    <row r="20" spans="1:67" x14ac:dyDescent="0.2">
      <c r="A20" s="544" t="s">
        <v>214</v>
      </c>
      <c r="B20" s="548"/>
      <c r="C20" s="548"/>
      <c r="D20" s="692">
        <f>'F 1-2'!$K$18</f>
        <v>0.1053</v>
      </c>
      <c r="E20" s="692"/>
      <c r="F20" s="693">
        <f t="shared" si="1"/>
        <v>5.5199999999999999E-2</v>
      </c>
      <c r="G20" s="692"/>
      <c r="H20" s="692">
        <f>'F 2 B'!$J$17</f>
        <v>8.6800000000000002E-2</v>
      </c>
      <c r="I20" s="692"/>
      <c r="J20" s="692">
        <f>ROUND($J$15*H20,4)</f>
        <v>3.4099999999999998E-2</v>
      </c>
      <c r="K20" s="692"/>
      <c r="L20" s="692"/>
      <c r="M20" s="692"/>
      <c r="N20" s="692"/>
      <c r="O20" s="692"/>
      <c r="P20" s="692">
        <f t="shared" si="0"/>
        <v>8.929999999999999E-2</v>
      </c>
      <c r="Q20" s="548"/>
      <c r="R20" s="548"/>
    </row>
    <row r="21" spans="1:67" x14ac:dyDescent="0.2">
      <c r="A21" s="544" t="s">
        <v>333</v>
      </c>
      <c r="B21" s="548"/>
      <c r="C21" s="548"/>
      <c r="D21" s="692">
        <f>'F 1-2'!$K$19</f>
        <v>3.5499999999999997E-2</v>
      </c>
      <c r="E21" s="692"/>
      <c r="F21" s="692">
        <f>ROUND($F$15*D21,4)</f>
        <v>1.8599999999999998E-2</v>
      </c>
      <c r="G21" s="692"/>
      <c r="H21" s="692">
        <f>'F 2 B'!$J$18</f>
        <v>2.7300000000000001E-2</v>
      </c>
      <c r="I21" s="692"/>
      <c r="J21" s="692">
        <f>ROUND($J$15*H21,4)</f>
        <v>1.0699999999999999E-2</v>
      </c>
      <c r="K21" s="692"/>
      <c r="L21" s="692"/>
      <c r="M21" s="692"/>
      <c r="N21" s="692"/>
      <c r="O21" s="692"/>
      <c r="P21" s="692">
        <f t="shared" si="0"/>
        <v>2.93E-2</v>
      </c>
      <c r="Q21" s="548"/>
      <c r="R21" s="548"/>
    </row>
    <row r="22" spans="1:67" x14ac:dyDescent="0.2">
      <c r="A22" s="544" t="s">
        <v>216</v>
      </c>
      <c r="B22" s="548"/>
      <c r="C22" s="548"/>
      <c r="D22" s="692">
        <f>'F 1-2'!$K$20</f>
        <v>2.8E-3</v>
      </c>
      <c r="E22" s="692"/>
      <c r="F22" s="692">
        <f t="shared" si="1"/>
        <v>1.5E-3</v>
      </c>
      <c r="G22" s="692"/>
      <c r="H22" s="692"/>
      <c r="I22" s="692"/>
      <c r="J22" s="692"/>
      <c r="K22" s="692"/>
      <c r="L22" s="692">
        <f>Fire!$O$26</f>
        <v>0.46200000000000002</v>
      </c>
      <c r="M22" s="692"/>
      <c r="N22" s="692">
        <f>ROUND($N$15*L22,4)</f>
        <v>3.7999999999999999E-2</v>
      </c>
      <c r="O22" s="692"/>
      <c r="P22" s="692">
        <f t="shared" si="0"/>
        <v>3.95E-2</v>
      </c>
      <c r="Q22" s="548"/>
      <c r="R22" s="548"/>
    </row>
    <row r="23" spans="1:67" x14ac:dyDescent="0.2">
      <c r="A23" s="544" t="s">
        <v>217</v>
      </c>
      <c r="B23" s="548"/>
      <c r="C23" s="548"/>
      <c r="D23" s="692">
        <f>'F 1-2'!$K$21</f>
        <v>3.3E-3</v>
      </c>
      <c r="E23" s="692"/>
      <c r="F23" s="692">
        <f t="shared" si="1"/>
        <v>1.6999999999999999E-3</v>
      </c>
      <c r="G23" s="692"/>
      <c r="H23" s="692"/>
      <c r="I23" s="692"/>
      <c r="J23" s="692"/>
      <c r="K23" s="692"/>
      <c r="L23" s="692">
        <f>Fire!$O$33</f>
        <v>0.53800000000000003</v>
      </c>
      <c r="M23" s="692"/>
      <c r="N23" s="692">
        <f>ROUND($N$15*L23,4)</f>
        <v>4.4299999999999999E-2</v>
      </c>
      <c r="O23" s="692"/>
      <c r="P23" s="692">
        <f t="shared" si="0"/>
        <v>4.5999999999999999E-2</v>
      </c>
      <c r="Q23" s="548"/>
      <c r="R23" s="548"/>
    </row>
    <row r="24" spans="1:67" x14ac:dyDescent="0.2">
      <c r="A24" s="544"/>
      <c r="B24" s="548"/>
      <c r="C24" s="548"/>
      <c r="D24" s="694"/>
      <c r="E24" s="692"/>
      <c r="F24" s="694"/>
      <c r="G24" s="692"/>
      <c r="H24" s="694"/>
      <c r="I24" s="692"/>
      <c r="J24" s="694"/>
      <c r="K24" s="692"/>
      <c r="L24" s="694"/>
      <c r="M24" s="692"/>
      <c r="N24" s="694"/>
      <c r="O24" s="692"/>
      <c r="P24" s="694"/>
      <c r="Q24" s="548"/>
      <c r="R24" s="548"/>
    </row>
    <row r="25" spans="1:67" x14ac:dyDescent="0.2">
      <c r="A25" s="544" t="s">
        <v>218</v>
      </c>
      <c r="B25" s="548"/>
      <c r="C25" s="548"/>
      <c r="D25" s="692">
        <f>SUM(D17:D23)</f>
        <v>0.99999999999999989</v>
      </c>
      <c r="E25" s="692"/>
      <c r="F25" s="692">
        <f>SUM(F17:F23)</f>
        <v>0.52439999999999998</v>
      </c>
      <c r="G25" s="692"/>
      <c r="H25" s="692">
        <f>SUM(H17:H23)</f>
        <v>1</v>
      </c>
      <c r="I25" s="692"/>
      <c r="J25" s="692">
        <f>SUM(J17:J23)</f>
        <v>0.39329999999999998</v>
      </c>
      <c r="K25" s="692"/>
      <c r="L25" s="692">
        <f>SUM(L17:L23)</f>
        <v>1</v>
      </c>
      <c r="M25" s="692"/>
      <c r="N25" s="692">
        <f>SUM(N17:N23)</f>
        <v>8.2299999999999998E-2</v>
      </c>
      <c r="O25" s="692"/>
      <c r="P25" s="692">
        <f>SUM(P17:P23)</f>
        <v>1</v>
      </c>
      <c r="Q25" s="548"/>
      <c r="R25" s="548"/>
    </row>
    <row r="26" spans="1:67" x14ac:dyDescent="0.2">
      <c r="A26" s="548"/>
      <c r="B26" s="548"/>
      <c r="C26" s="548"/>
      <c r="D26" s="695"/>
      <c r="E26" s="692"/>
      <c r="F26" s="695"/>
      <c r="G26" s="692"/>
      <c r="H26" s="695"/>
      <c r="I26" s="692"/>
      <c r="J26" s="695"/>
      <c r="K26" s="692"/>
      <c r="L26" s="695"/>
      <c r="M26" s="692"/>
      <c r="N26" s="695"/>
      <c r="O26" s="692"/>
      <c r="P26" s="695"/>
      <c r="Q26" s="548"/>
      <c r="R26" s="548"/>
    </row>
    <row r="27" spans="1:67" x14ac:dyDescent="0.2">
      <c r="A27" s="548"/>
      <c r="B27" s="548"/>
      <c r="C27" s="548"/>
      <c r="D27" s="548"/>
      <c r="E27" s="548"/>
      <c r="F27" s="548"/>
      <c r="G27" s="548"/>
      <c r="H27" s="548"/>
      <c r="I27" s="548"/>
      <c r="J27" s="548"/>
      <c r="K27" s="548"/>
      <c r="L27" s="548"/>
      <c r="M27" s="548"/>
      <c r="N27" s="548"/>
      <c r="O27" s="548"/>
      <c r="P27" s="548"/>
      <c r="Q27" s="548"/>
      <c r="R27" s="548"/>
    </row>
    <row r="28" spans="1:67" x14ac:dyDescent="0.2">
      <c r="A28" s="548"/>
      <c r="B28" s="548"/>
      <c r="C28" s="548"/>
      <c r="D28" s="548"/>
      <c r="E28" s="548"/>
      <c r="F28" s="548"/>
      <c r="G28" s="548"/>
      <c r="H28" s="548"/>
      <c r="I28" s="548"/>
      <c r="J28" s="548"/>
      <c r="K28" s="548"/>
      <c r="L28" s="548"/>
      <c r="M28" s="548"/>
      <c r="N28" s="548"/>
      <c r="O28" s="548"/>
      <c r="P28" s="548"/>
      <c r="Q28" s="548"/>
      <c r="R28" s="548"/>
    </row>
    <row r="29" spans="1:67" x14ac:dyDescent="0.2">
      <c r="A29" s="15" t="s">
        <v>7</v>
      </c>
      <c r="B29" s="543"/>
      <c r="C29" s="543"/>
      <c r="D29" s="543"/>
      <c r="E29" s="543"/>
      <c r="F29" s="543"/>
      <c r="G29" s="543"/>
      <c r="H29" s="543"/>
      <c r="I29" s="543"/>
      <c r="J29" s="543"/>
      <c r="K29" s="543"/>
      <c r="L29" s="543"/>
      <c r="M29" s="543"/>
      <c r="N29" s="543"/>
      <c r="O29" s="543"/>
      <c r="P29" s="543"/>
      <c r="Q29" s="543"/>
      <c r="R29" s="543"/>
      <c r="S29" s="2"/>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row>
    <row r="30" spans="1:67" x14ac:dyDescent="0.2">
      <c r="A30" s="543"/>
      <c r="B30" s="543"/>
      <c r="C30" s="543"/>
      <c r="D30" s="543"/>
      <c r="E30" s="543"/>
      <c r="F30" s="543"/>
      <c r="G30" s="543"/>
      <c r="H30" s="543"/>
      <c r="I30" s="543"/>
      <c r="J30" s="543"/>
      <c r="K30" s="543"/>
      <c r="L30" s="543"/>
      <c r="M30" s="543"/>
      <c r="N30" s="543"/>
      <c r="O30" s="543"/>
      <c r="P30" s="543"/>
      <c r="Q30" s="543"/>
      <c r="R30" s="543"/>
      <c r="S30" s="2"/>
    </row>
    <row r="31" spans="1:67" x14ac:dyDescent="0.2">
      <c r="A31" s="543" t="s">
        <v>234</v>
      </c>
      <c r="B31" s="543"/>
      <c r="C31" s="543"/>
      <c r="D31" s="543"/>
      <c r="E31" s="543"/>
      <c r="F31" s="543"/>
      <c r="G31" s="543"/>
      <c r="H31" s="543"/>
      <c r="I31" s="543"/>
      <c r="J31" s="543"/>
      <c r="K31" s="543"/>
      <c r="L31" s="543"/>
      <c r="M31" s="543"/>
      <c r="N31" s="543"/>
      <c r="O31" s="543"/>
      <c r="P31" s="543"/>
      <c r="Q31" s="543"/>
      <c r="R31" s="543"/>
      <c r="S31" s="2"/>
    </row>
    <row r="32" spans="1:67" x14ac:dyDescent="0.2">
      <c r="A32" s="544"/>
      <c r="B32" s="544"/>
      <c r="C32" s="544"/>
      <c r="D32" s="544"/>
      <c r="E32" s="544"/>
      <c r="F32" s="544"/>
      <c r="G32" s="544"/>
      <c r="H32" s="544"/>
      <c r="I32" s="544"/>
      <c r="J32" s="544"/>
      <c r="K32" s="544"/>
      <c r="L32" s="544"/>
      <c r="M32" s="544"/>
      <c r="N32" s="544"/>
      <c r="O32" s="544"/>
      <c r="P32" s="544"/>
      <c r="Q32" s="544"/>
      <c r="R32" s="544"/>
      <c r="S32" s="2"/>
    </row>
    <row r="33" spans="1:43" x14ac:dyDescent="0.2">
      <c r="A33" s="544" t="s">
        <v>988</v>
      </c>
      <c r="B33" s="544"/>
      <c r="C33" s="544"/>
      <c r="D33" s="544"/>
      <c r="E33" s="544"/>
      <c r="F33" s="544"/>
      <c r="G33" s="544"/>
      <c r="H33" s="544"/>
      <c r="I33" s="544"/>
      <c r="J33" s="544"/>
      <c r="K33" s="544"/>
      <c r="L33" s="544"/>
      <c r="M33" s="544"/>
      <c r="N33" s="544"/>
      <c r="O33" s="544"/>
      <c r="P33" s="544"/>
      <c r="Q33" s="544"/>
      <c r="R33" s="544"/>
      <c r="S33" s="2"/>
    </row>
    <row r="34" spans="1:43" x14ac:dyDescent="0.2">
      <c r="A34" s="544" t="s">
        <v>989</v>
      </c>
      <c r="B34" s="544"/>
      <c r="C34" s="544"/>
      <c r="D34" s="544"/>
      <c r="E34" s="544"/>
      <c r="F34" s="544"/>
      <c r="G34" s="544"/>
      <c r="H34" s="544"/>
      <c r="I34" s="544"/>
      <c r="J34" s="544"/>
      <c r="K34" s="544"/>
      <c r="L34" s="544"/>
      <c r="M34" s="544"/>
      <c r="N34" s="544"/>
      <c r="O34" s="544"/>
      <c r="P34" s="544"/>
      <c r="Q34" s="544"/>
      <c r="R34" s="544"/>
      <c r="S34" s="2"/>
      <c r="T34" s="2"/>
      <c r="U34" s="2"/>
      <c r="V34" s="2"/>
      <c r="W34" s="2"/>
      <c r="X34" s="2"/>
      <c r="Y34" s="2"/>
      <c r="Z34" s="2"/>
      <c r="AA34" s="2"/>
      <c r="AB34" s="2"/>
      <c r="AC34" s="2"/>
      <c r="AD34" s="2"/>
      <c r="AE34" s="2"/>
      <c r="AF34" s="2"/>
      <c r="AG34" s="2"/>
      <c r="AH34" s="2"/>
      <c r="AI34" s="2"/>
      <c r="AJ34" s="2"/>
    </row>
    <row r="35" spans="1:43" x14ac:dyDescent="0.2">
      <c r="A35" s="544"/>
      <c r="B35" s="544"/>
      <c r="C35" s="544"/>
      <c r="D35" s="544"/>
      <c r="E35" s="544"/>
      <c r="F35" s="544"/>
      <c r="G35" s="544"/>
      <c r="H35" s="544"/>
      <c r="I35" s="544"/>
      <c r="J35" s="544"/>
      <c r="K35" s="544"/>
      <c r="L35" s="544"/>
      <c r="M35" s="544"/>
      <c r="N35" s="544"/>
      <c r="O35" s="544"/>
      <c r="P35" s="544"/>
      <c r="Q35" s="544"/>
      <c r="R35" s="544"/>
      <c r="S35" s="2"/>
      <c r="T35" s="2"/>
      <c r="U35" s="2"/>
      <c r="V35" s="2"/>
      <c r="W35" s="2"/>
      <c r="X35" s="2"/>
      <c r="Y35" s="2"/>
      <c r="Z35" s="2"/>
      <c r="AA35" s="2"/>
      <c r="AB35" s="2"/>
      <c r="AC35" s="2"/>
      <c r="AD35" s="2"/>
      <c r="AE35" s="2"/>
      <c r="AF35" s="2"/>
      <c r="AG35" s="2"/>
      <c r="AH35" s="2"/>
      <c r="AI35" s="2"/>
      <c r="AJ35" s="2"/>
    </row>
    <row r="36" spans="1:43" ht="29.45" customHeight="1" x14ac:dyDescent="0.2">
      <c r="A36" s="848" t="s">
        <v>250</v>
      </c>
      <c r="B36" s="848"/>
      <c r="C36" s="848"/>
      <c r="D36" s="848"/>
      <c r="E36" s="848"/>
      <c r="F36" s="848"/>
      <c r="G36" s="848"/>
      <c r="H36" s="848"/>
      <c r="I36" s="848"/>
      <c r="J36" s="848"/>
      <c r="K36" s="848"/>
      <c r="L36" s="848"/>
      <c r="M36" s="848"/>
      <c r="N36" s="848"/>
      <c r="O36" s="848"/>
      <c r="P36" s="848"/>
      <c r="Q36" s="848"/>
      <c r="R36" s="848"/>
      <c r="S36" s="2"/>
    </row>
    <row r="37" spans="1:43" x14ac:dyDescent="0.2">
      <c r="A37" s="544"/>
      <c r="B37" s="544"/>
      <c r="C37" s="544"/>
      <c r="D37" s="544"/>
      <c r="E37" s="544"/>
      <c r="F37" s="544"/>
      <c r="G37" s="544"/>
      <c r="H37" s="544"/>
      <c r="I37" s="544"/>
      <c r="J37" s="544"/>
      <c r="K37" s="544"/>
      <c r="L37" s="544"/>
      <c r="M37" s="544"/>
      <c r="N37" s="544"/>
      <c r="O37" s="544"/>
      <c r="P37" s="544"/>
      <c r="Q37" s="544"/>
      <c r="R37" s="544"/>
      <c r="S37" s="2"/>
    </row>
    <row r="38" spans="1:43" x14ac:dyDescent="0.2">
      <c r="A38" s="544"/>
      <c r="B38" s="544"/>
      <c r="C38" s="544"/>
      <c r="D38" s="544"/>
      <c r="E38" s="544"/>
      <c r="F38" s="544"/>
      <c r="G38" s="544"/>
      <c r="H38" s="544"/>
      <c r="I38" s="544"/>
      <c r="J38" s="543" t="s">
        <v>258</v>
      </c>
      <c r="K38" s="543"/>
      <c r="L38" s="543"/>
      <c r="M38" s="544"/>
      <c r="N38" s="544"/>
      <c r="O38" s="544"/>
      <c r="P38" s="544"/>
      <c r="Q38" s="544"/>
      <c r="R38" s="544"/>
      <c r="S38" s="2"/>
    </row>
    <row r="39" spans="1:43" x14ac:dyDescent="0.2">
      <c r="A39" s="544"/>
      <c r="B39" s="544"/>
      <c r="C39" s="544"/>
      <c r="D39" s="543" t="s">
        <v>259</v>
      </c>
      <c r="E39" s="543"/>
      <c r="F39" s="543"/>
      <c r="G39" s="543"/>
      <c r="H39" s="543"/>
      <c r="I39" s="544"/>
      <c r="J39" s="543" t="s">
        <v>224</v>
      </c>
      <c r="K39" s="543"/>
      <c r="L39" s="543"/>
      <c r="M39" s="544"/>
      <c r="N39" s="543" t="s">
        <v>251</v>
      </c>
      <c r="O39" s="543"/>
      <c r="P39" s="543"/>
      <c r="Q39" s="544"/>
      <c r="R39" s="544"/>
      <c r="S39" s="2"/>
    </row>
    <row r="40" spans="1:43" x14ac:dyDescent="0.2">
      <c r="A40" s="543" t="s">
        <v>252</v>
      </c>
      <c r="B40" s="543"/>
      <c r="C40" s="544"/>
      <c r="D40" s="547" t="s">
        <v>585</v>
      </c>
      <c r="E40" s="547"/>
      <c r="F40" s="547" t="s">
        <v>202</v>
      </c>
      <c r="G40" s="547"/>
      <c r="H40" s="547" t="s">
        <v>225</v>
      </c>
      <c r="I40" s="600"/>
      <c r="J40" s="547" t="s">
        <v>202</v>
      </c>
      <c r="K40" s="547"/>
      <c r="L40" s="547" t="s">
        <v>225</v>
      </c>
      <c r="M40" s="600"/>
      <c r="N40" s="547" t="s">
        <v>202</v>
      </c>
      <c r="O40" s="547"/>
      <c r="P40" s="547" t="s">
        <v>225</v>
      </c>
      <c r="Q40" s="600"/>
      <c r="R40" s="600" t="s">
        <v>202</v>
      </c>
      <c r="S40" s="2"/>
    </row>
    <row r="41" spans="1:43" x14ac:dyDescent="0.2">
      <c r="A41" s="543" t="s">
        <v>203</v>
      </c>
      <c r="B41" s="543"/>
      <c r="C41" s="544"/>
      <c r="D41" s="600" t="s">
        <v>377</v>
      </c>
      <c r="E41" s="600"/>
      <c r="F41" s="600" t="s">
        <v>204</v>
      </c>
      <c r="G41" s="600"/>
      <c r="H41" s="600" t="s">
        <v>204</v>
      </c>
      <c r="I41" s="600"/>
      <c r="J41" s="600" t="s">
        <v>204</v>
      </c>
      <c r="K41" s="600"/>
      <c r="L41" s="600" t="s">
        <v>204</v>
      </c>
      <c r="M41" s="600"/>
      <c r="N41" s="600" t="s">
        <v>204</v>
      </c>
      <c r="O41" s="600"/>
      <c r="P41" s="600" t="s">
        <v>204</v>
      </c>
      <c r="Q41" s="600"/>
      <c r="R41" s="600" t="s">
        <v>204</v>
      </c>
      <c r="S41" s="2"/>
    </row>
    <row r="42" spans="1:43" x14ac:dyDescent="0.2">
      <c r="A42" s="546" t="s">
        <v>205</v>
      </c>
      <c r="B42" s="546"/>
      <c r="C42" s="544"/>
      <c r="D42" s="547" t="s">
        <v>227</v>
      </c>
      <c r="E42" s="544"/>
      <c r="F42" s="547" t="s">
        <v>207</v>
      </c>
      <c r="G42" s="544"/>
      <c r="H42" s="691" t="s">
        <v>260</v>
      </c>
      <c r="I42" s="544"/>
      <c r="J42" s="547" t="s">
        <v>241</v>
      </c>
      <c r="K42" s="544"/>
      <c r="L42" s="691" t="s">
        <v>261</v>
      </c>
      <c r="M42" s="544"/>
      <c r="N42" s="547" t="s">
        <v>262</v>
      </c>
      <c r="O42" s="544"/>
      <c r="P42" s="691" t="s">
        <v>263</v>
      </c>
      <c r="Q42" s="544"/>
      <c r="R42" s="547" t="s">
        <v>264</v>
      </c>
      <c r="S42" s="2"/>
    </row>
    <row r="43" spans="1:43" x14ac:dyDescent="0.2">
      <c r="A43" s="544"/>
      <c r="B43" s="544"/>
      <c r="C43" s="544"/>
      <c r="D43" s="544"/>
      <c r="E43" s="544"/>
      <c r="F43" s="544"/>
      <c r="G43" s="544"/>
      <c r="H43" s="551">
        <f>'F 3B 4B'!$I$40</f>
        <v>0.34770000000000001</v>
      </c>
      <c r="I43" s="551"/>
      <c r="J43" s="551"/>
      <c r="K43" s="551"/>
      <c r="L43" s="551">
        <f>'F 3B 4B'!$I$42</f>
        <v>0.52139999999999997</v>
      </c>
      <c r="M43" s="551"/>
      <c r="N43" s="551"/>
      <c r="O43" s="551"/>
      <c r="P43" s="551">
        <f>'F 3B 4B'!$I$46</f>
        <v>0.13089999999999999</v>
      </c>
      <c r="Q43" s="544"/>
      <c r="R43" s="696"/>
      <c r="S43" s="2"/>
    </row>
    <row r="44" spans="1:43" x14ac:dyDescent="0.2">
      <c r="A44" s="544"/>
      <c r="B44" s="544"/>
      <c r="C44" s="544"/>
      <c r="D44" s="544"/>
      <c r="E44" s="544"/>
      <c r="F44" s="544"/>
      <c r="G44" s="544"/>
      <c r="H44" s="544"/>
      <c r="I44" s="544"/>
      <c r="J44" s="544"/>
      <c r="K44" s="544"/>
      <c r="L44" s="544"/>
      <c r="M44" s="544"/>
      <c r="N44" s="544"/>
      <c r="O44" s="544"/>
      <c r="P44" s="544"/>
      <c r="Q44" s="544"/>
      <c r="R44" s="544"/>
      <c r="S44" s="2"/>
    </row>
    <row r="45" spans="1:43" x14ac:dyDescent="0.2">
      <c r="A45" s="544" t="s">
        <v>208</v>
      </c>
      <c r="B45" s="544"/>
      <c r="C45" s="544"/>
      <c r="D45" s="697">
        <f>ROUND(('F 1-2'!$G$15/24),1)</f>
        <v>636.5</v>
      </c>
      <c r="E45" s="544"/>
      <c r="F45" s="551">
        <f>ROUND(+D45/$D$53,4)+0.0001</f>
        <v>0.50919999999999999</v>
      </c>
      <c r="G45" s="544"/>
      <c r="H45" s="551">
        <f>ROUND(F45*$H$43,4)+0.0001</f>
        <v>0.17709999999999998</v>
      </c>
      <c r="I45" s="544"/>
      <c r="J45" s="551">
        <f>'F 3B 4B'!$K$58</f>
        <v>0.56030000000000002</v>
      </c>
      <c r="K45" s="544"/>
      <c r="L45" s="551">
        <f>ROUND(J45*$L$43,4)</f>
        <v>0.29210000000000003</v>
      </c>
      <c r="M45" s="544"/>
      <c r="N45" s="551"/>
      <c r="O45" s="544"/>
      <c r="P45" s="551"/>
      <c r="Q45" s="544"/>
      <c r="R45" s="551">
        <f t="shared" ref="R45:R51" si="2">H45+L45+P45</f>
        <v>0.46920000000000001</v>
      </c>
      <c r="S45" s="2"/>
      <c r="W45" s="255"/>
      <c r="X45" s="255"/>
      <c r="Y45" s="255"/>
      <c r="Z45" s="255"/>
      <c r="AA45" s="255"/>
      <c r="AB45" s="255"/>
      <c r="AC45" s="255"/>
      <c r="AD45" s="255"/>
      <c r="AE45" s="255"/>
      <c r="AF45" s="255"/>
      <c r="AG45" s="238"/>
      <c r="AH45" s="255"/>
      <c r="AI45" s="255"/>
      <c r="AJ45" s="255"/>
      <c r="AK45" s="255"/>
      <c r="AL45" s="255"/>
      <c r="AM45" s="255"/>
      <c r="AN45" s="255"/>
      <c r="AO45" s="255"/>
      <c r="AP45" s="255"/>
      <c r="AQ45" s="255"/>
    </row>
    <row r="46" spans="1:43" x14ac:dyDescent="0.2">
      <c r="A46" s="544" t="s">
        <v>209</v>
      </c>
      <c r="B46" s="544"/>
      <c r="C46" s="544"/>
      <c r="D46" s="697">
        <f>ROUND(('F 1-2'!$G$16/24),1)</f>
        <v>398.6</v>
      </c>
      <c r="E46" s="544"/>
      <c r="F46" s="551">
        <f t="shared" ref="F46:F51" si="3">ROUND(+D46/$D$53,4)</f>
        <v>0.31879999999999997</v>
      </c>
      <c r="G46" s="544"/>
      <c r="H46" s="551">
        <f t="shared" ref="H46:H51" si="4">ROUND(F46*$H$43,4)</f>
        <v>0.1108</v>
      </c>
      <c r="I46" s="544"/>
      <c r="J46" s="551">
        <f>'F 3B 4B'!$K$59</f>
        <v>0.33239999999999997</v>
      </c>
      <c r="K46" s="544"/>
      <c r="L46" s="551">
        <f>ROUND(J46*$L$43,4)</f>
        <v>0.17330000000000001</v>
      </c>
      <c r="M46" s="544"/>
      <c r="N46" s="544"/>
      <c r="O46" s="544"/>
      <c r="P46" s="544"/>
      <c r="Q46" s="544"/>
      <c r="R46" s="551">
        <f t="shared" si="2"/>
        <v>0.28410000000000002</v>
      </c>
      <c r="S46" s="2"/>
      <c r="U46" s="220"/>
      <c r="V46" s="220"/>
      <c r="W46" s="256"/>
      <c r="X46" s="256"/>
      <c r="Y46" s="257"/>
      <c r="Z46" s="257"/>
      <c r="AA46" s="257"/>
      <c r="AB46" s="255"/>
      <c r="AC46" s="258"/>
      <c r="AD46" s="256"/>
      <c r="AE46" s="258"/>
      <c r="AF46" s="255"/>
      <c r="AG46" s="238"/>
      <c r="AH46" s="255"/>
      <c r="AI46" s="238"/>
      <c r="AJ46" s="255"/>
      <c r="AK46" s="255"/>
      <c r="AL46" s="259"/>
      <c r="AM46" s="260"/>
      <c r="AN46" s="255"/>
      <c r="AO46" s="255"/>
      <c r="AP46" s="255"/>
      <c r="AQ46" s="255"/>
    </row>
    <row r="47" spans="1:43" s="217" customFormat="1" ht="15.75" x14ac:dyDescent="0.25">
      <c r="A47" s="544" t="s">
        <v>210</v>
      </c>
      <c r="B47" s="544"/>
      <c r="C47" s="544"/>
      <c r="D47" s="697">
        <f>ROUND(('F 1-2'!$G$17)/24,1)</f>
        <v>70.7</v>
      </c>
      <c r="E47" s="544"/>
      <c r="F47" s="551">
        <f t="shared" si="3"/>
        <v>5.6500000000000002E-2</v>
      </c>
      <c r="G47" s="544"/>
      <c r="H47" s="551">
        <f t="shared" si="4"/>
        <v>1.9599999999999999E-2</v>
      </c>
      <c r="I47" s="544"/>
      <c r="J47" s="551">
        <f>'F 3B 4B'!$K$60</f>
        <v>3.7699999999999997E-2</v>
      </c>
      <c r="K47" s="544"/>
      <c r="L47" s="551">
        <f>ROUND(J47*$L$43,4)</f>
        <v>1.9699999999999999E-2</v>
      </c>
      <c r="M47" s="544"/>
      <c r="N47" s="544"/>
      <c r="O47" s="544"/>
      <c r="P47" s="544"/>
      <c r="Q47" s="544"/>
      <c r="R47" s="551">
        <f t="shared" si="2"/>
        <v>3.9300000000000002E-2</v>
      </c>
      <c r="S47" s="58"/>
      <c r="T47" s="226"/>
      <c r="U47" s="220"/>
      <c r="V47" s="220"/>
      <c r="W47" s="256"/>
      <c r="X47" s="256"/>
      <c r="Y47" s="256"/>
      <c r="Z47" s="256"/>
      <c r="AA47" s="256"/>
      <c r="AB47" s="261"/>
      <c r="AC47" s="258"/>
      <c r="AD47" s="256"/>
      <c r="AE47" s="258"/>
      <c r="AF47" s="261"/>
      <c r="AG47" s="238"/>
      <c r="AH47" s="255"/>
      <c r="AI47" s="238"/>
      <c r="AJ47" s="255"/>
      <c r="AK47" s="261"/>
      <c r="AL47" s="262"/>
      <c r="AM47" s="262"/>
      <c r="AN47" s="261"/>
      <c r="AO47" s="261"/>
      <c r="AP47" s="261"/>
      <c r="AQ47" s="261"/>
    </row>
    <row r="48" spans="1:43" x14ac:dyDescent="0.2">
      <c r="A48" s="544" t="s">
        <v>214</v>
      </c>
      <c r="B48" s="544"/>
      <c r="C48" s="544"/>
      <c r="D48" s="697">
        <f>ROUND(('F 1-2'!$G$18/24),1)</f>
        <v>136.5</v>
      </c>
      <c r="E48" s="544"/>
      <c r="F48" s="551">
        <f t="shared" si="3"/>
        <v>0.10920000000000001</v>
      </c>
      <c r="G48" s="544"/>
      <c r="H48" s="551">
        <f t="shared" si="4"/>
        <v>3.7999999999999999E-2</v>
      </c>
      <c r="I48" s="544"/>
      <c r="J48" s="551">
        <f>'F 3B 4B'!$K$61</f>
        <v>6.9599999999999995E-2</v>
      </c>
      <c r="K48" s="544"/>
      <c r="L48" s="698">
        <f>ROUND(J48*$L$43,4)</f>
        <v>3.6299999999999999E-2</v>
      </c>
      <c r="M48" s="544"/>
      <c r="N48" s="544"/>
      <c r="O48" s="544"/>
      <c r="P48" s="544"/>
      <c r="Q48" s="544"/>
      <c r="R48" s="551">
        <f t="shared" si="2"/>
        <v>7.4300000000000005E-2</v>
      </c>
      <c r="S48" s="2"/>
      <c r="U48" s="220"/>
      <c r="V48" s="220"/>
      <c r="W48" s="256"/>
      <c r="X48" s="256"/>
      <c r="Y48" s="263"/>
      <c r="Z48" s="256"/>
      <c r="AA48" s="256"/>
      <c r="AB48" s="260"/>
      <c r="AC48" s="264"/>
      <c r="AD48" s="256"/>
      <c r="AE48" s="264"/>
      <c r="AF48" s="255"/>
      <c r="AG48" s="260"/>
      <c r="AH48" s="255"/>
      <c r="AI48" s="260"/>
      <c r="AJ48" s="255"/>
      <c r="AK48" s="255"/>
      <c r="AL48" s="259"/>
      <c r="AM48" s="259"/>
      <c r="AN48" s="255"/>
      <c r="AO48" s="255"/>
      <c r="AP48" s="255"/>
      <c r="AQ48" s="255"/>
    </row>
    <row r="49" spans="1:43" x14ac:dyDescent="0.2">
      <c r="A49" s="544" t="s">
        <v>333</v>
      </c>
      <c r="B49" s="544"/>
      <c r="C49" s="544"/>
      <c r="D49" s="697">
        <f>ROUND(('F 1-2'!$G$19/24),1)*0</f>
        <v>0</v>
      </c>
      <c r="E49" s="544"/>
      <c r="F49" s="551">
        <f>ROUND(+D49/$D$53,4)</f>
        <v>0</v>
      </c>
      <c r="G49" s="544"/>
      <c r="H49" s="551">
        <f t="shared" si="4"/>
        <v>0</v>
      </c>
      <c r="I49" s="544"/>
      <c r="J49" s="551">
        <f>'F 3B 4B'!$K$62</f>
        <v>0</v>
      </c>
      <c r="K49" s="544"/>
      <c r="L49" s="551">
        <f>ROUND(J49*$L$43,4)</f>
        <v>0</v>
      </c>
      <c r="M49" s="544"/>
      <c r="N49" s="551"/>
      <c r="O49" s="544"/>
      <c r="P49" s="551"/>
      <c r="Q49" s="544"/>
      <c r="R49" s="551">
        <f t="shared" si="2"/>
        <v>0</v>
      </c>
      <c r="U49" s="398"/>
      <c r="V49" s="220"/>
      <c r="W49" s="256"/>
      <c r="X49" s="256"/>
      <c r="Y49" s="263"/>
      <c r="Z49" s="256"/>
      <c r="AA49" s="256"/>
      <c r="AB49" s="260"/>
      <c r="AC49" s="264"/>
      <c r="AD49" s="256"/>
      <c r="AE49" s="264"/>
      <c r="AF49" s="255"/>
      <c r="AG49" s="260"/>
      <c r="AH49" s="255"/>
      <c r="AI49" s="260"/>
      <c r="AJ49" s="255"/>
      <c r="AK49" s="255"/>
      <c r="AL49" s="259"/>
      <c r="AM49" s="260"/>
      <c r="AN49" s="255"/>
      <c r="AO49" s="255"/>
      <c r="AP49" s="255"/>
      <c r="AQ49" s="255"/>
    </row>
    <row r="50" spans="1:43" x14ac:dyDescent="0.2">
      <c r="A50" s="544" t="s">
        <v>216</v>
      </c>
      <c r="B50" s="544"/>
      <c r="C50" s="544"/>
      <c r="D50" s="697">
        <f>ROUND(('F 1-2'!$G$20/24),1)</f>
        <v>3.7</v>
      </c>
      <c r="E50" s="544"/>
      <c r="F50" s="551">
        <f t="shared" si="3"/>
        <v>3.0000000000000001E-3</v>
      </c>
      <c r="G50" s="544"/>
      <c r="H50" s="551">
        <f t="shared" si="4"/>
        <v>1E-3</v>
      </c>
      <c r="I50" s="544"/>
      <c r="J50" s="551"/>
      <c r="K50" s="544"/>
      <c r="L50" s="551"/>
      <c r="M50" s="544"/>
      <c r="N50" s="551">
        <f>Fire!$O$26</f>
        <v>0.46200000000000002</v>
      </c>
      <c r="O50" s="544"/>
      <c r="P50" s="698">
        <f>ROUND(N50*$P$43,4)</f>
        <v>6.0499999999999998E-2</v>
      </c>
      <c r="Q50" s="544"/>
      <c r="R50" s="551">
        <f t="shared" si="2"/>
        <v>6.1499999999999999E-2</v>
      </c>
      <c r="S50" s="2"/>
      <c r="U50" s="220"/>
      <c r="V50" s="220"/>
      <c r="W50" s="256"/>
      <c r="X50" s="256"/>
      <c r="Y50" s="263"/>
      <c r="Z50" s="256"/>
      <c r="AA50" s="256"/>
      <c r="AB50" s="260"/>
      <c r="AC50" s="264"/>
      <c r="AD50" s="256"/>
      <c r="AE50" s="264"/>
      <c r="AF50" s="255"/>
      <c r="AG50" s="260"/>
      <c r="AH50" s="255"/>
      <c r="AI50" s="260"/>
      <c r="AJ50" s="255"/>
      <c r="AK50" s="255"/>
      <c r="AL50" s="259"/>
      <c r="AM50" s="260"/>
      <c r="AN50" s="255"/>
      <c r="AO50" s="255"/>
      <c r="AP50" s="255"/>
      <c r="AQ50" s="255"/>
    </row>
    <row r="51" spans="1:43" x14ac:dyDescent="0.2">
      <c r="A51" s="544" t="s">
        <v>217</v>
      </c>
      <c r="B51" s="544"/>
      <c r="C51" s="544"/>
      <c r="D51" s="697">
        <f>ROUND(('F 1-2'!$G$21/24),1)</f>
        <v>4.3</v>
      </c>
      <c r="E51" s="544"/>
      <c r="F51" s="551">
        <f t="shared" si="3"/>
        <v>3.3999999999999998E-3</v>
      </c>
      <c r="G51" s="544"/>
      <c r="H51" s="551">
        <f t="shared" si="4"/>
        <v>1.1999999999999999E-3</v>
      </c>
      <c r="I51" s="544"/>
      <c r="J51" s="551"/>
      <c r="K51" s="544"/>
      <c r="L51" s="551"/>
      <c r="M51" s="544"/>
      <c r="N51" s="551">
        <f>Fire!$O$33</f>
        <v>0.53800000000000003</v>
      </c>
      <c r="O51" s="544"/>
      <c r="P51" s="551">
        <f>ROUND(N51*$P$43,4)</f>
        <v>7.0400000000000004E-2</v>
      </c>
      <c r="Q51" s="544"/>
      <c r="R51" s="551">
        <f t="shared" si="2"/>
        <v>7.1600000000000011E-2</v>
      </c>
      <c r="S51" s="2"/>
      <c r="U51" s="220"/>
      <c r="V51" s="220"/>
      <c r="W51" s="220"/>
      <c r="X51" s="220"/>
      <c r="Y51" s="221"/>
      <c r="Z51" s="220"/>
      <c r="AA51" s="220"/>
      <c r="AB51" s="159"/>
      <c r="AC51" s="224"/>
      <c r="AD51" s="220"/>
      <c r="AE51" s="224"/>
      <c r="AG51" s="159"/>
      <c r="AI51" s="159"/>
    </row>
    <row r="52" spans="1:43" x14ac:dyDescent="0.2">
      <c r="A52" s="544"/>
      <c r="B52" s="544"/>
      <c r="C52" s="544"/>
      <c r="D52" s="699"/>
      <c r="E52" s="544"/>
      <c r="F52" s="700"/>
      <c r="G52" s="544"/>
      <c r="H52" s="700"/>
      <c r="I52" s="544"/>
      <c r="J52" s="700"/>
      <c r="K52" s="544"/>
      <c r="L52" s="700"/>
      <c r="M52" s="544"/>
      <c r="N52" s="700"/>
      <c r="O52" s="544"/>
      <c r="P52" s="700"/>
      <c r="Q52" s="544"/>
      <c r="R52" s="700"/>
      <c r="S52" s="2"/>
      <c r="U52" s="220"/>
      <c r="V52" s="220"/>
      <c r="W52" s="220"/>
      <c r="X52" s="220"/>
      <c r="Y52" s="221"/>
      <c r="Z52" s="220"/>
      <c r="AA52" s="220"/>
      <c r="AB52" s="159"/>
      <c r="AC52" s="224"/>
      <c r="AD52" s="220"/>
      <c r="AE52" s="224"/>
      <c r="AG52" s="159"/>
      <c r="AI52" s="159"/>
      <c r="AK52" s="4"/>
    </row>
    <row r="53" spans="1:43" ht="15.75" thickBot="1" x14ac:dyDescent="0.25">
      <c r="A53" s="544" t="s">
        <v>218</v>
      </c>
      <c r="B53" s="544"/>
      <c r="C53" s="544"/>
      <c r="D53" s="697">
        <f>SUM(D45:D52)</f>
        <v>1250.3</v>
      </c>
      <c r="E53" s="544"/>
      <c r="F53" s="551">
        <f>SUM(F45:F52)</f>
        <v>1.0001</v>
      </c>
      <c r="G53" s="544"/>
      <c r="H53" s="551">
        <f>SUM(H45:H52)</f>
        <v>0.34769999999999995</v>
      </c>
      <c r="I53" s="544"/>
      <c r="J53" s="551">
        <f>SUM(J45:J52)</f>
        <v>1</v>
      </c>
      <c r="K53" s="544"/>
      <c r="L53" s="551">
        <f>SUM(L45:L52)</f>
        <v>0.52140000000000009</v>
      </c>
      <c r="M53" s="544"/>
      <c r="N53" s="579">
        <f>SUM(N45:N52)</f>
        <v>1</v>
      </c>
      <c r="O53" s="544"/>
      <c r="P53" s="551">
        <f>SUM(P45:P52)</f>
        <v>0.13090000000000002</v>
      </c>
      <c r="Q53" s="544"/>
      <c r="R53" s="551">
        <f>SUM(R45:R52)</f>
        <v>1.0000000000000002</v>
      </c>
      <c r="S53" s="2"/>
      <c r="U53" s="220"/>
      <c r="V53" s="220"/>
      <c r="W53" s="220"/>
      <c r="X53" s="220"/>
      <c r="Y53" s="221"/>
      <c r="Z53" s="220"/>
      <c r="AA53" s="220"/>
      <c r="AB53" s="159"/>
      <c r="AC53" s="224"/>
      <c r="AE53" s="224"/>
      <c r="AG53" s="159"/>
      <c r="AI53" s="159"/>
      <c r="AK53" s="4"/>
    </row>
    <row r="54" spans="1:43" ht="15.75" thickTop="1" x14ac:dyDescent="0.2">
      <c r="A54" s="544"/>
      <c r="B54" s="544"/>
      <c r="C54" s="544"/>
      <c r="D54" s="580"/>
      <c r="E54" s="544"/>
      <c r="F54" s="701"/>
      <c r="G54" s="544"/>
      <c r="H54" s="701"/>
      <c r="I54" s="544"/>
      <c r="J54" s="701"/>
      <c r="K54" s="544"/>
      <c r="L54" s="701"/>
      <c r="M54" s="544"/>
      <c r="N54" s="702"/>
      <c r="O54" s="544"/>
      <c r="P54" s="701"/>
      <c r="Q54" s="544"/>
      <c r="R54" s="701"/>
      <c r="S54" s="2"/>
      <c r="U54" s="220"/>
      <c r="V54" s="220"/>
      <c r="W54" s="220"/>
      <c r="X54" s="220"/>
      <c r="Y54" s="220"/>
      <c r="Z54" s="220"/>
      <c r="AA54" s="220"/>
      <c r="AB54" s="159"/>
      <c r="AC54" s="159"/>
      <c r="AG54" s="159"/>
      <c r="AK54" s="4"/>
    </row>
    <row r="55" spans="1:43" x14ac:dyDescent="0.2">
      <c r="A55" s="854" t="s">
        <v>1</v>
      </c>
      <c r="B55" s="854"/>
      <c r="C55" s="854"/>
      <c r="D55" s="854"/>
      <c r="E55" s="854"/>
      <c r="F55" s="854"/>
      <c r="G55" s="854"/>
      <c r="H55" s="854"/>
      <c r="I55" s="854"/>
      <c r="J55" s="854"/>
      <c r="K55" s="854"/>
      <c r="L55" s="854"/>
      <c r="M55" s="854"/>
      <c r="N55" s="854"/>
      <c r="O55" s="854"/>
      <c r="P55" s="854"/>
      <c r="Q55" s="854"/>
      <c r="R55" s="854"/>
      <c r="S55" s="2"/>
      <c r="U55" s="220"/>
      <c r="V55" s="220"/>
      <c r="W55" s="220"/>
      <c r="X55" s="220"/>
      <c r="Y55" s="221"/>
      <c r="Z55" s="220"/>
      <c r="AA55" s="221"/>
      <c r="AB55" s="159"/>
      <c r="AC55" s="159"/>
      <c r="AE55" s="224"/>
      <c r="AF55" s="159"/>
      <c r="AG55" s="159"/>
      <c r="AI55" s="159"/>
      <c r="AK55" s="4"/>
    </row>
    <row r="56" spans="1:43" x14ac:dyDescent="0.2">
      <c r="U56" s="220"/>
      <c r="V56" s="220"/>
      <c r="W56" s="220"/>
      <c r="X56" s="220"/>
      <c r="Y56" s="224"/>
      <c r="Z56" s="224"/>
      <c r="AA56" s="224"/>
      <c r="AB56" s="159"/>
      <c r="AC56" s="159"/>
      <c r="AD56" s="159"/>
      <c r="AE56" s="159"/>
      <c r="AF56" s="159"/>
      <c r="AG56" s="159"/>
      <c r="AH56" s="159"/>
      <c r="AI56" s="159"/>
      <c r="AK56" s="4"/>
    </row>
    <row r="57" spans="1:43" x14ac:dyDescent="0.2">
      <c r="U57" s="220"/>
      <c r="V57" s="220"/>
      <c r="W57" s="220"/>
      <c r="X57" s="220"/>
      <c r="Y57" s="224"/>
      <c r="Z57" s="224"/>
      <c r="AA57" s="224"/>
      <c r="AB57" s="159"/>
      <c r="AC57" s="159"/>
      <c r="AD57" s="159"/>
      <c r="AE57" s="224"/>
      <c r="AF57" s="159"/>
      <c r="AG57" s="224"/>
      <c r="AH57" s="159"/>
      <c r="AI57" s="224"/>
      <c r="AK57" s="4"/>
    </row>
    <row r="58" spans="1:43" x14ac:dyDescent="0.2">
      <c r="A58" s="15"/>
      <c r="B58" s="1"/>
      <c r="C58" s="1"/>
      <c r="D58" s="1"/>
      <c r="E58" s="1"/>
      <c r="F58" s="1"/>
      <c r="G58" s="15"/>
      <c r="H58" s="1"/>
      <c r="I58" s="1"/>
      <c r="J58" s="1"/>
      <c r="K58" s="1"/>
      <c r="L58" s="1"/>
      <c r="M58" s="1"/>
      <c r="N58" s="1"/>
      <c r="O58" s="1"/>
      <c r="P58" s="1"/>
      <c r="Q58" s="1"/>
      <c r="R58" s="1"/>
      <c r="Y58" s="225"/>
      <c r="AK58" s="4"/>
    </row>
    <row r="59" spans="1:43" x14ac:dyDescent="0.2">
      <c r="A59" s="15"/>
      <c r="B59" s="1"/>
      <c r="C59" s="1"/>
      <c r="E59" s="1"/>
      <c r="F59" s="1"/>
      <c r="G59" s="15"/>
      <c r="H59" s="1"/>
      <c r="I59" s="1"/>
      <c r="J59" s="1"/>
      <c r="K59" s="1"/>
      <c r="L59" s="1"/>
      <c r="M59" s="1"/>
      <c r="N59" s="1"/>
      <c r="O59" s="1"/>
      <c r="P59" s="1"/>
      <c r="Q59" s="1"/>
      <c r="R59" s="1"/>
    </row>
    <row r="60" spans="1:43" x14ac:dyDescent="0.2">
      <c r="A60" s="1"/>
      <c r="B60" s="1"/>
      <c r="C60" s="1"/>
      <c r="D60" s="245"/>
      <c r="E60" s="1"/>
      <c r="F60" s="1"/>
      <c r="G60" s="1"/>
      <c r="H60" s="1"/>
      <c r="I60" s="1"/>
      <c r="J60" s="1"/>
      <c r="K60" s="1"/>
      <c r="L60" s="1"/>
      <c r="M60" s="1"/>
      <c r="N60" s="1"/>
      <c r="O60" s="1"/>
      <c r="P60" s="1"/>
      <c r="Q60" s="1"/>
      <c r="R60" s="1"/>
    </row>
    <row r="61" spans="1:43" x14ac:dyDescent="0.2">
      <c r="A61" s="1"/>
      <c r="B61" s="1"/>
      <c r="C61" s="1"/>
      <c r="D61" s="56"/>
      <c r="E61" s="1"/>
      <c r="F61" s="1"/>
      <c r="G61" s="1"/>
      <c r="H61" s="1"/>
      <c r="I61" s="1"/>
      <c r="J61" s="1"/>
      <c r="K61" s="1"/>
      <c r="L61" s="1"/>
      <c r="M61" s="1"/>
      <c r="N61" s="1"/>
      <c r="O61" s="1"/>
      <c r="P61" s="1"/>
      <c r="Q61" s="1"/>
      <c r="R61" s="1"/>
    </row>
    <row r="62" spans="1:43" x14ac:dyDescent="0.2">
      <c r="A62" s="2"/>
      <c r="B62" s="2"/>
      <c r="C62" s="2"/>
      <c r="D62" s="2"/>
      <c r="E62" s="2"/>
      <c r="F62" s="2"/>
      <c r="G62" s="2"/>
      <c r="H62" s="2"/>
      <c r="I62" s="2"/>
      <c r="J62" s="2"/>
      <c r="K62" s="2"/>
      <c r="L62" s="2"/>
      <c r="M62" s="2"/>
      <c r="N62" s="2"/>
      <c r="O62" s="2"/>
      <c r="P62" s="2"/>
      <c r="Q62" s="2"/>
      <c r="R62" s="2"/>
    </row>
    <row r="63" spans="1:43" x14ac:dyDescent="0.2">
      <c r="A63" s="2"/>
      <c r="B63" s="2"/>
      <c r="C63" s="2"/>
      <c r="D63" s="2"/>
      <c r="E63" s="2"/>
      <c r="F63" s="2"/>
      <c r="G63" s="2"/>
      <c r="H63" s="2"/>
      <c r="I63" s="2"/>
      <c r="J63" s="2"/>
      <c r="K63" s="2"/>
      <c r="L63" s="2"/>
      <c r="M63" s="2"/>
      <c r="N63" s="2"/>
      <c r="O63" s="2"/>
      <c r="P63" s="2"/>
      <c r="Q63" s="2"/>
      <c r="R63" s="2"/>
    </row>
    <row r="64" spans="1:43" ht="15" customHeight="1" x14ac:dyDescent="0.2">
      <c r="A64" s="853"/>
      <c r="B64" s="853"/>
      <c r="C64" s="853"/>
      <c r="D64" s="853"/>
      <c r="E64" s="853"/>
      <c r="F64" s="853"/>
      <c r="G64" s="853"/>
      <c r="H64" s="853"/>
      <c r="I64" s="853"/>
      <c r="J64" s="853"/>
      <c r="K64" s="853"/>
      <c r="L64" s="853"/>
      <c r="M64" s="853"/>
      <c r="N64" s="853"/>
      <c r="O64" s="853"/>
      <c r="P64" s="853"/>
      <c r="Q64" s="853"/>
      <c r="R64" s="853"/>
      <c r="Y64" s="2"/>
    </row>
    <row r="65" spans="1:18" x14ac:dyDescent="0.2">
      <c r="A65" s="2"/>
      <c r="B65" s="2"/>
      <c r="C65" s="2"/>
      <c r="D65" s="2"/>
      <c r="E65" s="2"/>
      <c r="F65" s="2"/>
      <c r="G65" s="2"/>
      <c r="H65" s="2"/>
      <c r="I65" s="2"/>
      <c r="J65" s="2"/>
      <c r="K65" s="2"/>
      <c r="L65" s="2"/>
      <c r="M65" s="2"/>
      <c r="N65" s="2"/>
      <c r="O65" s="2"/>
      <c r="P65" s="2"/>
      <c r="Q65" s="2"/>
      <c r="R65" s="2"/>
    </row>
    <row r="66" spans="1:18" x14ac:dyDescent="0.2">
      <c r="A66" s="2"/>
      <c r="B66" s="2"/>
      <c r="C66" s="2"/>
      <c r="D66" s="2"/>
      <c r="E66" s="2"/>
      <c r="F66" s="2"/>
      <c r="G66" s="2"/>
      <c r="H66" s="2"/>
      <c r="I66" s="2"/>
      <c r="J66" s="2"/>
      <c r="K66" s="2"/>
      <c r="L66" s="2"/>
      <c r="M66" s="2"/>
      <c r="N66" s="2"/>
      <c r="O66" s="2"/>
      <c r="P66" s="2"/>
      <c r="Q66" s="2"/>
      <c r="R66" s="2"/>
    </row>
    <row r="67" spans="1:18" ht="27.6" customHeight="1" x14ac:dyDescent="0.2">
      <c r="A67" s="851"/>
      <c r="B67" s="851"/>
      <c r="C67" s="851"/>
      <c r="D67" s="851"/>
      <c r="E67" s="851"/>
      <c r="F67" s="851"/>
      <c r="G67" s="851"/>
      <c r="H67" s="851"/>
      <c r="I67" s="851"/>
      <c r="J67" s="851"/>
      <c r="K67" s="851"/>
      <c r="L67" s="851"/>
      <c r="M67" s="851"/>
      <c r="N67" s="851"/>
      <c r="O67" s="851"/>
      <c r="P67" s="851"/>
      <c r="Q67" s="851"/>
      <c r="R67" s="851"/>
    </row>
    <row r="68" spans="1:18" x14ac:dyDescent="0.2">
      <c r="A68" s="2"/>
      <c r="B68" s="2"/>
      <c r="C68" s="2"/>
      <c r="D68" s="2"/>
      <c r="E68" s="2"/>
      <c r="F68" s="2"/>
      <c r="G68" s="2"/>
      <c r="H68" s="2"/>
      <c r="I68" s="2"/>
      <c r="J68" s="2"/>
      <c r="K68" s="2"/>
      <c r="L68" s="2"/>
      <c r="M68" s="2"/>
      <c r="N68" s="2"/>
      <c r="O68" s="2"/>
      <c r="P68" s="2"/>
      <c r="Q68" s="2"/>
      <c r="R68" s="2"/>
    </row>
    <row r="69" spans="1:18" x14ac:dyDescent="0.2">
      <c r="A69" s="2"/>
      <c r="B69" s="2"/>
      <c r="C69" s="2"/>
      <c r="D69" s="2"/>
      <c r="E69" s="2"/>
      <c r="F69" s="2"/>
      <c r="G69" s="2"/>
      <c r="H69" s="2"/>
      <c r="I69" s="2"/>
      <c r="J69" s="1"/>
      <c r="K69" s="1"/>
      <c r="L69" s="1"/>
      <c r="M69" s="2"/>
      <c r="N69" s="2"/>
      <c r="O69" s="2"/>
      <c r="P69" s="2"/>
      <c r="Q69" s="2"/>
      <c r="R69" s="2"/>
    </row>
    <row r="70" spans="1:18" x14ac:dyDescent="0.2">
      <c r="A70" s="2"/>
      <c r="B70" s="2"/>
      <c r="C70" s="2"/>
      <c r="D70" s="1"/>
      <c r="E70" s="1"/>
      <c r="F70" s="1"/>
      <c r="G70" s="1"/>
      <c r="H70" s="1"/>
      <c r="I70" s="2"/>
      <c r="J70" s="1"/>
      <c r="K70" s="1"/>
      <c r="L70" s="1"/>
      <c r="M70" s="2"/>
      <c r="N70" s="1"/>
      <c r="O70" s="1"/>
      <c r="P70" s="1"/>
      <c r="Q70" s="2"/>
      <c r="R70" s="2"/>
    </row>
    <row r="71" spans="1:18" x14ac:dyDescent="0.2">
      <c r="A71" s="1"/>
      <c r="B71" s="1"/>
      <c r="C71" s="2"/>
      <c r="D71" s="8"/>
      <c r="E71" s="8"/>
      <c r="F71" s="8"/>
      <c r="G71" s="8"/>
      <c r="H71" s="8"/>
      <c r="I71" s="9"/>
      <c r="J71" s="8"/>
      <c r="K71" s="8"/>
      <c r="L71" s="8"/>
      <c r="M71" s="9"/>
      <c r="N71" s="8"/>
      <c r="O71" s="8"/>
      <c r="P71" s="8"/>
      <c r="Q71" s="9"/>
      <c r="R71" s="9"/>
    </row>
    <row r="72" spans="1:18" x14ac:dyDescent="0.2">
      <c r="A72" s="1"/>
      <c r="B72" s="1"/>
      <c r="C72" s="2"/>
      <c r="D72" s="9"/>
      <c r="E72" s="9"/>
      <c r="F72" s="9"/>
      <c r="G72" s="9"/>
      <c r="H72" s="9"/>
      <c r="I72" s="9"/>
      <c r="J72" s="9"/>
      <c r="K72" s="9"/>
      <c r="L72" s="9"/>
      <c r="M72" s="9"/>
      <c r="N72" s="9"/>
      <c r="O72" s="9"/>
      <c r="P72" s="9"/>
      <c r="Q72" s="9"/>
      <c r="R72" s="9"/>
    </row>
    <row r="73" spans="1:18" x14ac:dyDescent="0.2">
      <c r="A73" s="3"/>
      <c r="B73" s="3"/>
      <c r="C73" s="2"/>
      <c r="D73" s="8"/>
      <c r="E73" s="2"/>
      <c r="F73" s="8"/>
      <c r="G73" s="2"/>
      <c r="H73" s="10"/>
      <c r="I73" s="2"/>
      <c r="J73" s="8"/>
      <c r="K73" s="2"/>
      <c r="L73" s="10"/>
      <c r="M73" s="2"/>
      <c r="N73" s="8"/>
      <c r="O73" s="2"/>
      <c r="P73" s="10"/>
      <c r="Q73" s="2"/>
      <c r="R73" s="8"/>
    </row>
    <row r="74" spans="1:18" x14ac:dyDescent="0.2">
      <c r="A74" s="2"/>
      <c r="B74" s="2"/>
      <c r="C74" s="2"/>
      <c r="D74" s="2"/>
      <c r="E74" s="2"/>
      <c r="F74" s="2"/>
      <c r="G74" s="2"/>
      <c r="H74" s="4"/>
      <c r="I74" s="4"/>
      <c r="J74" s="4"/>
      <c r="K74" s="4"/>
      <c r="L74" s="4"/>
      <c r="M74" s="4"/>
      <c r="N74" s="4"/>
      <c r="O74" s="4"/>
      <c r="P74" s="4"/>
      <c r="Q74" s="2"/>
      <c r="R74" s="17"/>
    </row>
    <row r="75" spans="1:18" x14ac:dyDescent="0.2">
      <c r="A75" s="2"/>
      <c r="B75" s="2"/>
      <c r="C75" s="2"/>
      <c r="D75" s="2"/>
      <c r="E75" s="2"/>
      <c r="F75" s="2"/>
      <c r="G75" s="2"/>
      <c r="H75" s="2"/>
      <c r="I75" s="2"/>
      <c r="J75" s="2"/>
      <c r="K75" s="2"/>
      <c r="L75" s="2"/>
      <c r="M75" s="2"/>
      <c r="N75" s="2"/>
      <c r="O75" s="2"/>
      <c r="P75" s="2"/>
      <c r="Q75" s="2"/>
      <c r="R75" s="2"/>
    </row>
    <row r="76" spans="1:18" x14ac:dyDescent="0.2">
      <c r="A76" s="2"/>
      <c r="B76" s="2"/>
      <c r="C76" s="2"/>
      <c r="D76" s="98"/>
      <c r="E76" s="2"/>
      <c r="F76" s="4"/>
      <c r="G76" s="2"/>
      <c r="H76" s="4"/>
      <c r="I76" s="2"/>
      <c r="J76" s="4"/>
      <c r="K76" s="2"/>
      <c r="L76" s="4"/>
      <c r="M76" s="2"/>
      <c r="N76" s="4"/>
      <c r="O76" s="2"/>
      <c r="P76" s="4"/>
      <c r="Q76" s="2"/>
      <c r="R76" s="4"/>
    </row>
    <row r="77" spans="1:18" x14ac:dyDescent="0.2">
      <c r="A77" s="2"/>
      <c r="B77" s="2"/>
      <c r="C77" s="2"/>
      <c r="D77" s="98"/>
      <c r="E77" s="2"/>
      <c r="F77" s="4"/>
      <c r="G77" s="2"/>
      <c r="H77" s="4"/>
      <c r="I77" s="2"/>
      <c r="J77" s="4"/>
      <c r="K77" s="2"/>
      <c r="L77" s="4"/>
      <c r="M77" s="2"/>
      <c r="N77" s="2"/>
      <c r="O77" s="2"/>
      <c r="P77" s="2"/>
      <c r="Q77" s="2"/>
      <c r="R77" s="4"/>
    </row>
    <row r="78" spans="1:18" x14ac:dyDescent="0.2">
      <c r="A78" s="2"/>
      <c r="B78" s="2"/>
      <c r="C78" s="2"/>
      <c r="D78" s="98"/>
      <c r="E78" s="2"/>
      <c r="F78" s="4"/>
      <c r="G78" s="2"/>
      <c r="H78" s="4"/>
      <c r="I78" s="2"/>
      <c r="J78" s="4"/>
      <c r="K78" s="2"/>
      <c r="L78" s="4"/>
      <c r="M78" s="2"/>
      <c r="N78" s="2"/>
      <c r="O78" s="2"/>
      <c r="P78" s="2"/>
      <c r="Q78" s="2"/>
      <c r="R78" s="4"/>
    </row>
    <row r="79" spans="1:18" x14ac:dyDescent="0.2">
      <c r="A79" s="2"/>
      <c r="B79" s="2"/>
      <c r="C79" s="2"/>
      <c r="D79" s="98"/>
      <c r="E79" s="2"/>
      <c r="F79" s="4"/>
      <c r="G79" s="2"/>
      <c r="H79" s="4"/>
      <c r="I79" s="2"/>
      <c r="J79" s="4"/>
      <c r="K79" s="2"/>
      <c r="L79" s="4"/>
      <c r="M79" s="2"/>
      <c r="N79" s="4"/>
      <c r="O79" s="2"/>
      <c r="P79" s="194"/>
      <c r="Q79" s="2"/>
      <c r="R79" s="4"/>
    </row>
    <row r="80" spans="1:18" x14ac:dyDescent="0.2">
      <c r="A80" s="2"/>
      <c r="B80" s="2"/>
      <c r="C80" s="2"/>
      <c r="D80" s="98"/>
      <c r="E80" s="2"/>
      <c r="F80" s="4"/>
      <c r="G80" s="2"/>
      <c r="H80" s="4"/>
      <c r="I80" s="2"/>
      <c r="J80" s="4"/>
      <c r="K80" s="2"/>
      <c r="L80" s="4"/>
      <c r="M80" s="2"/>
      <c r="N80" s="4"/>
      <c r="O80" s="2"/>
      <c r="P80" s="4"/>
      <c r="Q80" s="2"/>
      <c r="R80" s="4"/>
    </row>
    <row r="81" spans="1:18" x14ac:dyDescent="0.2">
      <c r="A81" s="2"/>
      <c r="B81" s="2"/>
      <c r="C81" s="2"/>
      <c r="D81" s="91"/>
      <c r="E81" s="2"/>
      <c r="F81" s="18"/>
      <c r="G81" s="2"/>
      <c r="H81" s="18"/>
      <c r="I81" s="2"/>
      <c r="J81" s="18"/>
      <c r="K81" s="2"/>
      <c r="L81" s="18"/>
      <c r="M81" s="2"/>
      <c r="N81" s="18"/>
      <c r="O81" s="2"/>
      <c r="P81" s="18"/>
      <c r="Q81" s="2"/>
      <c r="R81" s="18"/>
    </row>
    <row r="82" spans="1:18" ht="15.75" thickBot="1" x14ac:dyDescent="0.25">
      <c r="A82" s="2"/>
      <c r="B82" s="2"/>
      <c r="C82" s="2"/>
      <c r="D82" s="98"/>
      <c r="E82" s="2"/>
      <c r="F82" s="4"/>
      <c r="G82" s="2"/>
      <c r="H82" s="4"/>
      <c r="I82" s="2"/>
      <c r="J82" s="4"/>
      <c r="K82" s="2"/>
      <c r="L82" s="4"/>
      <c r="M82" s="2"/>
      <c r="N82" s="86"/>
      <c r="O82" s="2"/>
      <c r="P82" s="4"/>
      <c r="Q82" s="2"/>
      <c r="R82" s="4"/>
    </row>
    <row r="83" spans="1:18" ht="15.75" thickTop="1" x14ac:dyDescent="0.2">
      <c r="A83" s="2"/>
      <c r="B83" s="2"/>
      <c r="C83" s="2"/>
      <c r="D83" s="5"/>
      <c r="E83" s="2"/>
      <c r="F83" s="19"/>
      <c r="G83" s="2"/>
      <c r="H83" s="19"/>
      <c r="I83" s="2"/>
      <c r="J83" s="19"/>
      <c r="K83" s="2"/>
      <c r="L83" s="19"/>
      <c r="M83" s="2"/>
      <c r="N83" s="92"/>
      <c r="O83" s="2"/>
      <c r="P83" s="19"/>
      <c r="Q83" s="2"/>
      <c r="R83" s="19"/>
    </row>
    <row r="84" spans="1:18" x14ac:dyDescent="0.2">
      <c r="A84" s="852"/>
      <c r="B84" s="852"/>
      <c r="C84" s="852"/>
      <c r="D84" s="852"/>
      <c r="E84" s="852"/>
      <c r="F84" s="852"/>
      <c r="G84" s="852"/>
      <c r="H84" s="852"/>
      <c r="I84" s="852"/>
      <c r="J84" s="852"/>
      <c r="K84" s="852"/>
      <c r="L84" s="852"/>
      <c r="M84" s="852"/>
      <c r="N84" s="852"/>
      <c r="O84" s="852"/>
      <c r="P84" s="852"/>
      <c r="Q84" s="852"/>
      <c r="R84" s="852"/>
    </row>
    <row r="109" ht="13.35" customHeight="1" x14ac:dyDescent="0.2"/>
    <row r="110" ht="13.35" customHeight="1" x14ac:dyDescent="0.2"/>
    <row r="111" ht="13.35" customHeight="1" x14ac:dyDescent="0.2"/>
    <row r="112" ht="13.35" customHeight="1" x14ac:dyDescent="0.2"/>
    <row r="113" spans="47:47" ht="13.35" customHeight="1" x14ac:dyDescent="0.2"/>
    <row r="114" spans="47:47" ht="13.35" customHeight="1" x14ac:dyDescent="0.2"/>
    <row r="115" spans="47:47" ht="13.35" customHeight="1" x14ac:dyDescent="0.2"/>
    <row r="116" spans="47:47" ht="13.35" customHeight="1" x14ac:dyDescent="0.2"/>
    <row r="117" spans="47:47" ht="13.35" customHeight="1" x14ac:dyDescent="0.2"/>
    <row r="118" spans="47:47" ht="13.35" customHeight="1" x14ac:dyDescent="0.2"/>
    <row r="119" spans="47:47" ht="13.35" customHeight="1" x14ac:dyDescent="0.2"/>
    <row r="120" spans="47:47" ht="12.75" customHeight="1" x14ac:dyDescent="0.2"/>
    <row r="121" spans="47:47" ht="13.35" customHeight="1" x14ac:dyDescent="0.2"/>
    <row r="122" spans="47:47" ht="13.35" customHeight="1" x14ac:dyDescent="0.2"/>
    <row r="123" spans="47:47" ht="13.35" customHeight="1" x14ac:dyDescent="0.2">
      <c r="AU123" s="195"/>
    </row>
    <row r="124" spans="47:47" ht="13.35" customHeight="1" x14ac:dyDescent="0.2"/>
    <row r="125" spans="47:47" ht="13.35" customHeight="1" x14ac:dyDescent="0.2"/>
    <row r="126" spans="47:47" ht="13.35" customHeight="1" x14ac:dyDescent="0.2"/>
    <row r="127" spans="47:47" ht="13.35" customHeight="1" x14ac:dyDescent="0.2"/>
    <row r="128" spans="47:47" ht="13.35" customHeight="1" x14ac:dyDescent="0.2"/>
    <row r="129" ht="13.35" customHeight="1" x14ac:dyDescent="0.2"/>
    <row r="130" ht="13.35" customHeight="1" x14ac:dyDescent="0.2"/>
    <row r="131" ht="13.3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13.35" customHeight="1" x14ac:dyDescent="0.2"/>
    <row r="139" ht="12.75" customHeight="1" x14ac:dyDescent="0.2"/>
    <row r="140" ht="13.35" customHeight="1" x14ac:dyDescent="0.2"/>
    <row r="141" ht="13.35" customHeight="1" x14ac:dyDescent="0.2"/>
    <row r="142" ht="13.35" customHeight="1" x14ac:dyDescent="0.2"/>
    <row r="143" ht="13.35" customHeight="1" x14ac:dyDescent="0.2"/>
    <row r="144" ht="13.35" customHeight="1" x14ac:dyDescent="0.2"/>
    <row r="145" ht="13.35" customHeight="1" x14ac:dyDescent="0.2"/>
    <row r="146" ht="13.35" customHeight="1" x14ac:dyDescent="0.2"/>
    <row r="147" ht="13.35" customHeight="1" x14ac:dyDescent="0.2"/>
    <row r="148" ht="12.75" customHeight="1" x14ac:dyDescent="0.2"/>
    <row r="149" ht="13.35" customHeight="1" x14ac:dyDescent="0.2"/>
    <row r="150" ht="13.35" customHeight="1" x14ac:dyDescent="0.2"/>
    <row r="151" ht="13.35" customHeight="1" x14ac:dyDescent="0.2"/>
    <row r="152" ht="13.35" customHeight="1" x14ac:dyDescent="0.2"/>
    <row r="153" ht="13.35" customHeight="1" x14ac:dyDescent="0.2"/>
    <row r="154" ht="13.35" customHeight="1" x14ac:dyDescent="0.2"/>
    <row r="155" ht="13.35" customHeight="1" x14ac:dyDescent="0.2"/>
    <row r="171" spans="66:67" x14ac:dyDescent="0.2">
      <c r="BN171" s="1"/>
      <c r="BO171" s="1"/>
    </row>
    <row r="172" spans="66:67" x14ac:dyDescent="0.2">
      <c r="BN172" s="1"/>
      <c r="BO172" s="1"/>
    </row>
    <row r="173" spans="66:67" ht="12.75" customHeight="1" x14ac:dyDescent="0.2"/>
    <row r="174" spans="66:67" x14ac:dyDescent="0.2">
      <c r="BN174" s="9"/>
      <c r="BO174" s="9"/>
    </row>
    <row r="175" spans="66:67" ht="12.75" customHeight="1" x14ac:dyDescent="0.2">
      <c r="BN175" s="2"/>
      <c r="BO175" s="2"/>
    </row>
    <row r="176" spans="66:67" ht="13.35" customHeight="1" x14ac:dyDescent="0.2">
      <c r="BN176" s="7"/>
      <c r="BO176" s="7"/>
    </row>
    <row r="177" spans="66:67" ht="13.35" customHeight="1" x14ac:dyDescent="0.2">
      <c r="BN177" s="7"/>
      <c r="BO177" s="7"/>
    </row>
    <row r="178" spans="66:67" ht="13.35" customHeight="1" x14ac:dyDescent="0.2">
      <c r="BN178" s="7"/>
      <c r="BO178" s="7"/>
    </row>
    <row r="179" spans="66:67" ht="13.35" customHeight="1" x14ac:dyDescent="0.2">
      <c r="BN179" s="7"/>
      <c r="BO179" s="7"/>
    </row>
    <row r="180" spans="66:67" ht="12.75" customHeight="1" x14ac:dyDescent="0.2">
      <c r="BN180" s="2"/>
      <c r="BO180" s="2"/>
    </row>
    <row r="181" spans="66:67" x14ac:dyDescent="0.2">
      <c r="BN181" s="218"/>
      <c r="BO181" s="218"/>
    </row>
    <row r="183" spans="66:67" ht="12.75" customHeight="1" x14ac:dyDescent="0.2"/>
    <row r="185" spans="66:67" ht="13.35" customHeight="1" x14ac:dyDescent="0.2"/>
    <row r="186" spans="66:67" ht="13.35" customHeight="1" x14ac:dyDescent="0.2"/>
    <row r="187" spans="66:67" ht="13.35" customHeight="1" x14ac:dyDescent="0.2"/>
    <row r="188" spans="66:67" ht="13.35" customHeight="1" x14ac:dyDescent="0.2"/>
    <row r="198" ht="12.75" customHeight="1" x14ac:dyDescent="0.2"/>
    <row r="200" ht="12.75" customHeight="1" x14ac:dyDescent="0.2"/>
    <row r="204" ht="12.75" customHeight="1" x14ac:dyDescent="0.2"/>
    <row r="206" ht="13.35" customHeight="1" x14ac:dyDescent="0.2"/>
    <row r="207" ht="13.35" customHeight="1" x14ac:dyDescent="0.2"/>
    <row r="208" ht="13.35" customHeight="1" x14ac:dyDescent="0.2"/>
    <row r="209" ht="13.35" customHeight="1" x14ac:dyDescent="0.2"/>
    <row r="210" ht="13.35" customHeight="1" x14ac:dyDescent="0.2"/>
    <row r="211" ht="13.35" customHeight="1" x14ac:dyDescent="0.2"/>
    <row r="212" ht="12.75" customHeight="1" x14ac:dyDescent="0.2"/>
    <row r="214" ht="12.75" customHeight="1" x14ac:dyDescent="0.2"/>
  </sheetData>
  <mergeCells count="6">
    <mergeCell ref="A8:P8"/>
    <mergeCell ref="A67:R67"/>
    <mergeCell ref="A84:R84"/>
    <mergeCell ref="A64:R64"/>
    <mergeCell ref="A36:R36"/>
    <mergeCell ref="A55:R55"/>
  </mergeCells>
  <phoneticPr fontId="14" type="noConversion"/>
  <printOptions horizontalCentered="1"/>
  <pageMargins left="0.7" right="0.7" top="0.75" bottom="0.75" header="0.3" footer="0.3"/>
  <pageSetup orientation="landscape" r:id="rId1"/>
  <headerFooter>
    <oddHeader>&amp;R&amp;9KAW_R_PSCDR1_NUM014_Attachment 1
Case No. 2015-00418
Page &amp;P of &amp;N</oddHeader>
  </headerFooter>
  <rowBreaks count="1" manualBreakCount="1">
    <brk id="57" max="16383"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69"/>
  <sheetViews>
    <sheetView tabSelected="1" view="pageLayout" topLeftCell="A49" zoomScaleNormal="100" workbookViewId="0">
      <selection activeCell="M516" sqref="M516"/>
    </sheetView>
  </sheetViews>
  <sheetFormatPr defaultColWidth="9.77734375" defaultRowHeight="15" x14ac:dyDescent="0.2"/>
  <cols>
    <col min="1" max="1" width="5.21875" style="119" customWidth="1"/>
    <col min="2" max="2" width="10.5546875" style="119" customWidth="1"/>
    <col min="3" max="3" width="4.109375" style="119" customWidth="1"/>
    <col min="4" max="4" width="4.21875" style="119" customWidth="1"/>
    <col min="5" max="5" width="9.77734375" style="119" customWidth="1"/>
    <col min="6" max="6" width="3.44140625" style="119" customWidth="1"/>
    <col min="7" max="7" width="10.109375" style="119" customWidth="1"/>
    <col min="8" max="8" width="4.88671875" style="119" customWidth="1"/>
    <col min="9" max="9" width="9.77734375" style="119" customWidth="1"/>
    <col min="10" max="10" width="2.77734375" style="119" customWidth="1"/>
    <col min="11" max="11" width="6" style="119" customWidth="1"/>
    <col min="12" max="13" width="9.77734375" style="119" customWidth="1"/>
    <col min="14" max="14" width="1.77734375" style="119" customWidth="1"/>
    <col min="15" max="15" width="7.77734375" style="119" customWidth="1"/>
    <col min="16" max="16" width="16" style="119" bestFit="1" customWidth="1"/>
    <col min="17" max="17" width="11" style="119" bestFit="1" customWidth="1"/>
    <col min="18" max="16384" width="9.77734375" style="119"/>
  </cols>
  <sheetData>
    <row r="1" spans="1:17" x14ac:dyDescent="0.2">
      <c r="A1" s="15" t="s">
        <v>7</v>
      </c>
      <c r="B1" s="20"/>
      <c r="C1" s="20"/>
      <c r="D1" s="20"/>
      <c r="E1" s="20"/>
      <c r="F1" s="20"/>
      <c r="G1" s="20"/>
      <c r="H1" s="20"/>
      <c r="I1" s="20"/>
      <c r="J1" s="20"/>
      <c r="K1" s="20"/>
    </row>
    <row r="2" spans="1:17" x14ac:dyDescent="0.2">
      <c r="A2" s="15"/>
      <c r="B2" s="20"/>
      <c r="C2" s="20"/>
      <c r="D2" s="20"/>
      <c r="E2" s="20"/>
      <c r="F2" s="20"/>
      <c r="G2" s="20"/>
      <c r="H2" s="20"/>
      <c r="I2" s="20"/>
      <c r="J2" s="20"/>
      <c r="K2" s="20"/>
    </row>
    <row r="3" spans="1:17" x14ac:dyDescent="0.2">
      <c r="A3" s="855" t="s">
        <v>234</v>
      </c>
      <c r="B3" s="855"/>
      <c r="C3" s="855"/>
      <c r="D3" s="855"/>
      <c r="E3" s="855"/>
      <c r="F3" s="855"/>
      <c r="G3" s="855"/>
      <c r="H3" s="855"/>
      <c r="I3" s="855"/>
      <c r="J3" s="855"/>
      <c r="K3" s="855"/>
      <c r="L3" s="21"/>
    </row>
    <row r="4" spans="1:17" x14ac:dyDescent="0.2">
      <c r="A4" s="627"/>
      <c r="B4" s="627"/>
      <c r="C4" s="627"/>
      <c r="D4" s="627"/>
      <c r="E4" s="627"/>
      <c r="F4" s="627"/>
      <c r="G4" s="627"/>
      <c r="H4" s="627"/>
      <c r="I4" s="627"/>
      <c r="J4" s="627"/>
      <c r="K4" s="627"/>
      <c r="L4" s="22"/>
    </row>
    <row r="5" spans="1:17" x14ac:dyDescent="0.2">
      <c r="A5" s="627" t="s">
        <v>986</v>
      </c>
      <c r="B5" s="627"/>
      <c r="C5" s="627"/>
      <c r="D5" s="627"/>
      <c r="E5" s="627"/>
      <c r="F5" s="627"/>
      <c r="G5" s="627"/>
      <c r="H5" s="627"/>
      <c r="I5" s="627"/>
      <c r="J5" s="627"/>
      <c r="K5" s="627"/>
      <c r="L5" s="22"/>
    </row>
    <row r="6" spans="1:17" x14ac:dyDescent="0.2">
      <c r="A6" s="627" t="s">
        <v>987</v>
      </c>
      <c r="B6" s="627"/>
      <c r="C6" s="627"/>
      <c r="D6" s="627"/>
      <c r="E6" s="627"/>
      <c r="F6" s="627"/>
      <c r="G6" s="627"/>
      <c r="H6" s="627"/>
      <c r="I6" s="627"/>
      <c r="J6" s="627"/>
      <c r="K6" s="627"/>
      <c r="L6" s="22"/>
    </row>
    <row r="7" spans="1:17" x14ac:dyDescent="0.2">
      <c r="A7" s="627"/>
      <c r="B7" s="627"/>
      <c r="C7" s="627"/>
      <c r="D7" s="627"/>
      <c r="E7" s="627"/>
      <c r="F7" s="627"/>
      <c r="G7" s="627"/>
      <c r="H7" s="627"/>
      <c r="I7" s="627"/>
      <c r="J7" s="627"/>
      <c r="K7" s="627"/>
      <c r="L7" s="22"/>
    </row>
    <row r="8" spans="1:17" ht="54.75" customHeight="1" x14ac:dyDescent="0.2">
      <c r="A8" s="856" t="s">
        <v>974</v>
      </c>
      <c r="B8" s="856"/>
      <c r="C8" s="856"/>
      <c r="D8" s="856"/>
      <c r="E8" s="856"/>
      <c r="F8" s="856"/>
      <c r="G8" s="856"/>
      <c r="H8" s="856"/>
      <c r="I8" s="856"/>
      <c r="J8" s="856"/>
      <c r="K8" s="856"/>
      <c r="L8" s="22"/>
    </row>
    <row r="9" spans="1:17" x14ac:dyDescent="0.2">
      <c r="A9" s="627"/>
      <c r="B9" s="627"/>
      <c r="C9" s="627"/>
      <c r="D9" s="627"/>
      <c r="E9" s="627"/>
      <c r="F9" s="627"/>
      <c r="G9" s="627"/>
      <c r="H9" s="627"/>
      <c r="I9" s="627"/>
      <c r="J9" s="627"/>
      <c r="K9" s="627"/>
      <c r="L9" s="22"/>
    </row>
    <row r="10" spans="1:17" x14ac:dyDescent="0.2">
      <c r="A10" s="627"/>
      <c r="B10" s="627"/>
      <c r="C10" s="627"/>
      <c r="D10" s="627"/>
      <c r="E10" s="629"/>
      <c r="F10" s="627"/>
      <c r="G10" s="628" t="s">
        <v>237</v>
      </c>
      <c r="H10" s="627"/>
      <c r="I10" s="629"/>
      <c r="J10" s="627"/>
      <c r="K10" s="627"/>
      <c r="L10" s="22"/>
    </row>
    <row r="11" spans="1:17" x14ac:dyDescent="0.2">
      <c r="A11" s="627"/>
      <c r="B11" s="627"/>
      <c r="C11" s="629"/>
      <c r="D11" s="627"/>
      <c r="E11" s="628" t="s">
        <v>244</v>
      </c>
      <c r="F11" s="627"/>
      <c r="G11" s="628" t="s">
        <v>265</v>
      </c>
      <c r="H11" s="627"/>
      <c r="I11" s="628" t="s">
        <v>245</v>
      </c>
      <c r="J11" s="627"/>
      <c r="K11" s="629"/>
      <c r="L11" s="22"/>
    </row>
    <row r="12" spans="1:17" x14ac:dyDescent="0.2">
      <c r="A12" s="627"/>
      <c r="B12" s="627"/>
      <c r="C12" s="629"/>
      <c r="D12" s="627"/>
      <c r="E12" s="638"/>
      <c r="F12" s="627"/>
      <c r="G12" s="638"/>
      <c r="H12" s="627"/>
      <c r="I12" s="638"/>
      <c r="J12" s="627"/>
      <c r="K12" s="629"/>
      <c r="L12" s="22"/>
      <c r="P12" s="235">
        <f>+'SCH-D'!D12*1000000</f>
        <v>13955075000</v>
      </c>
      <c r="Q12" s="235"/>
    </row>
    <row r="13" spans="1:17" x14ac:dyDescent="0.2">
      <c r="A13" s="629"/>
      <c r="B13" s="627" t="s">
        <v>246</v>
      </c>
      <c r="C13" s="629"/>
      <c r="D13" s="627"/>
      <c r="E13" s="677">
        <v>1</v>
      </c>
      <c r="F13" s="627"/>
      <c r="G13" s="678">
        <f>+P14</f>
        <v>38233082.19178082</v>
      </c>
      <c r="H13" s="627"/>
      <c r="I13" s="635">
        <f>ROUND(+G13/G$21,4)</f>
        <v>0.52439999999999998</v>
      </c>
      <c r="J13" s="627"/>
      <c r="K13" s="629"/>
      <c r="L13" s="22"/>
    </row>
    <row r="14" spans="1:17" x14ac:dyDescent="0.2">
      <c r="A14" s="629"/>
      <c r="B14" s="627" t="s">
        <v>222</v>
      </c>
      <c r="C14" s="629"/>
      <c r="D14" s="627"/>
      <c r="E14" s="677"/>
      <c r="F14" s="627"/>
      <c r="G14" s="678"/>
      <c r="H14" s="627"/>
      <c r="I14" s="635"/>
      <c r="J14" s="627"/>
      <c r="K14" s="629"/>
      <c r="L14" s="22"/>
      <c r="P14" s="235">
        <f>+P12/365</f>
        <v>38233082.19178082</v>
      </c>
    </row>
    <row r="15" spans="1:17" x14ac:dyDescent="0.2">
      <c r="A15" s="629"/>
      <c r="B15" s="627" t="s">
        <v>247</v>
      </c>
      <c r="C15" s="629"/>
      <c r="D15" s="627"/>
      <c r="E15" s="677">
        <f>+'F 2 B'!F31</f>
        <v>0.75</v>
      </c>
      <c r="F15" s="678"/>
      <c r="G15" s="678">
        <f>ROUND(+G13*E15,0)</f>
        <v>28674812</v>
      </c>
      <c r="H15" s="635"/>
      <c r="I15" s="635">
        <f>ROUND(+G15/G$21,4)</f>
        <v>0.39329999999999998</v>
      </c>
      <c r="J15" s="627"/>
      <c r="K15" s="629"/>
      <c r="L15" s="22"/>
    </row>
    <row r="16" spans="1:17" x14ac:dyDescent="0.2">
      <c r="A16" s="629"/>
      <c r="B16" s="627"/>
      <c r="C16" s="629"/>
      <c r="D16" s="627"/>
      <c r="E16" s="679"/>
      <c r="F16" s="678"/>
      <c r="G16" s="680"/>
      <c r="H16" s="635"/>
      <c r="I16" s="681"/>
      <c r="J16" s="627"/>
      <c r="K16" s="629"/>
      <c r="L16" s="22"/>
    </row>
    <row r="17" spans="1:17" ht="15.75" thickBot="1" x14ac:dyDescent="0.25">
      <c r="A17" s="629"/>
      <c r="B17" s="627" t="s">
        <v>267</v>
      </c>
      <c r="C17" s="629"/>
      <c r="D17" s="627"/>
      <c r="E17" s="682">
        <f>SUM(E13:E16)</f>
        <v>1.75</v>
      </c>
      <c r="F17" s="678"/>
      <c r="G17" s="678">
        <f>SUM(G13:G16)</f>
        <v>66907894.19178082</v>
      </c>
      <c r="H17" s="635"/>
      <c r="I17" s="635">
        <f>SUM(I13:I16)</f>
        <v>0.91769999999999996</v>
      </c>
      <c r="J17" s="627"/>
      <c r="K17" s="629"/>
      <c r="L17" s="22"/>
    </row>
    <row r="18" spans="1:17" ht="15.75" thickTop="1" x14ac:dyDescent="0.2">
      <c r="A18" s="629"/>
      <c r="B18" s="627"/>
      <c r="C18" s="629"/>
      <c r="D18" s="627"/>
      <c r="E18" s="683"/>
      <c r="F18" s="678"/>
      <c r="G18" s="678"/>
      <c r="H18" s="634"/>
      <c r="I18" s="635"/>
      <c r="J18" s="627"/>
      <c r="K18" s="629"/>
      <c r="L18" s="22"/>
      <c r="P18" s="219"/>
    </row>
    <row r="19" spans="1:17" x14ac:dyDescent="0.2">
      <c r="A19" s="629"/>
      <c r="B19" s="627" t="s">
        <v>251</v>
      </c>
      <c r="C19" s="627"/>
      <c r="D19" s="627"/>
      <c r="E19" s="629"/>
      <c r="F19" s="627"/>
      <c r="G19" s="684">
        <f>+G46*60*10</f>
        <v>6000000</v>
      </c>
      <c r="H19" s="627"/>
      <c r="I19" s="635">
        <f>ROUND(+G19/G$21,4)</f>
        <v>8.2299999999999998E-2</v>
      </c>
      <c r="J19" s="627"/>
      <c r="K19" s="629"/>
      <c r="L19" s="22"/>
      <c r="P19" s="219"/>
      <c r="Q19" s="219"/>
    </row>
    <row r="20" spans="1:17" x14ac:dyDescent="0.2">
      <c r="A20" s="629"/>
      <c r="B20" s="627"/>
      <c r="C20" s="627"/>
      <c r="D20" s="627"/>
      <c r="E20" s="629"/>
      <c r="F20" s="627"/>
      <c r="G20" s="638"/>
      <c r="H20" s="627"/>
      <c r="I20" s="681"/>
      <c r="J20" s="627"/>
      <c r="K20" s="629"/>
      <c r="L20" s="22"/>
      <c r="P20" s="219"/>
      <c r="Q20" s="219"/>
    </row>
    <row r="21" spans="1:17" ht="15.75" thickBot="1" x14ac:dyDescent="0.25">
      <c r="A21" s="629"/>
      <c r="B21" s="627" t="s">
        <v>248</v>
      </c>
      <c r="C21" s="627"/>
      <c r="D21" s="627"/>
      <c r="E21" s="629"/>
      <c r="F21" s="627"/>
      <c r="G21" s="685">
        <f>SUM(G17:G19)</f>
        <v>72907894.19178082</v>
      </c>
      <c r="H21" s="627"/>
      <c r="I21" s="635">
        <f>SUM(I17:I19)</f>
        <v>1</v>
      </c>
      <c r="J21" s="627"/>
      <c r="K21" s="629"/>
      <c r="L21" s="22"/>
    </row>
    <row r="22" spans="1:17" ht="15.75" thickTop="1" x14ac:dyDescent="0.2">
      <c r="A22" s="629"/>
      <c r="B22" s="627"/>
      <c r="C22" s="627"/>
      <c r="D22" s="627"/>
      <c r="E22" s="627"/>
      <c r="F22" s="627"/>
      <c r="G22" s="683"/>
      <c r="H22" s="627"/>
      <c r="I22" s="686"/>
      <c r="J22" s="627"/>
      <c r="K22" s="629"/>
      <c r="L22" s="22"/>
    </row>
    <row r="23" spans="1:17" x14ac:dyDescent="0.2">
      <c r="A23" s="627"/>
      <c r="B23" s="627"/>
      <c r="C23" s="627"/>
      <c r="D23" s="627"/>
      <c r="E23" s="627"/>
      <c r="F23" s="627"/>
      <c r="G23" s="627"/>
      <c r="H23" s="627"/>
      <c r="I23" s="627"/>
      <c r="J23" s="627"/>
      <c r="K23" s="627"/>
      <c r="L23" s="22"/>
    </row>
    <row r="24" spans="1:17" ht="30.6" customHeight="1" x14ac:dyDescent="0.2">
      <c r="A24" s="856" t="s">
        <v>185</v>
      </c>
      <c r="B24" s="856"/>
      <c r="C24" s="856"/>
      <c r="D24" s="856"/>
      <c r="E24" s="856"/>
      <c r="F24" s="856"/>
      <c r="G24" s="856"/>
      <c r="H24" s="856"/>
      <c r="I24" s="856"/>
      <c r="J24" s="856"/>
      <c r="K24" s="856"/>
      <c r="L24" s="22"/>
    </row>
    <row r="25" spans="1:17" x14ac:dyDescent="0.2">
      <c r="A25" s="627"/>
      <c r="B25" s="627"/>
      <c r="C25" s="627"/>
      <c r="D25" s="627"/>
      <c r="E25" s="627"/>
      <c r="F25" s="627"/>
      <c r="G25" s="627"/>
      <c r="H25" s="627"/>
      <c r="I25" s="627"/>
      <c r="J25" s="627"/>
      <c r="K25" s="627"/>
      <c r="L25" s="22"/>
    </row>
    <row r="26" spans="1:17" x14ac:dyDescent="0.2">
      <c r="A26" s="627"/>
      <c r="B26" s="627"/>
      <c r="C26" s="627"/>
      <c r="D26" s="627"/>
      <c r="E26" s="627"/>
      <c r="F26" s="627"/>
      <c r="G26" s="627"/>
      <c r="H26" s="627"/>
      <c r="I26" s="627"/>
      <c r="J26" s="627"/>
      <c r="K26" s="627"/>
      <c r="L26" s="22"/>
    </row>
    <row r="27" spans="1:17" x14ac:dyDescent="0.2">
      <c r="A27" s="627"/>
      <c r="B27" s="627"/>
      <c r="C27" s="627"/>
      <c r="D27" s="627"/>
      <c r="E27" s="627"/>
      <c r="F27" s="627"/>
      <c r="G27" s="627"/>
      <c r="H27" s="627"/>
      <c r="I27" s="627"/>
      <c r="J27" s="627"/>
      <c r="K27" s="627"/>
      <c r="L27" s="22"/>
    </row>
    <row r="28" spans="1:17" x14ac:dyDescent="0.2">
      <c r="A28" s="15" t="s">
        <v>7</v>
      </c>
      <c r="B28" s="630"/>
      <c r="C28" s="630"/>
      <c r="D28" s="630"/>
      <c r="E28" s="630"/>
      <c r="F28" s="630"/>
      <c r="G28" s="630"/>
      <c r="H28" s="630"/>
      <c r="I28" s="630"/>
      <c r="J28" s="630"/>
      <c r="K28" s="630"/>
    </row>
    <row r="29" spans="1:17" x14ac:dyDescent="0.2">
      <c r="A29" s="543"/>
      <c r="B29" s="630"/>
      <c r="C29" s="630"/>
      <c r="D29" s="630"/>
      <c r="E29" s="630"/>
      <c r="F29" s="630"/>
      <c r="G29" s="630"/>
      <c r="H29" s="630"/>
      <c r="I29" s="630"/>
      <c r="J29" s="630"/>
      <c r="K29" s="630"/>
    </row>
    <row r="30" spans="1:17" x14ac:dyDescent="0.2">
      <c r="A30" s="630" t="s">
        <v>234</v>
      </c>
      <c r="B30" s="630"/>
      <c r="C30" s="630"/>
      <c r="D30" s="630"/>
      <c r="E30" s="630"/>
      <c r="F30" s="630"/>
      <c r="G30" s="630"/>
      <c r="H30" s="630"/>
      <c r="I30" s="630"/>
      <c r="J30" s="630"/>
      <c r="K30" s="630"/>
    </row>
    <row r="31" spans="1:17" x14ac:dyDescent="0.2">
      <c r="A31" s="629"/>
      <c r="B31" s="629"/>
      <c r="C31" s="629"/>
      <c r="D31" s="629"/>
      <c r="E31" s="629"/>
      <c r="F31" s="629"/>
      <c r="G31" s="629"/>
      <c r="H31" s="629"/>
      <c r="I31" s="629"/>
      <c r="J31" s="629"/>
      <c r="K31" s="629"/>
    </row>
    <row r="32" spans="1:17" x14ac:dyDescent="0.2">
      <c r="A32" s="627" t="s">
        <v>268</v>
      </c>
      <c r="B32" s="627"/>
      <c r="C32" s="627"/>
      <c r="D32" s="627"/>
      <c r="E32" s="627"/>
      <c r="F32" s="627"/>
      <c r="G32" s="627"/>
      <c r="H32" s="627"/>
      <c r="I32" s="627"/>
      <c r="J32" s="627"/>
      <c r="K32" s="627"/>
      <c r="L32" s="22"/>
    </row>
    <row r="33" spans="1:15" x14ac:dyDescent="0.2">
      <c r="A33" s="627" t="s">
        <v>269</v>
      </c>
      <c r="B33" s="627"/>
      <c r="C33" s="627"/>
      <c r="D33" s="627"/>
      <c r="E33" s="627"/>
      <c r="F33" s="627"/>
      <c r="G33" s="627"/>
      <c r="H33" s="627"/>
      <c r="I33" s="627"/>
      <c r="J33" s="627"/>
      <c r="K33" s="627"/>
      <c r="L33" s="22"/>
    </row>
    <row r="34" spans="1:15" ht="11.25" customHeight="1" x14ac:dyDescent="0.2">
      <c r="A34" s="627"/>
      <c r="B34" s="627"/>
      <c r="C34" s="627"/>
      <c r="D34" s="627"/>
      <c r="E34" s="627"/>
      <c r="F34" s="627"/>
      <c r="G34" s="627"/>
      <c r="H34" s="627"/>
      <c r="I34" s="627"/>
      <c r="J34" s="627"/>
      <c r="K34" s="627"/>
      <c r="L34" s="22"/>
    </row>
    <row r="35" spans="1:15" ht="52.9" customHeight="1" x14ac:dyDescent="0.2">
      <c r="A35" s="856" t="s">
        <v>975</v>
      </c>
      <c r="B35" s="856"/>
      <c r="C35" s="856"/>
      <c r="D35" s="856"/>
      <c r="E35" s="856"/>
      <c r="F35" s="856"/>
      <c r="G35" s="856"/>
      <c r="H35" s="856"/>
      <c r="I35" s="856"/>
      <c r="J35" s="856"/>
      <c r="K35" s="856"/>
      <c r="L35" s="22"/>
    </row>
    <row r="36" spans="1:15" ht="8.25" customHeight="1" x14ac:dyDescent="0.2">
      <c r="A36" s="627"/>
      <c r="B36" s="627"/>
      <c r="C36" s="627"/>
      <c r="D36" s="627"/>
      <c r="E36" s="627"/>
      <c r="F36" s="627"/>
      <c r="G36" s="627"/>
      <c r="H36" s="627"/>
      <c r="I36" s="627"/>
      <c r="J36" s="627"/>
      <c r="K36" s="627"/>
      <c r="L36" s="22"/>
    </row>
    <row r="37" spans="1:15" x14ac:dyDescent="0.2">
      <c r="A37" s="627"/>
      <c r="B37" s="627"/>
      <c r="C37" s="627"/>
      <c r="D37" s="627"/>
      <c r="E37" s="629"/>
      <c r="F37" s="627"/>
      <c r="G37" s="628" t="s">
        <v>237</v>
      </c>
      <c r="H37" s="627"/>
      <c r="I37" s="627"/>
      <c r="J37" s="627"/>
      <c r="K37" s="627"/>
      <c r="L37" s="22"/>
    </row>
    <row r="38" spans="1:15" x14ac:dyDescent="0.2">
      <c r="A38" s="627"/>
      <c r="B38" s="627"/>
      <c r="C38" s="629"/>
      <c r="D38" s="627"/>
      <c r="E38" s="628" t="s">
        <v>244</v>
      </c>
      <c r="F38" s="627"/>
      <c r="G38" s="628" t="s">
        <v>270</v>
      </c>
      <c r="H38" s="627"/>
      <c r="I38" s="628" t="s">
        <v>245</v>
      </c>
      <c r="J38" s="627"/>
      <c r="K38" s="627"/>
      <c r="L38" s="22"/>
    </row>
    <row r="39" spans="1:15" ht="9.75" customHeight="1" x14ac:dyDescent="0.2">
      <c r="A39" s="627"/>
      <c r="B39" s="627"/>
      <c r="C39" s="629"/>
      <c r="D39" s="627"/>
      <c r="E39" s="638"/>
      <c r="F39" s="627"/>
      <c r="G39" s="638"/>
      <c r="H39" s="627"/>
      <c r="I39" s="638"/>
      <c r="J39" s="627"/>
      <c r="K39" s="627"/>
      <c r="L39" s="22"/>
    </row>
    <row r="40" spans="1:15" x14ac:dyDescent="0.2">
      <c r="A40" s="629"/>
      <c r="B40" s="627" t="s">
        <v>266</v>
      </c>
      <c r="C40" s="629"/>
      <c r="D40" s="627"/>
      <c r="E40" s="677">
        <v>1</v>
      </c>
      <c r="F40" s="627"/>
      <c r="G40" s="678">
        <f>ROUND(G13/24/60,0)</f>
        <v>26551</v>
      </c>
      <c r="H40" s="627"/>
      <c r="I40" s="635">
        <f>ROUND(+G40/G$48,4)+0.0001</f>
        <v>0.34770000000000001</v>
      </c>
      <c r="J40" s="627"/>
      <c r="K40" s="627"/>
      <c r="L40" s="22"/>
      <c r="M40" s="24"/>
    </row>
    <row r="41" spans="1:15" x14ac:dyDescent="0.2">
      <c r="A41" s="629"/>
      <c r="B41" s="627" t="s">
        <v>258</v>
      </c>
      <c r="C41" s="629"/>
      <c r="D41" s="627"/>
      <c r="E41" s="677"/>
      <c r="F41" s="627"/>
      <c r="G41" s="678"/>
      <c r="H41" s="627"/>
      <c r="I41" s="635"/>
      <c r="J41" s="627"/>
      <c r="K41" s="627"/>
      <c r="L41" s="22"/>
      <c r="M41" s="24"/>
    </row>
    <row r="42" spans="1:15" x14ac:dyDescent="0.2">
      <c r="A42" s="629"/>
      <c r="B42" s="627" t="s">
        <v>247</v>
      </c>
      <c r="C42" s="629"/>
      <c r="D42" s="627"/>
      <c r="E42" s="677">
        <v>1.5</v>
      </c>
      <c r="F42" s="678"/>
      <c r="G42" s="678">
        <f>ROUND(+G40*E42,0)</f>
        <v>39827</v>
      </c>
      <c r="H42" s="635"/>
      <c r="I42" s="687">
        <f>ROUND(+G42/G$48,4)</f>
        <v>0.52139999999999997</v>
      </c>
      <c r="J42" s="627"/>
      <c r="K42" s="627"/>
      <c r="L42" s="22"/>
      <c r="M42" s="24"/>
    </row>
    <row r="43" spans="1:15" x14ac:dyDescent="0.2">
      <c r="A43" s="629"/>
      <c r="B43" s="627"/>
      <c r="C43" s="629"/>
      <c r="D43" s="627"/>
      <c r="E43" s="679"/>
      <c r="F43" s="678"/>
      <c r="G43" s="680"/>
      <c r="H43" s="635"/>
      <c r="I43" s="681"/>
      <c r="J43" s="627"/>
      <c r="K43" s="627"/>
      <c r="L43" s="22"/>
      <c r="M43" s="24"/>
    </row>
    <row r="44" spans="1:15" ht="15.75" thickBot="1" x14ac:dyDescent="0.25">
      <c r="A44" s="629"/>
      <c r="B44" s="627" t="s">
        <v>267</v>
      </c>
      <c r="C44" s="629"/>
      <c r="D44" s="627"/>
      <c r="E44" s="682">
        <f>SUM(E40:E43)</f>
        <v>2.5</v>
      </c>
      <c r="F44" s="678"/>
      <c r="G44" s="678">
        <f>SUM(G40:G43)</f>
        <v>66378</v>
      </c>
      <c r="H44" s="635"/>
      <c r="I44" s="635">
        <f>SUM(I40:I43)</f>
        <v>0.86909999999999998</v>
      </c>
      <c r="J44" s="627"/>
      <c r="K44" s="627"/>
      <c r="L44" s="22"/>
      <c r="M44" s="24"/>
    </row>
    <row r="45" spans="1:15" ht="9.75" customHeight="1" thickTop="1" x14ac:dyDescent="0.2">
      <c r="A45" s="629"/>
      <c r="B45" s="627"/>
      <c r="C45" s="629"/>
      <c r="D45" s="627"/>
      <c r="E45" s="683"/>
      <c r="F45" s="678"/>
      <c r="G45" s="678"/>
      <c r="H45" s="634"/>
      <c r="I45" s="635"/>
      <c r="J45" s="627"/>
      <c r="K45" s="627"/>
      <c r="L45" s="22"/>
      <c r="M45" s="24"/>
    </row>
    <row r="46" spans="1:15" x14ac:dyDescent="0.2">
      <c r="A46" s="629"/>
      <c r="B46" s="627" t="s">
        <v>251</v>
      </c>
      <c r="C46" s="627"/>
      <c r="D46" s="627"/>
      <c r="E46" s="629"/>
      <c r="F46" s="627"/>
      <c r="G46" s="678">
        <v>10000</v>
      </c>
      <c r="H46" s="627"/>
      <c r="I46" s="635">
        <f>ROUND(+G46/G$48,4)</f>
        <v>0.13089999999999999</v>
      </c>
      <c r="J46" s="627"/>
      <c r="K46" s="627"/>
      <c r="L46" s="22"/>
      <c r="O46" s="118"/>
    </row>
    <row r="47" spans="1:15" x14ac:dyDescent="0.2">
      <c r="A47" s="629"/>
      <c r="B47" s="627"/>
      <c r="C47" s="627"/>
      <c r="D47" s="627"/>
      <c r="E47" s="629"/>
      <c r="F47" s="627"/>
      <c r="G47" s="638"/>
      <c r="H47" s="627"/>
      <c r="I47" s="681"/>
      <c r="J47" s="627"/>
      <c r="K47" s="627"/>
      <c r="L47" s="22"/>
      <c r="O47" s="118"/>
    </row>
    <row r="48" spans="1:15" ht="15.75" thickBot="1" x14ac:dyDescent="0.25">
      <c r="A48" s="629"/>
      <c r="B48" s="627" t="s">
        <v>248</v>
      </c>
      <c r="C48" s="627"/>
      <c r="D48" s="627"/>
      <c r="E48" s="629"/>
      <c r="F48" s="627"/>
      <c r="G48" s="685">
        <f>SUM(G44:G46)</f>
        <v>76378</v>
      </c>
      <c r="H48" s="627"/>
      <c r="I48" s="635">
        <f>SUM(I44:I46)</f>
        <v>1</v>
      </c>
      <c r="J48" s="627"/>
      <c r="K48" s="627"/>
      <c r="L48" s="22"/>
      <c r="M48" s="24"/>
    </row>
    <row r="49" spans="1:17" ht="12.6" customHeight="1" thickTop="1" x14ac:dyDescent="0.2">
      <c r="A49" s="627"/>
      <c r="B49" s="627"/>
      <c r="C49" s="627"/>
      <c r="D49" s="627"/>
      <c r="E49" s="678"/>
      <c r="F49" s="627"/>
      <c r="G49" s="683"/>
      <c r="H49" s="627"/>
      <c r="I49" s="688"/>
      <c r="J49" s="627"/>
      <c r="K49" s="627"/>
      <c r="L49" s="22"/>
    </row>
    <row r="50" spans="1:17" ht="25.9" customHeight="1" x14ac:dyDescent="0.2">
      <c r="A50" s="856" t="s">
        <v>271</v>
      </c>
      <c r="B50" s="856"/>
      <c r="C50" s="856"/>
      <c r="D50" s="856"/>
      <c r="E50" s="856"/>
      <c r="F50" s="856"/>
      <c r="G50" s="856"/>
      <c r="H50" s="856"/>
      <c r="I50" s="856"/>
      <c r="J50" s="856"/>
      <c r="K50" s="856"/>
      <c r="L50" s="22"/>
    </row>
    <row r="51" spans="1:17" ht="10.15" customHeight="1" x14ac:dyDescent="0.2">
      <c r="A51" s="627"/>
      <c r="B51" s="627"/>
      <c r="C51" s="627"/>
      <c r="D51" s="627"/>
      <c r="E51" s="627"/>
      <c r="F51" s="627"/>
      <c r="G51" s="627"/>
      <c r="H51" s="627"/>
      <c r="I51" s="627"/>
      <c r="J51" s="627"/>
      <c r="K51" s="627"/>
      <c r="L51" s="22"/>
    </row>
    <row r="52" spans="1:17" x14ac:dyDescent="0.2">
      <c r="A52" s="627"/>
      <c r="B52" s="627"/>
      <c r="C52" s="627"/>
      <c r="D52" s="627"/>
      <c r="E52" s="628" t="s">
        <v>272</v>
      </c>
      <c r="F52" s="627"/>
      <c r="G52" s="629"/>
      <c r="H52" s="627"/>
      <c r="I52" s="627"/>
      <c r="J52" s="627"/>
      <c r="K52" s="627"/>
      <c r="L52" s="22"/>
    </row>
    <row r="53" spans="1:17" x14ac:dyDescent="0.2">
      <c r="A53" s="627"/>
      <c r="B53" s="627"/>
      <c r="C53" s="627"/>
      <c r="D53" s="627"/>
      <c r="E53" s="628" t="s">
        <v>273</v>
      </c>
      <c r="F53" s="627"/>
      <c r="G53" s="630" t="s">
        <v>274</v>
      </c>
      <c r="H53" s="630"/>
      <c r="I53" s="630"/>
      <c r="J53" s="630"/>
      <c r="K53" s="630"/>
      <c r="L53" s="22"/>
    </row>
    <row r="54" spans="1:17" x14ac:dyDescent="0.2">
      <c r="A54" s="630" t="s">
        <v>252</v>
      </c>
      <c r="B54" s="630"/>
      <c r="C54" s="630"/>
      <c r="D54" s="627"/>
      <c r="E54" s="628" t="s">
        <v>223</v>
      </c>
      <c r="F54" s="627"/>
      <c r="G54" s="631"/>
      <c r="H54" s="631"/>
      <c r="I54" s="631" t="s">
        <v>445</v>
      </c>
      <c r="J54" s="631"/>
      <c r="K54" s="631" t="s">
        <v>202</v>
      </c>
      <c r="L54" s="22"/>
    </row>
    <row r="55" spans="1:17" x14ac:dyDescent="0.2">
      <c r="A55" s="630" t="s">
        <v>203</v>
      </c>
      <c r="B55" s="630"/>
      <c r="C55" s="630"/>
      <c r="D55" s="627"/>
      <c r="E55" s="628" t="s">
        <v>583</v>
      </c>
      <c r="F55" s="627"/>
      <c r="G55" s="628" t="s">
        <v>238</v>
      </c>
      <c r="H55" s="628"/>
      <c r="I55" s="628" t="s">
        <v>275</v>
      </c>
      <c r="J55" s="628"/>
      <c r="K55" s="628" t="s">
        <v>204</v>
      </c>
      <c r="L55" s="22"/>
    </row>
    <row r="56" spans="1:17" x14ac:dyDescent="0.2">
      <c r="A56" s="632" t="s">
        <v>205</v>
      </c>
      <c r="B56" s="632"/>
      <c r="C56" s="632"/>
      <c r="D56" s="627"/>
      <c r="E56" s="631" t="s">
        <v>227</v>
      </c>
      <c r="F56" s="627"/>
      <c r="G56" s="631" t="s">
        <v>207</v>
      </c>
      <c r="H56" s="628"/>
      <c r="I56" s="631" t="s">
        <v>240</v>
      </c>
      <c r="J56" s="628"/>
      <c r="K56" s="631" t="s">
        <v>241</v>
      </c>
      <c r="L56" s="22"/>
      <c r="O56" s="265"/>
      <c r="P56" s="265"/>
      <c r="Q56" s="265"/>
    </row>
    <row r="57" spans="1:17" ht="10.7" customHeight="1" x14ac:dyDescent="0.2">
      <c r="A57" s="629"/>
      <c r="B57" s="629"/>
      <c r="C57" s="627"/>
      <c r="D57" s="627"/>
      <c r="E57" s="627"/>
      <c r="F57" s="627"/>
      <c r="G57" s="627"/>
      <c r="H57" s="627"/>
      <c r="I57" s="627"/>
      <c r="J57" s="627"/>
      <c r="K57" s="627"/>
      <c r="L57" s="22"/>
      <c r="O57" s="265"/>
      <c r="P57" s="265"/>
      <c r="Q57" s="265"/>
    </row>
    <row r="58" spans="1:17" x14ac:dyDescent="0.2">
      <c r="A58" s="627" t="s">
        <v>208</v>
      </c>
      <c r="B58" s="627"/>
      <c r="C58" s="627"/>
      <c r="D58" s="627"/>
      <c r="E58" s="633">
        <f>'F 3-4'!$D$45</f>
        <v>636.5</v>
      </c>
      <c r="F58" s="627"/>
      <c r="G58" s="823">
        <v>1.9</v>
      </c>
      <c r="H58" s="627"/>
      <c r="I58" s="634">
        <f>ROUND(E58*G58,1)</f>
        <v>1209.4000000000001</v>
      </c>
      <c r="J58" s="627"/>
      <c r="K58" s="635">
        <f>ROUND(+I58/I$64,4)</f>
        <v>0.56030000000000002</v>
      </c>
      <c r="L58" s="23"/>
      <c r="M58" s="529"/>
      <c r="O58" s="530"/>
      <c r="P58" s="265"/>
      <c r="Q58" s="266"/>
    </row>
    <row r="59" spans="1:17" x14ac:dyDescent="0.2">
      <c r="A59" s="627" t="s">
        <v>209</v>
      </c>
      <c r="B59" s="627"/>
      <c r="C59" s="627"/>
      <c r="D59" s="627"/>
      <c r="E59" s="633">
        <f>'F 3-4'!$D$46</f>
        <v>398.6</v>
      </c>
      <c r="F59" s="627"/>
      <c r="G59" s="823">
        <v>1.8</v>
      </c>
      <c r="H59" s="627"/>
      <c r="I59" s="634">
        <f>ROUND(E59*G59,1)</f>
        <v>717.5</v>
      </c>
      <c r="J59" s="627"/>
      <c r="K59" s="635">
        <f>ROUND(+I59/I$64,4)</f>
        <v>0.33239999999999997</v>
      </c>
      <c r="L59" s="23"/>
      <c r="M59" s="529"/>
      <c r="O59" s="530"/>
      <c r="P59" s="265"/>
      <c r="Q59" s="266"/>
    </row>
    <row r="60" spans="1:17" x14ac:dyDescent="0.2">
      <c r="A60" s="627" t="s">
        <v>210</v>
      </c>
      <c r="B60" s="627"/>
      <c r="C60" s="627"/>
      <c r="D60" s="627"/>
      <c r="E60" s="633">
        <f>'F 3-4'!$D$47</f>
        <v>70.7</v>
      </c>
      <c r="F60" s="627"/>
      <c r="G60" s="823">
        <v>1.1499999999999999</v>
      </c>
      <c r="H60" s="627"/>
      <c r="I60" s="634">
        <f>ROUND(E60*G60,1)</f>
        <v>81.3</v>
      </c>
      <c r="J60" s="627"/>
      <c r="K60" s="635">
        <f>ROUND(+I60/I$64,4)</f>
        <v>3.7699999999999997E-2</v>
      </c>
      <c r="L60" s="23"/>
      <c r="M60" s="529"/>
      <c r="O60" s="530"/>
      <c r="P60" s="265"/>
      <c r="Q60" s="266"/>
    </row>
    <row r="61" spans="1:17" x14ac:dyDescent="0.2">
      <c r="A61" s="627" t="s">
        <v>214</v>
      </c>
      <c r="B61" s="627"/>
      <c r="C61" s="627"/>
      <c r="D61" s="627"/>
      <c r="E61" s="633">
        <f>'F 3-4'!D48</f>
        <v>136.5</v>
      </c>
      <c r="F61" s="627"/>
      <c r="G61" s="823">
        <v>1.1000000000000001</v>
      </c>
      <c r="H61" s="627"/>
      <c r="I61" s="634">
        <f>ROUND(E61*G61,1)</f>
        <v>150.19999999999999</v>
      </c>
      <c r="J61" s="627"/>
      <c r="K61" s="635">
        <f>ROUND(+I61/I$64,4)</f>
        <v>6.9599999999999995E-2</v>
      </c>
      <c r="L61" s="23"/>
      <c r="M61" s="529"/>
      <c r="O61" s="530"/>
      <c r="P61" s="265"/>
      <c r="Q61" s="266"/>
    </row>
    <row r="62" spans="1:17" x14ac:dyDescent="0.2">
      <c r="A62" s="627" t="s">
        <v>333</v>
      </c>
      <c r="B62" s="627"/>
      <c r="C62" s="627"/>
      <c r="D62" s="627"/>
      <c r="E62" s="633">
        <f>'F 3-4'!D49</f>
        <v>0</v>
      </c>
      <c r="F62" s="627"/>
      <c r="G62" s="823">
        <v>0.9</v>
      </c>
      <c r="H62" s="627"/>
      <c r="I62" s="634">
        <f>ROUND(E62*G62,1)</f>
        <v>0</v>
      </c>
      <c r="J62" s="627"/>
      <c r="K62" s="635">
        <f>ROUND(+I62/I$64,4)</f>
        <v>0</v>
      </c>
      <c r="L62" s="23"/>
      <c r="M62" s="529"/>
      <c r="O62" s="530"/>
      <c r="P62" s="265"/>
      <c r="Q62" s="266"/>
    </row>
    <row r="63" spans="1:17" ht="9.1999999999999993" customHeight="1" x14ac:dyDescent="0.2">
      <c r="A63" s="627"/>
      <c r="B63" s="627"/>
      <c r="C63" s="627"/>
      <c r="D63" s="627"/>
      <c r="E63" s="636"/>
      <c r="F63" s="627"/>
      <c r="G63" s="824"/>
      <c r="H63" s="627"/>
      <c r="I63" s="637"/>
      <c r="J63" s="627"/>
      <c r="K63" s="638"/>
      <c r="L63" s="22"/>
      <c r="O63" s="265"/>
      <c r="P63" s="265"/>
      <c r="Q63" s="93"/>
    </row>
    <row r="64" spans="1:17" ht="15.75" thickBot="1" x14ac:dyDescent="0.25">
      <c r="A64" s="627" t="s">
        <v>276</v>
      </c>
      <c r="B64" s="627"/>
      <c r="C64" s="627"/>
      <c r="D64" s="627"/>
      <c r="E64" s="633">
        <f>SUM(E58:E63)</f>
        <v>1242.3</v>
      </c>
      <c r="F64" s="634"/>
      <c r="G64" s="634"/>
      <c r="H64" s="634"/>
      <c r="I64" s="633">
        <f>SUM(I58:I63)</f>
        <v>2158.4</v>
      </c>
      <c r="J64" s="627"/>
      <c r="K64" s="640">
        <f>SUM(K58:K63)</f>
        <v>1</v>
      </c>
      <c r="L64" s="161"/>
      <c r="M64" s="743"/>
      <c r="O64" s="267"/>
      <c r="P64" s="265"/>
      <c r="Q64" s="266"/>
    </row>
    <row r="65" spans="1:17" ht="15.75" thickTop="1" x14ac:dyDescent="0.2">
      <c r="A65" s="689"/>
      <c r="B65" s="689"/>
      <c r="C65" s="689"/>
      <c r="D65" s="627"/>
      <c r="E65" s="690"/>
      <c r="F65" s="627"/>
      <c r="G65" s="627"/>
      <c r="H65" s="627"/>
      <c r="I65" s="686"/>
      <c r="J65" s="627"/>
      <c r="K65" s="683"/>
      <c r="L65" s="22"/>
      <c r="O65" s="265"/>
      <c r="P65" s="265"/>
      <c r="Q65" s="265"/>
    </row>
    <row r="66" spans="1:17" x14ac:dyDescent="0.2">
      <c r="A66" s="627" t="s">
        <v>277</v>
      </c>
      <c r="B66" s="627"/>
      <c r="C66" s="627"/>
      <c r="D66" s="627"/>
      <c r="E66" s="627"/>
      <c r="F66" s="627"/>
      <c r="G66" s="627"/>
      <c r="H66" s="627"/>
      <c r="I66" s="627"/>
      <c r="J66" s="627"/>
      <c r="K66" s="627"/>
      <c r="L66" s="22"/>
    </row>
    <row r="67" spans="1:17" ht="11.25" customHeight="1" x14ac:dyDescent="0.2">
      <c r="A67" s="627"/>
      <c r="B67" s="627"/>
      <c r="C67" s="627"/>
      <c r="D67" s="627"/>
      <c r="E67" s="627"/>
      <c r="F67" s="627"/>
      <c r="G67" s="627"/>
      <c r="H67" s="627"/>
      <c r="I67" s="627"/>
      <c r="J67" s="627"/>
      <c r="K67" s="627"/>
      <c r="L67" s="22"/>
    </row>
    <row r="68" spans="1:17" ht="29.25" customHeight="1" x14ac:dyDescent="0.2">
      <c r="A68" s="856" t="s">
        <v>184</v>
      </c>
      <c r="B68" s="856"/>
      <c r="C68" s="856"/>
      <c r="D68" s="856"/>
      <c r="E68" s="856"/>
      <c r="F68" s="856"/>
      <c r="G68" s="856"/>
      <c r="H68" s="856"/>
      <c r="I68" s="856"/>
      <c r="J68" s="856"/>
      <c r="K68" s="856"/>
      <c r="L68" s="22"/>
    </row>
    <row r="69" spans="1:17" x14ac:dyDescent="0.2">
      <c r="A69" s="627"/>
      <c r="B69" s="627"/>
      <c r="C69" s="627"/>
      <c r="D69" s="627"/>
      <c r="E69" s="627"/>
      <c r="F69" s="627"/>
      <c r="G69" s="627"/>
      <c r="H69" s="627"/>
      <c r="I69" s="627"/>
      <c r="J69" s="627"/>
      <c r="K69" s="627"/>
      <c r="L69" s="22"/>
    </row>
  </sheetData>
  <mergeCells count="6">
    <mergeCell ref="A3:K3"/>
    <mergeCell ref="A68:K68"/>
    <mergeCell ref="A8:K8"/>
    <mergeCell ref="A24:K24"/>
    <mergeCell ref="A35:K35"/>
    <mergeCell ref="A50:K50"/>
  </mergeCells>
  <phoneticPr fontId="14" type="noConversion"/>
  <printOptions horizontalCentered="1"/>
  <pageMargins left="0.7" right="0.7" top="0.75" bottom="0.75" header="0.3" footer="0.3"/>
  <pageSetup orientation="portrait" r:id="rId1"/>
  <headerFooter>
    <oddHeader>&amp;R&amp;9KAW_R_PSCDR1_NUM014_Attachment 1
Case No. 2015-00418
Page &amp;P of &amp;N</oddHeader>
  </headerFooter>
  <rowBreaks count="1" manualBreakCount="1">
    <brk id="27" max="1638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65"/>
  <sheetViews>
    <sheetView tabSelected="1" view="pageLayout" topLeftCell="A10" zoomScaleNormal="100" workbookViewId="0">
      <selection activeCell="M516" sqref="M516"/>
    </sheetView>
  </sheetViews>
  <sheetFormatPr defaultColWidth="9.77734375" defaultRowHeight="15" x14ac:dyDescent="0.2"/>
  <cols>
    <col min="1" max="2" width="7.77734375" style="28" customWidth="1"/>
    <col min="3" max="3" width="2.21875" style="28" customWidth="1"/>
    <col min="4" max="4" width="7.77734375" style="28" customWidth="1"/>
    <col min="5" max="5" width="2.21875" style="28" customWidth="1"/>
    <col min="6" max="6" width="7.77734375" style="28" customWidth="1"/>
    <col min="7" max="7" width="2.109375" style="28" customWidth="1"/>
    <col min="8" max="8" width="7.77734375" style="28" customWidth="1"/>
    <col min="9" max="9" width="2.109375" style="28" customWidth="1"/>
    <col min="10" max="10" width="7.77734375" style="28" customWidth="1"/>
    <col min="11" max="11" width="2.109375" style="28" customWidth="1"/>
    <col min="12" max="12" width="7.77734375" style="28" customWidth="1"/>
    <col min="13" max="13" width="2.109375" style="28" customWidth="1"/>
    <col min="14" max="14" width="7.77734375" style="28" customWidth="1"/>
    <col min="15" max="15" width="2.109375" style="28" customWidth="1"/>
    <col min="16" max="16" width="7.77734375" style="28" customWidth="1"/>
    <col min="17" max="17" width="2.109375" style="28" customWidth="1"/>
    <col min="18" max="18" width="11.21875" style="28" customWidth="1"/>
    <col min="19" max="22" width="9.77734375" style="28" customWidth="1"/>
    <col min="23" max="23" width="10.77734375" style="28" customWidth="1"/>
    <col min="24" max="25" width="6.77734375" style="28" customWidth="1"/>
    <col min="26" max="28" width="7.77734375" style="28" customWidth="1"/>
    <col min="29" max="29" width="4.77734375" style="28" customWidth="1"/>
    <col min="30" max="16384" width="9.77734375" style="28"/>
  </cols>
  <sheetData>
    <row r="1" spans="1:31" x14ac:dyDescent="0.2">
      <c r="A1" s="15" t="s">
        <v>7</v>
      </c>
      <c r="B1" s="26"/>
      <c r="C1" s="26"/>
      <c r="D1" s="26"/>
      <c r="E1" s="26"/>
      <c r="F1" s="26"/>
      <c r="G1" s="25"/>
      <c r="H1" s="26"/>
      <c r="I1" s="26"/>
      <c r="J1" s="26"/>
      <c r="K1" s="26"/>
      <c r="L1" s="26"/>
      <c r="M1" s="26"/>
      <c r="N1" s="26"/>
      <c r="O1" s="26"/>
      <c r="P1" s="26"/>
      <c r="Q1" s="26"/>
      <c r="R1" s="26"/>
      <c r="S1" s="27"/>
      <c r="T1" s="27"/>
      <c r="U1" s="27"/>
      <c r="V1" s="27"/>
      <c r="W1" s="27"/>
      <c r="X1" s="27"/>
      <c r="Y1" s="27"/>
      <c r="Z1" s="27"/>
      <c r="AA1" s="27"/>
      <c r="AB1" s="27"/>
      <c r="AC1" s="27"/>
      <c r="AD1" s="27"/>
      <c r="AE1" s="27"/>
    </row>
    <row r="2" spans="1:31" x14ac:dyDescent="0.2">
      <c r="A2" s="26"/>
      <c r="B2" s="26"/>
      <c r="C2" s="26"/>
      <c r="D2" s="26"/>
      <c r="E2" s="26"/>
      <c r="F2" s="26"/>
      <c r="G2" s="26"/>
      <c r="H2" s="26"/>
      <c r="I2" s="26"/>
      <c r="J2" s="26"/>
      <c r="K2" s="26"/>
      <c r="L2" s="26"/>
      <c r="M2" s="26"/>
      <c r="N2" s="26"/>
      <c r="O2" s="26"/>
      <c r="P2" s="26"/>
      <c r="Q2" s="26"/>
      <c r="R2" s="26"/>
      <c r="S2" s="27"/>
      <c r="T2" s="27"/>
      <c r="U2" s="27"/>
      <c r="V2" s="27"/>
      <c r="W2" s="27"/>
      <c r="X2" s="27"/>
      <c r="Y2" s="27"/>
      <c r="Z2" s="27"/>
      <c r="AA2" s="27"/>
      <c r="AB2" s="27"/>
      <c r="AC2" s="27"/>
      <c r="AD2" s="27"/>
      <c r="AE2" s="27"/>
    </row>
    <row r="3" spans="1:31" x14ac:dyDescent="0.2">
      <c r="A3" s="641" t="s">
        <v>234</v>
      </c>
      <c r="B3" s="641"/>
      <c r="C3" s="641"/>
      <c r="D3" s="641"/>
      <c r="E3" s="641"/>
      <c r="F3" s="641"/>
      <c r="G3" s="641"/>
      <c r="H3" s="641"/>
      <c r="I3" s="641"/>
      <c r="J3" s="641"/>
      <c r="K3" s="641"/>
      <c r="L3" s="641"/>
      <c r="M3" s="641"/>
      <c r="N3" s="641"/>
      <c r="O3" s="641"/>
      <c r="P3" s="641"/>
      <c r="Q3" s="641"/>
      <c r="R3" s="641"/>
      <c r="S3" s="27"/>
      <c r="T3" s="27"/>
      <c r="U3" s="27"/>
      <c r="V3" s="27"/>
      <c r="W3" s="27"/>
      <c r="X3" s="27"/>
      <c r="Y3" s="27"/>
      <c r="Z3" s="27"/>
      <c r="AA3" s="27"/>
      <c r="AB3" s="27"/>
      <c r="AC3" s="27"/>
      <c r="AD3" s="27"/>
      <c r="AE3" s="27"/>
    </row>
    <row r="4" spans="1:31" x14ac:dyDescent="0.2">
      <c r="A4" s="642"/>
      <c r="B4" s="642"/>
      <c r="C4" s="642"/>
      <c r="D4" s="642"/>
      <c r="E4" s="642"/>
      <c r="F4" s="642"/>
      <c r="G4" s="642"/>
      <c r="H4" s="642"/>
      <c r="I4" s="642"/>
      <c r="J4" s="642"/>
      <c r="K4" s="642"/>
      <c r="L4" s="642"/>
      <c r="M4" s="642"/>
      <c r="N4" s="642"/>
      <c r="O4" s="642"/>
      <c r="P4" s="642"/>
      <c r="Q4" s="642"/>
      <c r="R4" s="642"/>
      <c r="S4" s="27"/>
      <c r="T4" s="27"/>
      <c r="U4" s="27"/>
      <c r="V4" s="27"/>
      <c r="W4" s="27"/>
      <c r="X4" s="27"/>
      <c r="Y4" s="27"/>
      <c r="Z4" s="27"/>
      <c r="AA4" s="27"/>
      <c r="AB4" s="27"/>
      <c r="AC4" s="27"/>
      <c r="AD4" s="27"/>
      <c r="AE4" s="27"/>
    </row>
    <row r="5" spans="1:31" x14ac:dyDescent="0.2">
      <c r="A5" s="642" t="s">
        <v>278</v>
      </c>
      <c r="B5" s="642"/>
      <c r="C5" s="642"/>
      <c r="D5" s="642"/>
      <c r="E5" s="642"/>
      <c r="F5" s="642"/>
      <c r="G5" s="642"/>
      <c r="H5" s="642"/>
      <c r="I5" s="642"/>
      <c r="J5" s="642"/>
      <c r="K5" s="642"/>
      <c r="L5" s="642"/>
      <c r="M5" s="642"/>
      <c r="N5" s="642"/>
      <c r="O5" s="642"/>
      <c r="P5" s="642"/>
      <c r="Q5" s="642"/>
      <c r="R5" s="642"/>
      <c r="S5" s="27"/>
      <c r="T5" s="27"/>
      <c r="U5" s="27"/>
      <c r="V5" s="27"/>
      <c r="W5" s="27"/>
      <c r="X5" s="27"/>
      <c r="Y5" s="27"/>
      <c r="Z5" s="27"/>
      <c r="AA5" s="27"/>
      <c r="AB5" s="27"/>
      <c r="AC5" s="27"/>
      <c r="AD5" s="27"/>
      <c r="AE5" s="27"/>
    </row>
    <row r="6" spans="1:31" x14ac:dyDescent="0.2">
      <c r="A6" s="642"/>
      <c r="B6" s="642"/>
      <c r="C6" s="642"/>
      <c r="D6" s="642"/>
      <c r="E6" s="642"/>
      <c r="F6" s="642"/>
      <c r="G6" s="642"/>
      <c r="H6" s="642"/>
      <c r="I6" s="642"/>
      <c r="J6" s="642"/>
      <c r="K6" s="642"/>
      <c r="L6" s="642"/>
      <c r="M6" s="642"/>
      <c r="N6" s="642"/>
      <c r="O6" s="642"/>
      <c r="P6" s="642"/>
      <c r="Q6" s="642"/>
      <c r="R6" s="642"/>
      <c r="S6" s="27"/>
      <c r="T6" s="27"/>
      <c r="U6" s="27"/>
      <c r="V6" s="27"/>
      <c r="W6" s="27"/>
      <c r="X6" s="27"/>
      <c r="Y6" s="27"/>
      <c r="Z6" s="27"/>
      <c r="AA6" s="27"/>
      <c r="AB6" s="27"/>
      <c r="AC6" s="27"/>
      <c r="AD6" s="27"/>
      <c r="AE6" s="27"/>
    </row>
    <row r="7" spans="1:31" ht="27.6" customHeight="1" x14ac:dyDescent="0.2">
      <c r="A7" s="857" t="s">
        <v>279</v>
      </c>
      <c r="B7" s="857"/>
      <c r="C7" s="857"/>
      <c r="D7" s="857"/>
      <c r="E7" s="857"/>
      <c r="F7" s="857"/>
      <c r="G7" s="857"/>
      <c r="H7" s="857"/>
      <c r="I7" s="857"/>
      <c r="J7" s="857"/>
      <c r="K7" s="857"/>
      <c r="L7" s="857"/>
      <c r="M7" s="857"/>
      <c r="N7" s="857"/>
      <c r="O7" s="857"/>
      <c r="P7" s="857"/>
      <c r="Q7" s="857"/>
      <c r="R7" s="857"/>
      <c r="S7" s="27"/>
      <c r="T7" s="27"/>
      <c r="U7" s="27"/>
      <c r="V7" s="27"/>
      <c r="W7" s="27"/>
      <c r="X7" s="27"/>
      <c r="Y7" s="27"/>
      <c r="Z7" s="27"/>
      <c r="AA7" s="27"/>
      <c r="AB7" s="27"/>
      <c r="AC7" s="27"/>
      <c r="AD7" s="27"/>
      <c r="AE7" s="27"/>
    </row>
    <row r="8" spans="1:31" x14ac:dyDescent="0.2">
      <c r="A8" s="642"/>
      <c r="B8" s="642"/>
      <c r="C8" s="642"/>
      <c r="D8" s="642"/>
      <c r="E8" s="642"/>
      <c r="F8" s="642"/>
      <c r="G8" s="642"/>
      <c r="H8" s="642"/>
      <c r="I8" s="642"/>
      <c r="J8" s="643"/>
      <c r="K8" s="642"/>
      <c r="L8" s="642"/>
      <c r="M8" s="642"/>
      <c r="N8" s="642"/>
      <c r="O8" s="642"/>
      <c r="P8" s="642"/>
      <c r="Q8" s="642"/>
      <c r="R8" s="642"/>
      <c r="S8" s="27"/>
      <c r="T8" s="27"/>
      <c r="U8" s="27"/>
      <c r="V8" s="27"/>
      <c r="W8" s="27"/>
      <c r="X8" s="27"/>
      <c r="Y8" s="27"/>
      <c r="Z8" s="27"/>
      <c r="AA8" s="27"/>
      <c r="AB8" s="27"/>
      <c r="AC8" s="27"/>
      <c r="AD8" s="27"/>
      <c r="AE8" s="27"/>
    </row>
    <row r="9" spans="1:31" x14ac:dyDescent="0.2">
      <c r="A9" s="642"/>
      <c r="B9" s="642"/>
      <c r="C9" s="642"/>
      <c r="D9" s="643"/>
      <c r="E9" s="642"/>
      <c r="F9" s="642"/>
      <c r="G9" s="642"/>
      <c r="H9" s="642"/>
      <c r="I9" s="642"/>
      <c r="J9" s="641" t="s">
        <v>258</v>
      </c>
      <c r="K9" s="641"/>
      <c r="L9" s="641"/>
      <c r="M9" s="642"/>
      <c r="N9" s="643"/>
      <c r="O9" s="642"/>
      <c r="P9" s="642"/>
      <c r="Q9" s="642"/>
      <c r="R9" s="642"/>
      <c r="S9" s="27"/>
      <c r="T9" s="27"/>
      <c r="U9" s="27"/>
      <c r="V9" s="27"/>
      <c r="W9" s="27"/>
      <c r="X9" s="27"/>
      <c r="Y9" s="27"/>
      <c r="Z9" s="27"/>
      <c r="AA9" s="27"/>
      <c r="AB9" s="27"/>
      <c r="AC9" s="27"/>
      <c r="AD9" s="27"/>
      <c r="AE9" s="27"/>
    </row>
    <row r="10" spans="1:31" x14ac:dyDescent="0.2">
      <c r="A10" s="642"/>
      <c r="B10" s="642"/>
      <c r="C10" s="642"/>
      <c r="D10" s="641" t="s">
        <v>259</v>
      </c>
      <c r="E10" s="641"/>
      <c r="F10" s="641"/>
      <c r="G10" s="641"/>
      <c r="H10" s="641"/>
      <c r="I10" s="642"/>
      <c r="J10" s="641" t="s">
        <v>224</v>
      </c>
      <c r="K10" s="641"/>
      <c r="L10" s="641"/>
      <c r="M10" s="642"/>
      <c r="N10" s="641" t="s">
        <v>251</v>
      </c>
      <c r="O10" s="641"/>
      <c r="P10" s="641"/>
      <c r="Q10" s="642"/>
      <c r="R10" s="642"/>
      <c r="S10" s="27"/>
      <c r="T10" s="27"/>
      <c r="U10" s="27"/>
      <c r="V10" s="27"/>
      <c r="W10" s="27"/>
      <c r="X10" s="27"/>
      <c r="Y10" s="27"/>
      <c r="Z10" s="27"/>
      <c r="AA10" s="27"/>
      <c r="AB10" s="27"/>
      <c r="AC10" s="27"/>
      <c r="AD10" s="27"/>
      <c r="AE10" s="27"/>
    </row>
    <row r="11" spans="1:31" x14ac:dyDescent="0.2">
      <c r="A11" s="641" t="s">
        <v>252</v>
      </c>
      <c r="B11" s="641"/>
      <c r="C11" s="642"/>
      <c r="D11" s="644" t="s">
        <v>585</v>
      </c>
      <c r="E11" s="644"/>
      <c r="F11" s="644" t="s">
        <v>202</v>
      </c>
      <c r="G11" s="644"/>
      <c r="H11" s="644" t="s">
        <v>225</v>
      </c>
      <c r="I11" s="645"/>
      <c r="J11" s="644" t="s">
        <v>202</v>
      </c>
      <c r="K11" s="644"/>
      <c r="L11" s="644" t="s">
        <v>225</v>
      </c>
      <c r="M11" s="645"/>
      <c r="N11" s="644" t="s">
        <v>202</v>
      </c>
      <c r="O11" s="644"/>
      <c r="P11" s="644" t="s">
        <v>225</v>
      </c>
      <c r="Q11" s="645"/>
      <c r="R11" s="645" t="s">
        <v>202</v>
      </c>
      <c r="S11" s="27"/>
      <c r="T11" s="27"/>
      <c r="U11" s="27"/>
      <c r="V11" s="27"/>
      <c r="W11" s="27"/>
      <c r="X11" s="27"/>
      <c r="Y11" s="27"/>
      <c r="Z11" s="27"/>
      <c r="AA11" s="27"/>
      <c r="AB11" s="27"/>
      <c r="AC11" s="27"/>
      <c r="AD11" s="27"/>
      <c r="AE11" s="27"/>
    </row>
    <row r="12" spans="1:31" x14ac:dyDescent="0.2">
      <c r="A12" s="641" t="s">
        <v>203</v>
      </c>
      <c r="B12" s="641"/>
      <c r="C12" s="642"/>
      <c r="D12" s="645" t="s">
        <v>377</v>
      </c>
      <c r="E12" s="645"/>
      <c r="F12" s="645" t="s">
        <v>204</v>
      </c>
      <c r="G12" s="645"/>
      <c r="H12" s="645" t="s">
        <v>204</v>
      </c>
      <c r="I12" s="645"/>
      <c r="J12" s="645" t="s">
        <v>204</v>
      </c>
      <c r="K12" s="645"/>
      <c r="L12" s="645" t="s">
        <v>204</v>
      </c>
      <c r="M12" s="645"/>
      <c r="N12" s="645" t="s">
        <v>204</v>
      </c>
      <c r="O12" s="645"/>
      <c r="P12" s="645" t="s">
        <v>204</v>
      </c>
      <c r="Q12" s="645"/>
      <c r="R12" s="645" t="s">
        <v>204</v>
      </c>
      <c r="S12" s="27"/>
      <c r="T12" s="27"/>
      <c r="U12" s="27"/>
      <c r="V12" s="27"/>
      <c r="W12" s="27"/>
      <c r="X12" s="27"/>
      <c r="Y12" s="27"/>
      <c r="Z12" s="27"/>
      <c r="AA12" s="27"/>
      <c r="AB12" s="27"/>
      <c r="AC12" s="27"/>
      <c r="AD12" s="27"/>
      <c r="AE12" s="27"/>
    </row>
    <row r="13" spans="1:31" x14ac:dyDescent="0.2">
      <c r="A13" s="646" t="s">
        <v>205</v>
      </c>
      <c r="B13" s="646"/>
      <c r="C13" s="642"/>
      <c r="D13" s="644" t="s">
        <v>227</v>
      </c>
      <c r="E13" s="642"/>
      <c r="F13" s="644" t="s">
        <v>207</v>
      </c>
      <c r="G13" s="642"/>
      <c r="H13" s="647" t="s">
        <v>260</v>
      </c>
      <c r="I13" s="642"/>
      <c r="J13" s="644" t="s">
        <v>241</v>
      </c>
      <c r="K13" s="642"/>
      <c r="L13" s="647" t="s">
        <v>261</v>
      </c>
      <c r="M13" s="642"/>
      <c r="N13" s="644" t="s">
        <v>262</v>
      </c>
      <c r="O13" s="642"/>
      <c r="P13" s="647" t="s">
        <v>263</v>
      </c>
      <c r="Q13" s="642"/>
      <c r="R13" s="644" t="s">
        <v>264</v>
      </c>
      <c r="S13" s="27"/>
      <c r="T13" s="27"/>
      <c r="U13" s="27"/>
      <c r="V13" s="27"/>
      <c r="W13" s="27"/>
      <c r="X13" s="27"/>
      <c r="Y13" s="27"/>
      <c r="Z13" s="27"/>
      <c r="AA13" s="27"/>
      <c r="AB13" s="27"/>
      <c r="AC13" s="27"/>
      <c r="AD13" s="27"/>
      <c r="AE13" s="27"/>
    </row>
    <row r="14" spans="1:31" x14ac:dyDescent="0.2">
      <c r="A14" s="642"/>
      <c r="B14" s="642"/>
      <c r="C14" s="642"/>
      <c r="D14" s="642"/>
      <c r="E14" s="642"/>
      <c r="F14" s="642"/>
      <c r="G14" s="642"/>
      <c r="H14" s="648">
        <f>'F 5B'!$H$22</f>
        <v>0.31519999999999998</v>
      </c>
      <c r="I14" s="648"/>
      <c r="J14" s="648"/>
      <c r="K14" s="648"/>
      <c r="L14" s="648">
        <f>'F 5B'!$H$25</f>
        <v>0.47270000000000001</v>
      </c>
      <c r="M14" s="648"/>
      <c r="N14" s="648"/>
      <c r="O14" s="648"/>
      <c r="P14" s="648">
        <f>'F 5B'!$H$10</f>
        <v>0.21210000000000001</v>
      </c>
      <c r="Q14" s="648"/>
      <c r="R14" s="642"/>
      <c r="S14" s="27"/>
      <c r="T14" s="27"/>
      <c r="U14" s="27"/>
      <c r="V14" s="27"/>
      <c r="W14" s="27"/>
      <c r="X14" s="27"/>
      <c r="Y14" s="27"/>
      <c r="Z14" s="27"/>
      <c r="AA14" s="27"/>
      <c r="AB14" s="27"/>
      <c r="AC14" s="27"/>
      <c r="AD14" s="27"/>
      <c r="AE14" s="27"/>
    </row>
    <row r="15" spans="1:31" x14ac:dyDescent="0.2">
      <c r="A15" s="642"/>
      <c r="B15" s="642"/>
      <c r="C15" s="642"/>
      <c r="D15" s="642"/>
      <c r="E15" s="642"/>
      <c r="F15" s="642"/>
      <c r="G15" s="642"/>
      <c r="H15" s="642"/>
      <c r="I15" s="642"/>
      <c r="J15" s="642"/>
      <c r="K15" s="642"/>
      <c r="L15" s="642"/>
      <c r="M15" s="642"/>
      <c r="N15" s="642"/>
      <c r="O15" s="642"/>
      <c r="P15" s="642"/>
      <c r="Q15" s="642"/>
      <c r="R15" s="642"/>
      <c r="S15" s="27"/>
      <c r="T15" s="27"/>
      <c r="U15" s="27"/>
      <c r="V15" s="27"/>
      <c r="W15" s="27"/>
      <c r="X15" s="27"/>
      <c r="Y15" s="27"/>
      <c r="Z15" s="27"/>
      <c r="AA15" s="27"/>
      <c r="AB15" s="27"/>
      <c r="AC15" s="27"/>
      <c r="AD15" s="27"/>
      <c r="AE15" s="27"/>
    </row>
    <row r="16" spans="1:31" x14ac:dyDescent="0.2">
      <c r="A16" s="642" t="s">
        <v>208</v>
      </c>
      <c r="B16" s="642"/>
      <c r="C16" s="642"/>
      <c r="D16" s="649">
        <f>ROUND(('F 1-2'!$G$15/24),1)</f>
        <v>636.5</v>
      </c>
      <c r="E16" s="642"/>
      <c r="F16" s="648">
        <f>ROUND(+D16/$D$24,4)</f>
        <v>0.49099999999999999</v>
      </c>
      <c r="G16" s="642"/>
      <c r="H16" s="650">
        <f>ROUND(F16*$H$14,4)</f>
        <v>0.15479999999999999</v>
      </c>
      <c r="I16" s="642"/>
      <c r="J16" s="648">
        <f>+'F 5B'!J36</f>
        <v>0.54969999999999997</v>
      </c>
      <c r="K16" s="642"/>
      <c r="L16" s="651">
        <f>ROUND(J16*$L$14,4)</f>
        <v>0.25979999999999998</v>
      </c>
      <c r="M16" s="642"/>
      <c r="N16" s="648"/>
      <c r="O16" s="642"/>
      <c r="P16" s="648"/>
      <c r="Q16" s="642"/>
      <c r="R16" s="648">
        <f t="shared" ref="R16:R22" si="0">H16+L16+P16</f>
        <v>0.41459999999999997</v>
      </c>
      <c r="S16" s="27"/>
      <c r="T16" s="29"/>
      <c r="U16" s="27"/>
      <c r="V16" s="27"/>
      <c r="W16" s="27"/>
      <c r="X16" s="27"/>
      <c r="Y16" s="27"/>
      <c r="Z16" s="27"/>
      <c r="AA16" s="27"/>
      <c r="AB16" s="27"/>
      <c r="AC16" s="27"/>
      <c r="AD16" s="27"/>
      <c r="AE16" s="27"/>
    </row>
    <row r="17" spans="1:31" x14ac:dyDescent="0.2">
      <c r="A17" s="642" t="s">
        <v>209</v>
      </c>
      <c r="B17" s="642"/>
      <c r="C17" s="642"/>
      <c r="D17" s="649">
        <f>ROUND(('F 1-2'!$G$16/24),1)</f>
        <v>398.6</v>
      </c>
      <c r="E17" s="642"/>
      <c r="F17" s="648">
        <f t="shared" ref="F17:F22" si="1">ROUND(+D17/$D$24,4)</f>
        <v>0.3075</v>
      </c>
      <c r="G17" s="642"/>
      <c r="H17" s="650">
        <f t="shared" ref="H17:H22" si="2">ROUND(F17*$H$14,4)</f>
        <v>9.69E-2</v>
      </c>
      <c r="I17" s="642"/>
      <c r="J17" s="648">
        <f>+'F 5B'!J37</f>
        <v>0.32619999999999999</v>
      </c>
      <c r="K17" s="642"/>
      <c r="L17" s="648">
        <f>ROUND(J17*$L$14,4)</f>
        <v>0.1542</v>
      </c>
      <c r="M17" s="642"/>
      <c r="N17" s="642"/>
      <c r="O17" s="642"/>
      <c r="P17" s="642"/>
      <c r="Q17" s="642"/>
      <c r="R17" s="648">
        <f t="shared" si="0"/>
        <v>0.25109999999999999</v>
      </c>
      <c r="S17" s="27"/>
      <c r="T17" s="29"/>
      <c r="U17" s="27"/>
      <c r="V17" s="27"/>
      <c r="W17" s="27"/>
      <c r="X17" s="27"/>
      <c r="Y17" s="27"/>
      <c r="Z17" s="27"/>
      <c r="AA17" s="27"/>
      <c r="AB17" s="27"/>
      <c r="AC17" s="27"/>
      <c r="AD17" s="27"/>
      <c r="AE17" s="27"/>
    </row>
    <row r="18" spans="1:31" x14ac:dyDescent="0.2">
      <c r="A18" s="642" t="s">
        <v>210</v>
      </c>
      <c r="B18" s="642"/>
      <c r="C18" s="642"/>
      <c r="D18" s="649">
        <f>ROUND(('F 1-2'!$G$17/24),1)</f>
        <v>70.7</v>
      </c>
      <c r="E18" s="642"/>
      <c r="F18" s="648">
        <f t="shared" si="1"/>
        <v>5.45E-2</v>
      </c>
      <c r="G18" s="642"/>
      <c r="H18" s="650">
        <f t="shared" si="2"/>
        <v>1.72E-2</v>
      </c>
      <c r="I18" s="642"/>
      <c r="J18" s="648">
        <f>+'F 5B'!J38</f>
        <v>3.6999999999999998E-2</v>
      </c>
      <c r="K18" s="642"/>
      <c r="L18" s="648">
        <f>ROUND(J18*$L$14,4)</f>
        <v>1.7500000000000002E-2</v>
      </c>
      <c r="M18" s="642"/>
      <c r="N18" s="642"/>
      <c r="O18" s="642"/>
      <c r="P18" s="642"/>
      <c r="Q18" s="642"/>
      <c r="R18" s="648">
        <f t="shared" si="0"/>
        <v>3.4700000000000002E-2</v>
      </c>
      <c r="S18" s="27"/>
      <c r="T18" s="29"/>
      <c r="U18" s="27"/>
      <c r="V18" s="27"/>
      <c r="W18" s="27"/>
      <c r="X18" s="27"/>
      <c r="Y18" s="27"/>
      <c r="Z18" s="27"/>
      <c r="AA18" s="27"/>
      <c r="AB18" s="27"/>
      <c r="AC18" s="27"/>
      <c r="AD18" s="27"/>
      <c r="AE18" s="27"/>
    </row>
    <row r="19" spans="1:31" x14ac:dyDescent="0.2">
      <c r="A19" s="642" t="s">
        <v>214</v>
      </c>
      <c r="B19" s="642"/>
      <c r="C19" s="642"/>
      <c r="D19" s="649">
        <f>ROUND(('F 1-2'!$G$18/24),1)</f>
        <v>136.5</v>
      </c>
      <c r="E19" s="642"/>
      <c r="F19" s="648">
        <f t="shared" si="1"/>
        <v>0.1053</v>
      </c>
      <c r="G19" s="642"/>
      <c r="H19" s="650">
        <f t="shared" si="2"/>
        <v>3.32E-2</v>
      </c>
      <c r="I19" s="642"/>
      <c r="J19" s="648">
        <f>+'F 5B'!J39</f>
        <v>6.83E-2</v>
      </c>
      <c r="K19" s="642"/>
      <c r="L19" s="648">
        <f>ROUND(J19*$L$14,4)</f>
        <v>3.2300000000000002E-2</v>
      </c>
      <c r="M19" s="642"/>
      <c r="N19" s="642"/>
      <c r="O19" s="642"/>
      <c r="P19" s="642"/>
      <c r="Q19" s="642"/>
      <c r="R19" s="648">
        <f t="shared" si="0"/>
        <v>6.5500000000000003E-2</v>
      </c>
      <c r="S19" s="27"/>
      <c r="T19" s="29"/>
      <c r="U19" s="27"/>
      <c r="V19" s="27"/>
      <c r="W19" s="27"/>
      <c r="X19" s="27"/>
      <c r="Y19" s="27"/>
      <c r="Z19" s="27"/>
      <c r="AA19" s="27"/>
      <c r="AB19" s="27"/>
      <c r="AC19" s="27"/>
      <c r="AD19" s="27"/>
      <c r="AE19" s="27"/>
    </row>
    <row r="20" spans="1:31" x14ac:dyDescent="0.2">
      <c r="A20" s="642" t="s">
        <v>333</v>
      </c>
      <c r="B20" s="642"/>
      <c r="C20" s="642"/>
      <c r="D20" s="649">
        <f>ROUND(('F 1-2'!$G$19/24),1)</f>
        <v>46</v>
      </c>
      <c r="E20" s="642"/>
      <c r="F20" s="648">
        <f t="shared" si="1"/>
        <v>3.5499999999999997E-2</v>
      </c>
      <c r="G20" s="642"/>
      <c r="H20" s="650">
        <f t="shared" si="2"/>
        <v>1.12E-2</v>
      </c>
      <c r="I20" s="642"/>
      <c r="J20" s="648">
        <f>+'F 5B'!J40</f>
        <v>1.8800000000000001E-2</v>
      </c>
      <c r="K20" s="642"/>
      <c r="L20" s="648">
        <f>ROUND(J20*$L$14,4)</f>
        <v>8.8999999999999999E-3</v>
      </c>
      <c r="M20" s="642"/>
      <c r="N20" s="642"/>
      <c r="O20" s="642"/>
      <c r="P20" s="642"/>
      <c r="Q20" s="642"/>
      <c r="R20" s="648">
        <f t="shared" si="0"/>
        <v>2.01E-2</v>
      </c>
      <c r="S20" s="27"/>
      <c r="T20" s="29"/>
      <c r="U20" s="27"/>
      <c r="V20" s="27"/>
      <c r="W20" s="27"/>
      <c r="X20" s="27"/>
      <c r="Y20" s="27"/>
      <c r="Z20" s="27"/>
      <c r="AA20" s="27"/>
      <c r="AB20" s="27"/>
      <c r="AC20" s="27"/>
      <c r="AD20" s="27"/>
      <c r="AE20" s="27"/>
    </row>
    <row r="21" spans="1:31" x14ac:dyDescent="0.2">
      <c r="A21" s="642" t="s">
        <v>216</v>
      </c>
      <c r="B21" s="642"/>
      <c r="C21" s="642"/>
      <c r="D21" s="649">
        <f>ROUND(('F 1-2'!$G$20/24),1)</f>
        <v>3.7</v>
      </c>
      <c r="E21" s="642"/>
      <c r="F21" s="648">
        <f t="shared" si="1"/>
        <v>2.8999999999999998E-3</v>
      </c>
      <c r="G21" s="642"/>
      <c r="H21" s="650">
        <f t="shared" si="2"/>
        <v>8.9999999999999998E-4</v>
      </c>
      <c r="I21" s="642"/>
      <c r="J21" s="642"/>
      <c r="K21" s="642"/>
      <c r="L21" s="642"/>
      <c r="M21" s="642"/>
      <c r="N21" s="648">
        <f>Fire!$O$26</f>
        <v>0.46200000000000002</v>
      </c>
      <c r="O21" s="642"/>
      <c r="P21" s="648">
        <f>ROUND(N21*$P$14,4)</f>
        <v>9.8000000000000004E-2</v>
      </c>
      <c r="Q21" s="642"/>
      <c r="R21" s="648">
        <f t="shared" si="0"/>
        <v>9.8900000000000002E-2</v>
      </c>
      <c r="S21" s="27"/>
      <c r="T21" s="29"/>
      <c r="U21" s="27"/>
      <c r="V21" s="27"/>
      <c r="W21" s="27"/>
      <c r="X21" s="27"/>
      <c r="Y21" s="27"/>
      <c r="Z21" s="27"/>
      <c r="AA21" s="27"/>
      <c r="AB21" s="27"/>
      <c r="AC21" s="27"/>
      <c r="AD21" s="27"/>
      <c r="AE21" s="27"/>
    </row>
    <row r="22" spans="1:31" x14ac:dyDescent="0.2">
      <c r="A22" s="642" t="s">
        <v>217</v>
      </c>
      <c r="B22" s="642"/>
      <c r="C22" s="642"/>
      <c r="D22" s="649">
        <f>ROUND(('F 1-2'!$G$21/24),1)</f>
        <v>4.3</v>
      </c>
      <c r="E22" s="642"/>
      <c r="F22" s="648">
        <f t="shared" si="1"/>
        <v>3.3E-3</v>
      </c>
      <c r="G22" s="642"/>
      <c r="H22" s="648">
        <f t="shared" si="2"/>
        <v>1E-3</v>
      </c>
      <c r="I22" s="642"/>
      <c r="J22" s="642"/>
      <c r="K22" s="642"/>
      <c r="L22" s="642"/>
      <c r="M22" s="642"/>
      <c r="N22" s="648">
        <f>Fire!$O$33</f>
        <v>0.53800000000000003</v>
      </c>
      <c r="O22" s="642"/>
      <c r="P22" s="648">
        <f>ROUND(N22*$P$14,4)</f>
        <v>0.11409999999999999</v>
      </c>
      <c r="Q22" s="642"/>
      <c r="R22" s="648">
        <f t="shared" si="0"/>
        <v>0.11509999999999999</v>
      </c>
      <c r="S22" s="29">
        <f>+R21+R22</f>
        <v>0.214</v>
      </c>
      <c r="T22" s="29"/>
      <c r="U22" s="27"/>
      <c r="V22" s="27"/>
      <c r="W22" s="27"/>
      <c r="X22" s="27"/>
      <c r="Y22" s="27"/>
      <c r="Z22" s="27"/>
      <c r="AA22" s="27"/>
      <c r="AB22" s="27"/>
      <c r="AC22" s="27"/>
      <c r="AD22" s="27"/>
      <c r="AE22" s="27"/>
    </row>
    <row r="23" spans="1:31" x14ac:dyDescent="0.2">
      <c r="A23" s="642"/>
      <c r="B23" s="642"/>
      <c r="C23" s="642"/>
      <c r="D23" s="652"/>
      <c r="E23" s="642"/>
      <c r="F23" s="653"/>
      <c r="G23" s="642"/>
      <c r="H23" s="653"/>
      <c r="I23" s="642"/>
      <c r="J23" s="653"/>
      <c r="K23" s="642"/>
      <c r="L23" s="653"/>
      <c r="M23" s="642"/>
      <c r="N23" s="653"/>
      <c r="O23" s="642"/>
      <c r="P23" s="653"/>
      <c r="Q23" s="642"/>
      <c r="R23" s="653"/>
      <c r="S23" s="27"/>
      <c r="T23" s="27"/>
      <c r="U23" s="27"/>
      <c r="V23" s="27"/>
      <c r="W23" s="27"/>
      <c r="X23" s="27"/>
      <c r="Y23" s="27"/>
      <c r="Z23" s="27"/>
      <c r="AA23" s="27"/>
      <c r="AB23" s="27"/>
      <c r="AC23" s="27"/>
      <c r="AD23" s="27"/>
      <c r="AE23" s="27"/>
    </row>
    <row r="24" spans="1:31" ht="15.75" thickBot="1" x14ac:dyDescent="0.25">
      <c r="A24" s="642" t="s">
        <v>218</v>
      </c>
      <c r="B24" s="642"/>
      <c r="C24" s="642"/>
      <c r="D24" s="654">
        <f>SUM(D16:D23)</f>
        <v>1296.3</v>
      </c>
      <c r="E24" s="642"/>
      <c r="F24" s="648">
        <f>SUM(F16:F23)</f>
        <v>0.99999999999999989</v>
      </c>
      <c r="G24" s="642"/>
      <c r="H24" s="648">
        <f>SUM(H16:H23)</f>
        <v>0.31519999999999998</v>
      </c>
      <c r="I24" s="642"/>
      <c r="J24" s="648">
        <f>SUM(J16:J23)</f>
        <v>1</v>
      </c>
      <c r="K24" s="642"/>
      <c r="L24" s="648">
        <f>SUM(L16:L23)</f>
        <v>0.47270000000000001</v>
      </c>
      <c r="M24" s="642"/>
      <c r="N24" s="648">
        <f>SUM(N16:N23)</f>
        <v>1</v>
      </c>
      <c r="O24" s="642"/>
      <c r="P24" s="648">
        <f>SUM(P16:P23)</f>
        <v>0.21210000000000001</v>
      </c>
      <c r="Q24" s="642"/>
      <c r="R24" s="648">
        <f>SUM(R16:R23)</f>
        <v>0.99999999999999989</v>
      </c>
      <c r="S24" s="27"/>
      <c r="T24" s="27"/>
      <c r="U24" s="27"/>
      <c r="V24" s="27"/>
      <c r="W24" s="27"/>
      <c r="X24" s="27"/>
      <c r="Y24" s="27"/>
      <c r="Z24" s="27"/>
      <c r="AA24" s="27"/>
      <c r="AB24" s="27"/>
      <c r="AC24" s="27"/>
      <c r="AD24" s="27"/>
      <c r="AE24" s="27"/>
    </row>
    <row r="25" spans="1:31" ht="15.75" thickTop="1" x14ac:dyDescent="0.2">
      <c r="A25" s="642"/>
      <c r="B25" s="642"/>
      <c r="C25" s="642"/>
      <c r="D25" s="655"/>
      <c r="E25" s="642"/>
      <c r="F25" s="656"/>
      <c r="G25" s="642"/>
      <c r="H25" s="656"/>
      <c r="I25" s="642"/>
      <c r="J25" s="656"/>
      <c r="K25" s="642"/>
      <c r="L25" s="656"/>
      <c r="M25" s="642"/>
      <c r="N25" s="656"/>
      <c r="O25" s="642"/>
      <c r="P25" s="656"/>
      <c r="Q25" s="642"/>
      <c r="R25" s="656"/>
      <c r="S25" s="27"/>
      <c r="T25" s="27"/>
      <c r="U25" s="27"/>
      <c r="V25" s="27"/>
      <c r="W25" s="27"/>
      <c r="X25" s="27"/>
      <c r="Y25" s="27"/>
      <c r="Z25" s="27"/>
      <c r="AA25" s="27"/>
      <c r="AB25" s="27"/>
      <c r="AC25" s="27"/>
      <c r="AD25" s="27"/>
      <c r="AE25" s="27"/>
    </row>
    <row r="26" spans="1:31" x14ac:dyDescent="0.2">
      <c r="A26" s="642"/>
      <c r="B26" s="642"/>
      <c r="C26" s="642"/>
      <c r="D26" s="642"/>
      <c r="E26" s="642"/>
      <c r="F26" s="642"/>
      <c r="G26" s="642"/>
      <c r="H26" s="642"/>
      <c r="I26" s="642"/>
      <c r="J26" s="642"/>
      <c r="K26" s="642"/>
      <c r="L26" s="642"/>
      <c r="M26" s="642"/>
      <c r="N26" s="642"/>
      <c r="O26" s="642"/>
      <c r="P26" s="642"/>
      <c r="Q26" s="642"/>
      <c r="R26" s="642"/>
      <c r="S26" s="27"/>
      <c r="T26" s="27"/>
      <c r="U26" s="27"/>
      <c r="V26" s="27"/>
      <c r="W26" s="27"/>
      <c r="X26" s="27"/>
      <c r="Y26" s="27"/>
      <c r="Z26" s="27"/>
      <c r="AA26" s="27"/>
      <c r="AB26" s="27"/>
      <c r="AC26" s="27"/>
      <c r="AD26" s="27"/>
      <c r="AE26" s="27"/>
    </row>
    <row r="27" spans="1:31" ht="27.2" customHeight="1" x14ac:dyDescent="0.2">
      <c r="A27" s="857" t="s">
        <v>924</v>
      </c>
      <c r="B27" s="857"/>
      <c r="C27" s="857"/>
      <c r="D27" s="857"/>
      <c r="E27" s="857"/>
      <c r="F27" s="857"/>
      <c r="G27" s="857"/>
      <c r="H27" s="857"/>
      <c r="I27" s="857"/>
      <c r="J27" s="857"/>
      <c r="K27" s="857"/>
      <c r="L27" s="857"/>
      <c r="M27" s="857"/>
      <c r="N27" s="857"/>
      <c r="O27" s="857"/>
      <c r="P27" s="857"/>
      <c r="Q27" s="857"/>
      <c r="R27" s="857"/>
      <c r="S27" s="27"/>
      <c r="T27" s="27"/>
      <c r="U27" s="27"/>
      <c r="V27" s="27"/>
      <c r="W27" s="27"/>
      <c r="X27" s="27"/>
      <c r="Y27" s="27"/>
      <c r="Z27" s="27"/>
      <c r="AA27" s="27"/>
      <c r="AB27" s="27"/>
      <c r="AC27" s="27"/>
      <c r="AD27" s="27"/>
      <c r="AE27" s="27"/>
    </row>
    <row r="28" spans="1:31" x14ac:dyDescent="0.2">
      <c r="A28" s="27"/>
      <c r="B28" s="27"/>
      <c r="C28" s="27"/>
      <c r="D28" s="27"/>
      <c r="E28" s="27"/>
      <c r="F28" s="27"/>
      <c r="G28" s="27"/>
      <c r="H28" s="27"/>
      <c r="I28" s="27"/>
      <c r="J28" s="27"/>
      <c r="K28" s="27"/>
      <c r="L28" s="27"/>
      <c r="M28" s="27"/>
      <c r="N28" s="27"/>
      <c r="O28" s="27"/>
      <c r="P28" s="27"/>
      <c r="Q28" s="27"/>
      <c r="R28" s="27"/>
      <c r="S28" s="27"/>
      <c r="T28" s="27"/>
      <c r="U28" s="30"/>
      <c r="V28" s="27"/>
      <c r="W28" s="27"/>
      <c r="X28" s="27"/>
      <c r="Y28" s="27"/>
      <c r="Z28" s="27"/>
      <c r="AA28" s="27"/>
      <c r="AB28" s="27"/>
      <c r="AC28" s="27"/>
      <c r="AD28" s="27"/>
      <c r="AE28" s="27"/>
    </row>
    <row r="29" spans="1:3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row>
    <row r="30" spans="1:31" x14ac:dyDescent="0.2">
      <c r="A30" s="27"/>
      <c r="B30" s="27"/>
      <c r="C30" s="27"/>
      <c r="D30" s="27"/>
      <c r="E30" s="27"/>
      <c r="F30" s="27"/>
      <c r="G30" s="27"/>
      <c r="H30" s="27"/>
      <c r="I30" s="27"/>
      <c r="J30" s="27"/>
      <c r="K30" s="27"/>
      <c r="L30" s="27"/>
      <c r="M30" s="27"/>
      <c r="N30" s="27"/>
      <c r="O30" s="27"/>
      <c r="P30" s="27"/>
      <c r="Q30" s="27"/>
      <c r="R30" s="27"/>
      <c r="S30" s="27"/>
      <c r="T30" s="27"/>
      <c r="AE30" s="27"/>
    </row>
    <row r="31" spans="1:31" x14ac:dyDescent="0.2">
      <c r="A31" s="27"/>
      <c r="B31" s="27"/>
      <c r="C31" s="27"/>
      <c r="D31" s="27"/>
      <c r="E31" s="27"/>
      <c r="F31" s="27"/>
      <c r="G31" s="27"/>
      <c r="H31" s="27"/>
      <c r="I31" s="27"/>
      <c r="J31" s="27"/>
      <c r="K31" s="27"/>
      <c r="L31" s="27"/>
      <c r="M31" s="27"/>
      <c r="N31" s="27"/>
      <c r="O31" s="27"/>
      <c r="P31" s="27"/>
      <c r="Q31" s="27"/>
      <c r="R31" s="27"/>
      <c r="S31" s="27"/>
      <c r="T31" s="27"/>
      <c r="AE31" s="27"/>
    </row>
    <row r="32" spans="1:31" x14ac:dyDescent="0.2">
      <c r="A32" s="27"/>
      <c r="B32" s="27"/>
      <c r="C32" s="27"/>
      <c r="D32" s="27"/>
      <c r="E32" s="27"/>
      <c r="F32" s="27"/>
      <c r="G32" s="27"/>
      <c r="H32" s="27"/>
      <c r="I32" s="27"/>
      <c r="J32" s="27"/>
      <c r="K32" s="27"/>
      <c r="L32" s="27"/>
      <c r="M32" s="27"/>
      <c r="N32" s="27"/>
      <c r="O32" s="27"/>
      <c r="P32" s="27"/>
      <c r="Q32" s="27"/>
      <c r="R32" s="27"/>
      <c r="S32" s="27"/>
      <c r="T32" s="27"/>
      <c r="AE32" s="27"/>
    </row>
    <row r="33" spans="1:31" x14ac:dyDescent="0.2">
      <c r="A33" s="27"/>
      <c r="B33" s="27"/>
      <c r="C33" s="27"/>
      <c r="D33" s="27"/>
      <c r="E33" s="27"/>
      <c r="F33" s="27"/>
      <c r="G33" s="27"/>
      <c r="H33" s="27"/>
      <c r="I33" s="27"/>
      <c r="J33" s="27"/>
      <c r="K33" s="27"/>
      <c r="L33" s="27"/>
      <c r="M33" s="27"/>
      <c r="N33" s="27"/>
      <c r="O33" s="27"/>
      <c r="P33" s="27"/>
      <c r="Q33" s="27"/>
      <c r="R33" s="27"/>
      <c r="S33" s="27"/>
      <c r="T33" s="27"/>
      <c r="AE33" s="27"/>
    </row>
    <row r="34" spans="1:31" x14ac:dyDescent="0.2">
      <c r="A34" s="27"/>
      <c r="B34" s="27"/>
      <c r="C34" s="27"/>
      <c r="D34" s="27"/>
      <c r="E34" s="27"/>
      <c r="F34" s="27"/>
      <c r="G34" s="27"/>
      <c r="H34" s="27"/>
      <c r="I34" s="27"/>
      <c r="J34" s="27"/>
      <c r="K34" s="27"/>
      <c r="L34" s="27"/>
      <c r="M34" s="27"/>
      <c r="N34" s="27"/>
      <c r="O34" s="27"/>
      <c r="P34" s="27"/>
      <c r="Q34" s="27"/>
      <c r="R34" s="27"/>
      <c r="S34" s="27"/>
      <c r="T34" s="27"/>
      <c r="AE34" s="27"/>
    </row>
    <row r="35" spans="1:31" x14ac:dyDescent="0.2">
      <c r="A35" s="27"/>
      <c r="B35" s="27"/>
      <c r="C35" s="27"/>
      <c r="D35" s="27"/>
      <c r="E35" s="27"/>
      <c r="F35" s="27"/>
      <c r="G35" s="27"/>
      <c r="H35" s="27"/>
      <c r="I35" s="27"/>
      <c r="J35" s="27"/>
      <c r="K35" s="27"/>
      <c r="L35" s="27"/>
      <c r="M35" s="27"/>
      <c r="N35" s="27"/>
      <c r="O35" s="27"/>
      <c r="P35" s="27"/>
      <c r="Q35" s="27"/>
      <c r="R35" s="27"/>
      <c r="S35" s="27"/>
      <c r="T35" s="27"/>
      <c r="AE35" s="27"/>
    </row>
    <row r="36" spans="1:31" x14ac:dyDescent="0.2">
      <c r="A36" s="27"/>
      <c r="B36" s="27"/>
      <c r="C36" s="27"/>
      <c r="D36" s="27"/>
      <c r="E36" s="27"/>
      <c r="F36" s="27"/>
      <c r="G36" s="27"/>
      <c r="H36" s="27"/>
      <c r="I36" s="27"/>
      <c r="J36" s="27"/>
      <c r="K36" s="27"/>
      <c r="L36" s="27"/>
      <c r="M36" s="27"/>
      <c r="N36" s="27"/>
      <c r="O36" s="27"/>
      <c r="P36" s="27"/>
      <c r="Q36" s="27"/>
      <c r="R36" s="27"/>
      <c r="S36" s="27"/>
      <c r="T36" s="27"/>
      <c r="AE36" s="27"/>
    </row>
    <row r="37" spans="1:31" x14ac:dyDescent="0.2">
      <c r="A37" s="27"/>
      <c r="B37" s="27"/>
      <c r="C37" s="27"/>
      <c r="D37" s="27"/>
      <c r="E37" s="27"/>
      <c r="F37" s="27"/>
      <c r="G37" s="27"/>
      <c r="H37" s="27"/>
      <c r="I37" s="27"/>
      <c r="J37" s="27"/>
      <c r="K37" s="27"/>
      <c r="L37" s="27"/>
      <c r="M37" s="27"/>
      <c r="N37" s="27"/>
      <c r="O37" s="27"/>
      <c r="P37" s="27"/>
      <c r="Q37" s="27"/>
      <c r="R37" s="27"/>
      <c r="S37" s="27"/>
      <c r="T37" s="27"/>
      <c r="AE37" s="27"/>
    </row>
    <row r="38" spans="1:31" x14ac:dyDescent="0.2">
      <c r="A38" s="27"/>
      <c r="B38" s="27"/>
      <c r="C38" s="27"/>
      <c r="D38" s="27"/>
      <c r="E38" s="27"/>
      <c r="F38" s="27"/>
      <c r="G38" s="27"/>
      <c r="H38" s="27"/>
      <c r="I38" s="27"/>
      <c r="J38" s="27"/>
      <c r="K38" s="27"/>
      <c r="L38" s="27"/>
      <c r="M38" s="27"/>
      <c r="N38" s="27"/>
      <c r="O38" s="27"/>
      <c r="P38" s="27"/>
      <c r="Q38" s="27"/>
      <c r="R38" s="27"/>
      <c r="S38" s="27"/>
      <c r="T38" s="27"/>
      <c r="AE38" s="27"/>
    </row>
    <row r="39" spans="1:31" x14ac:dyDescent="0.2">
      <c r="A39" s="27"/>
      <c r="B39" s="27"/>
      <c r="C39" s="27"/>
      <c r="D39" s="27"/>
      <c r="E39" s="27"/>
      <c r="F39" s="27"/>
      <c r="G39" s="27"/>
      <c r="H39" s="27"/>
      <c r="I39" s="27"/>
      <c r="J39" s="27"/>
      <c r="K39" s="27"/>
      <c r="L39" s="27"/>
      <c r="M39" s="27"/>
      <c r="N39" s="27"/>
      <c r="O39" s="27"/>
      <c r="P39" s="27"/>
      <c r="Q39" s="27"/>
      <c r="R39" s="27"/>
      <c r="S39" s="27"/>
      <c r="T39" s="27"/>
      <c r="AE39" s="27"/>
    </row>
    <row r="40" spans="1:31" x14ac:dyDescent="0.2">
      <c r="A40" s="27"/>
      <c r="B40" s="27"/>
      <c r="C40" s="27"/>
      <c r="D40" s="27"/>
      <c r="E40" s="27"/>
      <c r="F40" s="27"/>
      <c r="G40" s="27"/>
      <c r="H40" s="27"/>
      <c r="I40" s="27"/>
      <c r="J40" s="27"/>
      <c r="K40" s="27"/>
      <c r="L40" s="27"/>
      <c r="M40" s="27"/>
      <c r="N40" s="27"/>
      <c r="O40" s="27"/>
      <c r="P40" s="27"/>
      <c r="Q40" s="27"/>
      <c r="R40" s="27"/>
      <c r="S40" s="27"/>
      <c r="T40" s="27"/>
      <c r="AE40" s="27"/>
    </row>
    <row r="41" spans="1:31" x14ac:dyDescent="0.2">
      <c r="A41" s="27"/>
      <c r="B41" s="27"/>
      <c r="C41" s="27"/>
      <c r="D41" s="27"/>
      <c r="E41" s="27"/>
      <c r="F41" s="27"/>
      <c r="G41" s="27"/>
      <c r="H41" s="27"/>
      <c r="I41" s="27"/>
      <c r="J41" s="27"/>
      <c r="K41" s="27"/>
      <c r="L41" s="27"/>
      <c r="M41" s="27"/>
      <c r="N41" s="27"/>
      <c r="O41" s="27"/>
      <c r="P41" s="27"/>
      <c r="Q41" s="27"/>
      <c r="R41" s="27"/>
      <c r="S41" s="27"/>
      <c r="T41" s="27"/>
      <c r="AE41" s="27"/>
    </row>
    <row r="42" spans="1:31" x14ac:dyDescent="0.2">
      <c r="A42" s="27"/>
      <c r="B42" s="27"/>
      <c r="C42" s="27"/>
      <c r="D42" s="27"/>
      <c r="E42" s="27"/>
      <c r="F42" s="27"/>
      <c r="G42" s="27"/>
      <c r="H42" s="27"/>
      <c r="I42" s="27"/>
      <c r="J42" s="27"/>
      <c r="K42" s="27"/>
      <c r="L42" s="27"/>
      <c r="M42" s="27"/>
      <c r="N42" s="27"/>
      <c r="O42" s="27"/>
      <c r="P42" s="27"/>
      <c r="Q42" s="27"/>
      <c r="R42" s="27"/>
      <c r="S42" s="27"/>
      <c r="T42" s="27"/>
      <c r="AE42" s="27"/>
    </row>
    <row r="43" spans="1:31" x14ac:dyDescent="0.2">
      <c r="A43" s="27"/>
      <c r="B43" s="27"/>
      <c r="C43" s="27"/>
      <c r="D43" s="27"/>
      <c r="E43" s="27"/>
      <c r="F43" s="27"/>
      <c r="G43" s="27"/>
      <c r="H43" s="27"/>
      <c r="I43" s="27"/>
      <c r="J43" s="27"/>
      <c r="K43" s="27"/>
      <c r="L43" s="27"/>
      <c r="M43" s="27"/>
      <c r="N43" s="27"/>
      <c r="O43" s="27"/>
      <c r="P43" s="27"/>
      <c r="Q43" s="27"/>
      <c r="R43" s="27"/>
      <c r="S43" s="27"/>
      <c r="T43" s="27"/>
      <c r="AE43" s="27"/>
    </row>
    <row r="44" spans="1:31" x14ac:dyDescent="0.2">
      <c r="A44" s="27"/>
      <c r="B44" s="27"/>
      <c r="C44" s="27"/>
      <c r="D44" s="27"/>
      <c r="E44" s="27"/>
      <c r="F44" s="27"/>
      <c r="G44" s="27"/>
      <c r="H44" s="27"/>
      <c r="I44" s="27"/>
      <c r="J44" s="27"/>
      <c r="K44" s="27"/>
      <c r="L44" s="27"/>
      <c r="M44" s="27"/>
      <c r="N44" s="27"/>
      <c r="O44" s="27"/>
      <c r="P44" s="27"/>
      <c r="Q44" s="27"/>
      <c r="R44" s="27"/>
      <c r="S44" s="27"/>
      <c r="T44" s="27"/>
      <c r="AE44" s="27"/>
    </row>
    <row r="45" spans="1:31" x14ac:dyDescent="0.2">
      <c r="A45" s="27"/>
      <c r="B45" s="27"/>
      <c r="C45" s="27"/>
      <c r="D45" s="27"/>
      <c r="E45" s="27"/>
      <c r="F45" s="27"/>
      <c r="G45" s="27"/>
      <c r="H45" s="27"/>
      <c r="I45" s="27"/>
      <c r="J45" s="27"/>
      <c r="K45" s="27"/>
      <c r="L45" s="27"/>
      <c r="M45" s="27"/>
      <c r="N45" s="27"/>
      <c r="O45" s="27"/>
      <c r="P45" s="27"/>
      <c r="Q45" s="27"/>
      <c r="R45" s="27"/>
      <c r="S45" s="27"/>
      <c r="T45" s="27"/>
      <c r="AE45" s="27"/>
    </row>
    <row r="46" spans="1:31" x14ac:dyDescent="0.2">
      <c r="A46" s="27"/>
      <c r="B46" s="27"/>
      <c r="C46" s="27"/>
      <c r="D46" s="27"/>
      <c r="E46" s="27"/>
      <c r="F46" s="27"/>
      <c r="G46" s="27"/>
      <c r="H46" s="27"/>
      <c r="I46" s="27"/>
      <c r="J46" s="27"/>
      <c r="K46" s="27"/>
      <c r="L46" s="27"/>
      <c r="M46" s="27"/>
      <c r="N46" s="27"/>
      <c r="O46" s="27"/>
      <c r="P46" s="27"/>
      <c r="Q46" s="27"/>
      <c r="R46" s="27"/>
      <c r="S46" s="27"/>
      <c r="T46" s="27"/>
      <c r="AE46" s="27"/>
    </row>
    <row r="47" spans="1:31" x14ac:dyDescent="0.2">
      <c r="A47" s="27"/>
      <c r="B47" s="27"/>
      <c r="C47" s="27"/>
      <c r="D47" s="27"/>
      <c r="E47" s="27"/>
      <c r="F47" s="27"/>
      <c r="G47" s="27"/>
      <c r="H47" s="27"/>
      <c r="I47" s="27"/>
      <c r="J47" s="27"/>
      <c r="K47" s="27"/>
      <c r="L47" s="27"/>
      <c r="M47" s="27"/>
      <c r="N47" s="27"/>
      <c r="O47" s="27"/>
      <c r="P47" s="27"/>
      <c r="Q47" s="27"/>
      <c r="R47" s="27"/>
      <c r="S47" s="27"/>
      <c r="T47" s="27"/>
      <c r="AE47" s="27"/>
    </row>
    <row r="48" spans="1:31" x14ac:dyDescent="0.2">
      <c r="A48" s="27"/>
      <c r="B48" s="27"/>
      <c r="C48" s="27"/>
      <c r="D48" s="27"/>
      <c r="E48" s="27"/>
      <c r="F48" s="27"/>
      <c r="G48" s="27"/>
      <c r="H48" s="27"/>
      <c r="I48" s="27"/>
      <c r="J48" s="27"/>
      <c r="K48" s="27"/>
      <c r="L48" s="27"/>
      <c r="M48" s="27"/>
      <c r="N48" s="27"/>
      <c r="O48" s="27"/>
      <c r="P48" s="27"/>
      <c r="Q48" s="27"/>
      <c r="R48" s="27"/>
      <c r="S48" s="27"/>
      <c r="T48" s="27"/>
      <c r="AE48" s="27"/>
    </row>
    <row r="49" spans="1:31" x14ac:dyDescent="0.2">
      <c r="A49" s="27"/>
      <c r="B49" s="27"/>
      <c r="C49" s="27"/>
      <c r="D49" s="27"/>
      <c r="E49" s="27"/>
      <c r="F49" s="27"/>
      <c r="G49" s="27"/>
      <c r="H49" s="27"/>
      <c r="I49" s="27"/>
      <c r="J49" s="27"/>
      <c r="K49" s="27"/>
      <c r="L49" s="27"/>
      <c r="M49" s="27"/>
      <c r="N49" s="27"/>
      <c r="O49" s="27"/>
      <c r="P49" s="27"/>
      <c r="Q49" s="27"/>
      <c r="R49" s="27"/>
      <c r="S49" s="27"/>
      <c r="T49" s="27"/>
      <c r="AE49" s="27"/>
    </row>
    <row r="50" spans="1:31" x14ac:dyDescent="0.2">
      <c r="A50" s="27"/>
      <c r="B50" s="27"/>
      <c r="C50" s="27"/>
      <c r="D50" s="27"/>
      <c r="E50" s="27"/>
      <c r="F50" s="27"/>
      <c r="G50" s="27"/>
      <c r="H50" s="27"/>
      <c r="I50" s="27"/>
      <c r="J50" s="27"/>
      <c r="K50" s="27"/>
      <c r="L50" s="27"/>
      <c r="M50" s="27"/>
      <c r="N50" s="27"/>
      <c r="O50" s="27"/>
      <c r="P50" s="27"/>
      <c r="Q50" s="27"/>
      <c r="R50" s="27"/>
      <c r="S50" s="27"/>
      <c r="T50" s="27"/>
      <c r="AE50" s="27"/>
    </row>
    <row r="51" spans="1:31" x14ac:dyDescent="0.2">
      <c r="A51" s="27"/>
      <c r="B51" s="27"/>
      <c r="C51" s="27"/>
      <c r="D51" s="27"/>
      <c r="E51" s="27"/>
      <c r="F51" s="27"/>
      <c r="G51" s="27"/>
      <c r="H51" s="27"/>
      <c r="I51" s="27"/>
      <c r="J51" s="27"/>
      <c r="K51" s="27"/>
      <c r="L51" s="27"/>
      <c r="M51" s="27"/>
      <c r="N51" s="27"/>
      <c r="O51" s="27"/>
      <c r="P51" s="27"/>
      <c r="Q51" s="27"/>
      <c r="R51" s="27"/>
      <c r="S51" s="27"/>
      <c r="T51" s="27"/>
      <c r="AE51" s="27"/>
    </row>
    <row r="52" spans="1:31" x14ac:dyDescent="0.2">
      <c r="A52" s="27"/>
      <c r="B52" s="27"/>
      <c r="C52" s="27"/>
      <c r="D52" s="27"/>
      <c r="E52" s="27"/>
      <c r="F52" s="27"/>
      <c r="G52" s="27"/>
      <c r="H52" s="27"/>
      <c r="I52" s="27"/>
      <c r="J52" s="27"/>
      <c r="K52" s="27"/>
      <c r="L52" s="27"/>
      <c r="M52" s="27"/>
      <c r="N52" s="27"/>
      <c r="O52" s="27"/>
      <c r="P52" s="27"/>
      <c r="Q52" s="27"/>
      <c r="R52" s="27"/>
      <c r="S52" s="27"/>
      <c r="T52" s="27"/>
      <c r="AE52" s="27"/>
    </row>
    <row r="53" spans="1:31" x14ac:dyDescent="0.2">
      <c r="A53" s="27"/>
      <c r="B53" s="27"/>
      <c r="C53" s="27"/>
      <c r="D53" s="27"/>
      <c r="E53" s="27"/>
      <c r="F53" s="27"/>
      <c r="G53" s="27"/>
      <c r="H53" s="27"/>
      <c r="I53" s="27"/>
      <c r="J53" s="27"/>
      <c r="K53" s="27"/>
      <c r="L53" s="27"/>
      <c r="M53" s="27"/>
      <c r="N53" s="27"/>
      <c r="O53" s="27"/>
      <c r="P53" s="27"/>
      <c r="Q53" s="27"/>
      <c r="R53" s="27"/>
      <c r="S53" s="27"/>
      <c r="T53" s="27"/>
      <c r="AE53" s="27"/>
    </row>
    <row r="54" spans="1:31" x14ac:dyDescent="0.2">
      <c r="A54" s="27"/>
      <c r="B54" s="27"/>
      <c r="C54" s="27"/>
      <c r="D54" s="27"/>
      <c r="E54" s="27"/>
      <c r="F54" s="27"/>
      <c r="G54" s="27"/>
      <c r="H54" s="27"/>
      <c r="I54" s="27"/>
      <c r="J54" s="27"/>
      <c r="K54" s="27"/>
      <c r="L54" s="27"/>
      <c r="M54" s="27"/>
      <c r="N54" s="27"/>
      <c r="O54" s="27"/>
      <c r="P54" s="27"/>
      <c r="Q54" s="27"/>
      <c r="R54" s="27"/>
      <c r="S54" s="27"/>
      <c r="T54" s="27"/>
      <c r="AE54" s="27"/>
    </row>
    <row r="55" spans="1:31" x14ac:dyDescent="0.2">
      <c r="A55" s="27"/>
      <c r="B55" s="27"/>
      <c r="C55" s="27"/>
      <c r="D55" s="27"/>
      <c r="E55" s="27"/>
      <c r="F55" s="27"/>
      <c r="G55" s="27"/>
      <c r="H55" s="27"/>
      <c r="I55" s="27"/>
      <c r="J55" s="27"/>
      <c r="K55" s="27"/>
      <c r="L55" s="27"/>
      <c r="M55" s="27"/>
      <c r="N55" s="27"/>
      <c r="O55" s="27"/>
      <c r="P55" s="27"/>
      <c r="Q55" s="27"/>
      <c r="R55" s="27"/>
      <c r="S55" s="27"/>
      <c r="T55" s="27"/>
      <c r="AE55" s="27"/>
    </row>
    <row r="56" spans="1:31" x14ac:dyDescent="0.2">
      <c r="A56" s="27"/>
      <c r="B56" s="27"/>
      <c r="C56" s="27"/>
      <c r="D56" s="27"/>
      <c r="E56" s="27"/>
      <c r="F56" s="27"/>
      <c r="G56" s="27"/>
      <c r="H56" s="27"/>
      <c r="I56" s="27"/>
      <c r="J56" s="27"/>
      <c r="K56" s="27"/>
      <c r="L56" s="27"/>
      <c r="M56" s="27"/>
      <c r="N56" s="27"/>
      <c r="O56" s="27"/>
      <c r="P56" s="27"/>
      <c r="Q56" s="27"/>
      <c r="R56" s="27"/>
      <c r="S56" s="27"/>
      <c r="T56" s="27"/>
      <c r="AE56" s="27"/>
    </row>
    <row r="57" spans="1:31" x14ac:dyDescent="0.2">
      <c r="A57" s="27"/>
      <c r="B57" s="27"/>
      <c r="C57" s="27"/>
      <c r="D57" s="27"/>
      <c r="E57" s="27"/>
      <c r="F57" s="27"/>
      <c r="G57" s="27"/>
      <c r="H57" s="27"/>
      <c r="I57" s="27"/>
      <c r="J57" s="27"/>
      <c r="K57" s="27"/>
      <c r="L57" s="27"/>
      <c r="M57" s="27"/>
      <c r="N57" s="27"/>
      <c r="O57" s="27"/>
      <c r="P57" s="27"/>
      <c r="Q57" s="27"/>
      <c r="R57" s="27"/>
      <c r="S57" s="27"/>
      <c r="T57" s="27"/>
      <c r="AE57" s="27"/>
    </row>
    <row r="58" spans="1:31" x14ac:dyDescent="0.2">
      <c r="A58" s="27"/>
      <c r="B58" s="27"/>
      <c r="C58" s="27"/>
      <c r="D58" s="27"/>
      <c r="E58" s="27"/>
      <c r="F58" s="27"/>
      <c r="G58" s="27"/>
      <c r="H58" s="27"/>
      <c r="I58" s="27"/>
      <c r="J58" s="27"/>
      <c r="K58" s="27"/>
      <c r="L58" s="27"/>
      <c r="M58" s="27"/>
      <c r="N58" s="27"/>
      <c r="O58" s="27"/>
      <c r="P58" s="27"/>
      <c r="Q58" s="27"/>
      <c r="R58" s="27"/>
      <c r="S58" s="27"/>
      <c r="T58" s="27"/>
      <c r="AE58" s="27"/>
    </row>
    <row r="59" spans="1:31" x14ac:dyDescent="0.2">
      <c r="A59" s="27"/>
      <c r="B59" s="27"/>
      <c r="C59" s="27"/>
      <c r="D59" s="27"/>
      <c r="E59" s="27"/>
      <c r="F59" s="27"/>
      <c r="G59" s="27"/>
      <c r="H59" s="27"/>
      <c r="I59" s="27"/>
      <c r="J59" s="27"/>
      <c r="K59" s="27"/>
      <c r="L59" s="27"/>
      <c r="M59" s="27"/>
      <c r="N59" s="27"/>
      <c r="O59" s="27"/>
      <c r="P59" s="27"/>
      <c r="Q59" s="27"/>
      <c r="R59" s="27"/>
      <c r="S59" s="27"/>
      <c r="T59" s="27"/>
      <c r="AE59" s="27"/>
    </row>
    <row r="60" spans="1:31" x14ac:dyDescent="0.2">
      <c r="A60" s="27"/>
      <c r="B60" s="27"/>
      <c r="C60" s="27"/>
      <c r="D60" s="27"/>
      <c r="E60" s="27"/>
      <c r="F60" s="27"/>
      <c r="G60" s="27"/>
      <c r="H60" s="27"/>
      <c r="I60" s="27"/>
      <c r="J60" s="27"/>
      <c r="K60" s="27"/>
      <c r="L60" s="27"/>
      <c r="M60" s="27"/>
      <c r="N60" s="27"/>
      <c r="O60" s="27"/>
      <c r="P60" s="27"/>
      <c r="Q60" s="27"/>
      <c r="R60" s="27"/>
      <c r="S60" s="27"/>
      <c r="T60" s="27"/>
      <c r="AE60" s="27"/>
    </row>
    <row r="61" spans="1:3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row>
    <row r="62" spans="1:31"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row>
    <row r="63" spans="1:31"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row>
    <row r="64" spans="1:31"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row>
    <row r="65" spans="1:31"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row>
  </sheetData>
  <mergeCells count="2">
    <mergeCell ref="A7:R7"/>
    <mergeCell ref="A27:R27"/>
  </mergeCells>
  <phoneticPr fontId="14" type="noConversion"/>
  <printOptions horizontalCentered="1"/>
  <pageMargins left="0.7" right="0.7" top="0.75" bottom="0.75" header="0.3" footer="0.3"/>
  <pageSetup orientation="landscape" r:id="rId1"/>
  <headerFooter>
    <oddHeader>&amp;R&amp;9KAW_R_PSCDR1_NUM014_Attachment 1
Case No. 2015-00418
Page &amp;P of &amp;N</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44"/>
  <sheetViews>
    <sheetView tabSelected="1" view="pageLayout" zoomScaleNormal="100" workbookViewId="0">
      <selection activeCell="M516" sqref="M516"/>
    </sheetView>
  </sheetViews>
  <sheetFormatPr defaultColWidth="9.77734375" defaultRowHeight="15" x14ac:dyDescent="0.2"/>
  <cols>
    <col min="1" max="1" width="5" style="219" customWidth="1"/>
    <col min="2" max="2" width="13.21875" style="219" customWidth="1"/>
    <col min="3" max="3" width="6.88671875" style="219" customWidth="1"/>
    <col min="4" max="4" width="12.33203125" style="219" customWidth="1"/>
    <col min="5" max="5" width="8" style="219" customWidth="1"/>
    <col min="6" max="6" width="9.77734375" style="219" customWidth="1"/>
    <col min="7" max="7" width="2.5546875" style="219" customWidth="1"/>
    <col min="8" max="8" width="9.77734375" style="219" customWidth="1"/>
    <col min="9" max="9" width="3.5546875" style="219" customWidth="1"/>
    <col min="10" max="13" width="9.77734375" style="219" customWidth="1"/>
    <col min="14" max="14" width="11" style="219" bestFit="1" customWidth="1"/>
    <col min="15" max="16384" width="9.77734375" style="219"/>
  </cols>
  <sheetData>
    <row r="1" spans="1:19" x14ac:dyDescent="0.2">
      <c r="A1" s="15" t="s">
        <v>7</v>
      </c>
      <c r="B1" s="15"/>
      <c r="C1" s="15"/>
      <c r="D1" s="15"/>
      <c r="E1" s="15"/>
      <c r="F1" s="15"/>
      <c r="G1" s="15"/>
      <c r="H1" s="15"/>
      <c r="I1" s="15"/>
      <c r="J1" s="15"/>
    </row>
    <row r="2" spans="1:19" x14ac:dyDescent="0.2">
      <c r="A2" s="31"/>
      <c r="B2" s="31"/>
      <c r="C2" s="31"/>
      <c r="D2" s="31"/>
      <c r="E2" s="31"/>
      <c r="F2" s="31"/>
      <c r="G2" s="31"/>
      <c r="H2" s="31"/>
      <c r="I2" s="32"/>
      <c r="N2" s="378"/>
    </row>
    <row r="3" spans="1:19" x14ac:dyDescent="0.2">
      <c r="A3" s="16" t="s">
        <v>234</v>
      </c>
      <c r="B3" s="16"/>
      <c r="C3" s="16"/>
      <c r="D3" s="16"/>
      <c r="E3" s="16"/>
      <c r="F3" s="16"/>
      <c r="G3" s="16"/>
      <c r="H3" s="16"/>
      <c r="I3" s="32"/>
      <c r="N3" s="378"/>
    </row>
    <row r="4" spans="1:19" x14ac:dyDescent="0.2">
      <c r="A4" s="32"/>
      <c r="B4" s="32"/>
      <c r="C4" s="32"/>
      <c r="D4" s="32"/>
      <c r="E4" s="32"/>
      <c r="F4" s="32"/>
      <c r="G4" s="32"/>
      <c r="H4" s="32"/>
      <c r="I4" s="32"/>
      <c r="N4" s="379"/>
    </row>
    <row r="5" spans="1:19" x14ac:dyDescent="0.2">
      <c r="A5" s="612" t="s">
        <v>158</v>
      </c>
      <c r="B5" s="612"/>
      <c r="C5" s="612"/>
      <c r="D5" s="612"/>
      <c r="E5" s="612"/>
      <c r="F5" s="612"/>
      <c r="G5" s="612"/>
      <c r="H5" s="612"/>
      <c r="I5" s="612"/>
      <c r="J5" s="613"/>
      <c r="N5" s="379"/>
    </row>
    <row r="6" spans="1:19" x14ac:dyDescent="0.2">
      <c r="A6" s="612"/>
      <c r="B6" s="612"/>
      <c r="C6" s="612"/>
      <c r="D6" s="612"/>
      <c r="E6" s="612"/>
      <c r="F6" s="612"/>
      <c r="G6" s="612"/>
      <c r="H6" s="612"/>
      <c r="I6" s="612"/>
      <c r="J6" s="613"/>
      <c r="N6" s="379"/>
    </row>
    <row r="7" spans="1:19" ht="28.15" customHeight="1" x14ac:dyDescent="0.2">
      <c r="A7" s="859" t="s">
        <v>925</v>
      </c>
      <c r="B7" s="860"/>
      <c r="C7" s="860"/>
      <c r="D7" s="860"/>
      <c r="E7" s="860"/>
      <c r="F7" s="860"/>
      <c r="G7" s="860"/>
      <c r="H7" s="860"/>
      <c r="I7" s="860"/>
      <c r="J7" s="860"/>
      <c r="N7" s="379"/>
    </row>
    <row r="8" spans="1:19" x14ac:dyDescent="0.2">
      <c r="A8" s="612"/>
      <c r="B8" s="612"/>
      <c r="C8" s="612"/>
      <c r="D8" s="612"/>
      <c r="E8" s="612"/>
      <c r="F8" s="612"/>
      <c r="G8" s="612"/>
      <c r="H8" s="612"/>
      <c r="I8" s="612"/>
      <c r="J8" s="613"/>
      <c r="N8" s="379"/>
    </row>
    <row r="9" spans="1:19" x14ac:dyDescent="0.2">
      <c r="A9" s="612"/>
      <c r="B9" s="612"/>
      <c r="C9" s="612"/>
      <c r="D9" s="613"/>
      <c r="E9" s="612"/>
      <c r="F9" s="612"/>
      <c r="G9" s="612"/>
      <c r="H9" s="612"/>
      <c r="I9" s="612"/>
      <c r="J9" s="613"/>
      <c r="N9" s="379"/>
    </row>
    <row r="10" spans="1:19" x14ac:dyDescent="0.2">
      <c r="A10" s="612" t="s">
        <v>282</v>
      </c>
      <c r="B10" s="612"/>
      <c r="C10" s="614">
        <f>+'F 3B 4B'!G46</f>
        <v>10000</v>
      </c>
      <c r="D10" s="615" t="s">
        <v>31</v>
      </c>
      <c r="E10" s="616"/>
      <c r="F10" s="617" t="s">
        <v>283</v>
      </c>
      <c r="G10" s="613"/>
      <c r="H10" s="618">
        <f>ROUND(+C10*60*10/D11,4)</f>
        <v>0.21210000000000001</v>
      </c>
      <c r="I10" s="612"/>
      <c r="J10" s="613"/>
      <c r="N10" s="379"/>
      <c r="P10" s="219" t="s">
        <v>212</v>
      </c>
      <c r="Q10" s="119">
        <f>'F 3B 4B'!Q18</f>
        <v>0</v>
      </c>
    </row>
    <row r="11" spans="1:19" x14ac:dyDescent="0.2">
      <c r="A11" s="612"/>
      <c r="B11" s="612"/>
      <c r="C11" s="613"/>
      <c r="D11" s="825">
        <v>28286000</v>
      </c>
      <c r="E11" s="619" t="s">
        <v>377</v>
      </c>
      <c r="F11" s="617"/>
      <c r="G11" s="612"/>
      <c r="H11" s="613"/>
      <c r="I11" s="612"/>
      <c r="J11" s="613"/>
      <c r="N11" s="379"/>
    </row>
    <row r="12" spans="1:19" x14ac:dyDescent="0.2">
      <c r="A12" s="612"/>
      <c r="B12" s="612"/>
      <c r="C12" s="612"/>
      <c r="D12" s="612"/>
      <c r="E12" s="612"/>
      <c r="F12" s="617"/>
      <c r="G12" s="612"/>
      <c r="H12" s="613"/>
      <c r="I12" s="612"/>
      <c r="J12" s="613"/>
      <c r="N12" s="379"/>
      <c r="P12" s="219" t="s">
        <v>213</v>
      </c>
      <c r="Q12" s="219">
        <f>1020*(Q10/1000)^0.5*(1-0.01*(Q10/1000)^0.5)</f>
        <v>0</v>
      </c>
    </row>
    <row r="13" spans="1:19" x14ac:dyDescent="0.2">
      <c r="A13" s="612" t="s">
        <v>284</v>
      </c>
      <c r="B13" s="612"/>
      <c r="C13" s="613"/>
      <c r="D13" s="618">
        <v>1</v>
      </c>
      <c r="E13" s="617" t="s">
        <v>285</v>
      </c>
      <c r="F13" s="618">
        <f>H10</f>
        <v>0.21210000000000001</v>
      </c>
      <c r="G13" s="620" t="s">
        <v>283</v>
      </c>
      <c r="H13" s="618">
        <f>D13-F13</f>
        <v>0.78790000000000004</v>
      </c>
      <c r="I13" s="612"/>
      <c r="J13" s="613"/>
      <c r="N13" s="379"/>
    </row>
    <row r="14" spans="1:19" x14ac:dyDescent="0.2">
      <c r="A14" s="612"/>
      <c r="B14" s="612"/>
      <c r="C14" s="612"/>
      <c r="D14" s="612"/>
      <c r="E14" s="612"/>
      <c r="F14" s="612"/>
      <c r="G14" s="612"/>
      <c r="H14" s="612"/>
      <c r="I14" s="612"/>
      <c r="J14" s="613"/>
      <c r="N14" s="379"/>
    </row>
    <row r="15" spans="1:19" x14ac:dyDescent="0.2">
      <c r="A15" s="612"/>
      <c r="B15" s="612"/>
      <c r="C15" s="612"/>
      <c r="D15" s="612"/>
      <c r="E15" s="612"/>
      <c r="F15" s="612"/>
      <c r="G15" s="612"/>
      <c r="H15" s="612"/>
      <c r="I15" s="612"/>
      <c r="J15" s="621"/>
      <c r="K15" s="168"/>
      <c r="L15" s="168"/>
      <c r="M15" s="168"/>
      <c r="N15" s="380"/>
      <c r="O15" s="229" t="s">
        <v>580</v>
      </c>
      <c r="P15" s="168"/>
      <c r="Q15" s="168"/>
      <c r="R15" s="168"/>
      <c r="S15" s="168"/>
    </row>
    <row r="16" spans="1:19" ht="29.25" customHeight="1" x14ac:dyDescent="0.2">
      <c r="A16" s="859" t="s">
        <v>286</v>
      </c>
      <c r="B16" s="859"/>
      <c r="C16" s="859"/>
      <c r="D16" s="859"/>
      <c r="E16" s="859"/>
      <c r="F16" s="859"/>
      <c r="G16" s="859"/>
      <c r="H16" s="859"/>
      <c r="I16" s="612"/>
      <c r="J16" s="613"/>
      <c r="N16" s="379"/>
      <c r="O16" s="219" t="s">
        <v>587</v>
      </c>
    </row>
    <row r="17" spans="1:14" x14ac:dyDescent="0.2">
      <c r="A17" s="612"/>
      <c r="B17" s="612"/>
      <c r="C17" s="612"/>
      <c r="D17" s="612"/>
      <c r="E17" s="612"/>
      <c r="F17" s="612"/>
      <c r="G17" s="612"/>
      <c r="H17" s="612"/>
      <c r="I17" s="612"/>
      <c r="J17" s="613"/>
      <c r="N17" s="379"/>
    </row>
    <row r="18" spans="1:14" x14ac:dyDescent="0.2">
      <c r="A18" s="612"/>
      <c r="B18" s="612"/>
      <c r="C18" s="612"/>
      <c r="D18" s="617" t="s">
        <v>242</v>
      </c>
      <c r="E18" s="612"/>
      <c r="F18" s="612"/>
      <c r="G18" s="612"/>
      <c r="H18" s="612"/>
      <c r="I18" s="612"/>
      <c r="J18" s="613"/>
      <c r="N18" s="379"/>
    </row>
    <row r="19" spans="1:14" x14ac:dyDescent="0.2">
      <c r="A19" s="612"/>
      <c r="B19" s="612"/>
      <c r="C19" s="612"/>
      <c r="D19" s="617" t="s">
        <v>287</v>
      </c>
      <c r="E19" s="612"/>
      <c r="F19" s="612"/>
      <c r="G19" s="612"/>
      <c r="H19" s="612"/>
      <c r="I19" s="612"/>
      <c r="J19" s="613"/>
      <c r="N19" s="379"/>
    </row>
    <row r="20" spans="1:14" x14ac:dyDescent="0.2">
      <c r="A20" s="612"/>
      <c r="B20" s="612"/>
      <c r="C20" s="612"/>
      <c r="D20" s="617" t="s">
        <v>244</v>
      </c>
      <c r="E20" s="612"/>
      <c r="F20" s="617" t="s">
        <v>288</v>
      </c>
      <c r="G20" s="612"/>
      <c r="H20" s="617" t="s">
        <v>245</v>
      </c>
      <c r="I20" s="612"/>
      <c r="J20" s="613"/>
      <c r="N20" s="379"/>
    </row>
    <row r="21" spans="1:14" x14ac:dyDescent="0.2">
      <c r="A21" s="612"/>
      <c r="B21" s="612"/>
      <c r="C21" s="612"/>
      <c r="D21" s="619"/>
      <c r="E21" s="612"/>
      <c r="F21" s="619"/>
      <c r="G21" s="612"/>
      <c r="H21" s="619"/>
      <c r="I21" s="612"/>
      <c r="J21" s="613"/>
      <c r="N21" s="379"/>
    </row>
    <row r="22" spans="1:14" x14ac:dyDescent="0.2">
      <c r="A22" s="612"/>
      <c r="B22" s="612" t="s">
        <v>266</v>
      </c>
      <c r="C22" s="612"/>
      <c r="D22" s="622">
        <v>1</v>
      </c>
      <c r="E22" s="612"/>
      <c r="F22" s="622">
        <f>D22/D27*100</f>
        <v>40</v>
      </c>
      <c r="G22" s="612"/>
      <c r="H22" s="618">
        <f>ROUND(F22/100*(1-H10),4)</f>
        <v>0.31519999999999998</v>
      </c>
      <c r="I22" s="612"/>
      <c r="J22" s="613"/>
      <c r="N22" s="379"/>
    </row>
    <row r="23" spans="1:14" ht="8.4499999999999993" customHeight="1" x14ac:dyDescent="0.2">
      <c r="A23" s="612"/>
      <c r="B23" s="612"/>
      <c r="C23" s="612"/>
      <c r="D23" s="612"/>
      <c r="E23" s="612"/>
      <c r="F23" s="612"/>
      <c r="G23" s="612"/>
      <c r="H23" s="612"/>
      <c r="I23" s="612"/>
      <c r="J23" s="613"/>
      <c r="N23" s="379"/>
    </row>
    <row r="24" spans="1:14" x14ac:dyDescent="0.2">
      <c r="A24" s="612"/>
      <c r="B24" s="612" t="s">
        <v>224</v>
      </c>
      <c r="C24" s="612"/>
      <c r="D24" s="612"/>
      <c r="E24" s="612"/>
      <c r="F24" s="612"/>
      <c r="G24" s="612"/>
      <c r="H24" s="612"/>
      <c r="I24" s="612"/>
      <c r="J24" s="613"/>
      <c r="N24" s="379"/>
    </row>
    <row r="25" spans="1:14" x14ac:dyDescent="0.2">
      <c r="A25" s="612"/>
      <c r="B25" s="612" t="s">
        <v>289</v>
      </c>
      <c r="C25" s="612"/>
      <c r="D25" s="622">
        <f>'F 3B 4B'!$E$42</f>
        <v>1.5</v>
      </c>
      <c r="E25" s="612"/>
      <c r="F25" s="622">
        <f>D25/D27*100</f>
        <v>60</v>
      </c>
      <c r="G25" s="612"/>
      <c r="H25" s="618">
        <f>ROUND(F25/100*(1-H10),4)</f>
        <v>0.47270000000000001</v>
      </c>
      <c r="I25" s="612"/>
      <c r="J25" s="613"/>
      <c r="N25" s="379"/>
    </row>
    <row r="26" spans="1:14" x14ac:dyDescent="0.2">
      <c r="A26" s="612"/>
      <c r="B26" s="612"/>
      <c r="C26" s="612"/>
      <c r="D26" s="623"/>
      <c r="E26" s="612"/>
      <c r="F26" s="623"/>
      <c r="G26" s="612"/>
      <c r="H26" s="623"/>
      <c r="I26" s="612"/>
      <c r="J26" s="613"/>
      <c r="N26" s="379"/>
    </row>
    <row r="27" spans="1:14" ht="15.75" thickBot="1" x14ac:dyDescent="0.25">
      <c r="A27" s="612"/>
      <c r="B27" s="612" t="s">
        <v>248</v>
      </c>
      <c r="C27" s="612"/>
      <c r="D27" s="622">
        <f>SUM(D22:D26)</f>
        <v>2.5</v>
      </c>
      <c r="E27" s="612"/>
      <c r="F27" s="622">
        <f>SUM(F22:F26)</f>
        <v>100</v>
      </c>
      <c r="G27" s="612"/>
      <c r="H27" s="624">
        <f>SUM(H22:H26)</f>
        <v>0.78790000000000004</v>
      </c>
      <c r="I27" s="612"/>
      <c r="J27" s="613"/>
      <c r="N27" s="379"/>
    </row>
    <row r="28" spans="1:14" ht="15.75" thickTop="1" x14ac:dyDescent="0.2">
      <c r="A28" s="612"/>
      <c r="B28" s="612"/>
      <c r="C28" s="612"/>
      <c r="D28" s="625"/>
      <c r="E28" s="612"/>
      <c r="F28" s="625"/>
      <c r="G28" s="612"/>
      <c r="H28" s="626"/>
      <c r="I28" s="612"/>
      <c r="J28" s="613"/>
      <c r="N28" s="379"/>
    </row>
    <row r="29" spans="1:14" x14ac:dyDescent="0.2">
      <c r="A29" s="613"/>
      <c r="B29" s="613"/>
      <c r="C29" s="613"/>
      <c r="D29" s="613"/>
      <c r="E29" s="613"/>
      <c r="F29" s="613"/>
      <c r="G29" s="613"/>
      <c r="H29" s="613"/>
      <c r="I29" s="613"/>
      <c r="J29" s="613"/>
      <c r="N29" s="379"/>
    </row>
    <row r="30" spans="1:14" x14ac:dyDescent="0.2">
      <c r="A30" s="627"/>
      <c r="B30" s="627"/>
      <c r="C30" s="627"/>
      <c r="D30" s="628" t="s">
        <v>272</v>
      </c>
      <c r="E30" s="613"/>
      <c r="F30" s="627"/>
      <c r="G30" s="629"/>
      <c r="H30" s="627"/>
      <c r="I30" s="627"/>
      <c r="J30" s="627"/>
      <c r="K30" s="22"/>
      <c r="N30" s="379"/>
    </row>
    <row r="31" spans="1:14" x14ac:dyDescent="0.2">
      <c r="A31" s="627"/>
      <c r="B31" s="627"/>
      <c r="C31" s="627"/>
      <c r="D31" s="628" t="s">
        <v>273</v>
      </c>
      <c r="E31" s="613"/>
      <c r="F31" s="630" t="s">
        <v>274</v>
      </c>
      <c r="G31" s="630"/>
      <c r="H31" s="630"/>
      <c r="I31" s="630"/>
      <c r="J31" s="630"/>
    </row>
    <row r="32" spans="1:14" x14ac:dyDescent="0.2">
      <c r="A32" s="855" t="s">
        <v>252</v>
      </c>
      <c r="B32" s="855"/>
      <c r="C32" s="630"/>
      <c r="D32" s="628" t="s">
        <v>223</v>
      </c>
      <c r="E32" s="613"/>
      <c r="F32" s="631"/>
      <c r="G32" s="631"/>
      <c r="H32" s="631" t="s">
        <v>445</v>
      </c>
      <c r="I32" s="631"/>
      <c r="J32" s="631" t="s">
        <v>202</v>
      </c>
    </row>
    <row r="33" spans="1:11" x14ac:dyDescent="0.2">
      <c r="A33" s="858" t="s">
        <v>203</v>
      </c>
      <c r="B33" s="858"/>
      <c r="C33" s="612"/>
      <c r="D33" s="628" t="s">
        <v>583</v>
      </c>
      <c r="E33" s="613"/>
      <c r="F33" s="628" t="s">
        <v>238</v>
      </c>
      <c r="G33" s="628"/>
      <c r="H33" s="628" t="s">
        <v>275</v>
      </c>
      <c r="I33" s="628"/>
      <c r="J33" s="628" t="s">
        <v>204</v>
      </c>
    </row>
    <row r="34" spans="1:11" x14ac:dyDescent="0.2">
      <c r="A34" s="632" t="s">
        <v>205</v>
      </c>
      <c r="B34" s="632"/>
      <c r="C34" s="613"/>
      <c r="D34" s="631" t="s">
        <v>227</v>
      </c>
      <c r="E34" s="613"/>
      <c r="F34" s="631" t="s">
        <v>207</v>
      </c>
      <c r="G34" s="628"/>
      <c r="H34" s="631" t="s">
        <v>240</v>
      </c>
      <c r="I34" s="628"/>
      <c r="J34" s="631" t="s">
        <v>241</v>
      </c>
    </row>
    <row r="35" spans="1:11" x14ac:dyDescent="0.2">
      <c r="A35" s="629"/>
      <c r="B35" s="629"/>
      <c r="C35" s="627"/>
      <c r="D35" s="627"/>
      <c r="E35" s="613"/>
      <c r="F35" s="627"/>
      <c r="G35" s="627"/>
      <c r="H35" s="627"/>
      <c r="I35" s="627"/>
      <c r="J35" s="627"/>
    </row>
    <row r="36" spans="1:11" x14ac:dyDescent="0.2">
      <c r="A36" s="627" t="s">
        <v>208</v>
      </c>
      <c r="B36" s="627"/>
      <c r="C36" s="627"/>
      <c r="D36" s="633">
        <f>+'F 5'!D16</f>
        <v>636.5</v>
      </c>
      <c r="E36" s="613"/>
      <c r="F36" s="826">
        <f>+'F 3B 4B'!G58</f>
        <v>1.9</v>
      </c>
      <c r="G36" s="627"/>
      <c r="H36" s="634">
        <f>ROUND(D36*F36,1)</f>
        <v>1209.4000000000001</v>
      </c>
      <c r="I36" s="627"/>
      <c r="J36" s="635">
        <f>ROUND(+H36/H$42,4)-0.0001</f>
        <v>0.54969999999999997</v>
      </c>
    </row>
    <row r="37" spans="1:11" x14ac:dyDescent="0.2">
      <c r="A37" s="627" t="s">
        <v>209</v>
      </c>
      <c r="B37" s="627"/>
      <c r="C37" s="627"/>
      <c r="D37" s="633">
        <f>+'F 5'!D17</f>
        <v>398.6</v>
      </c>
      <c r="E37" s="613"/>
      <c r="F37" s="826">
        <f>+'F 3B 4B'!G59</f>
        <v>1.8</v>
      </c>
      <c r="G37" s="627"/>
      <c r="H37" s="634">
        <f>ROUND(D37*F37,1)</f>
        <v>717.5</v>
      </c>
      <c r="I37" s="627"/>
      <c r="J37" s="635">
        <f>ROUND(+H37/H$42,4)</f>
        <v>0.32619999999999999</v>
      </c>
    </row>
    <row r="38" spans="1:11" x14ac:dyDescent="0.2">
      <c r="A38" s="627" t="s">
        <v>210</v>
      </c>
      <c r="B38" s="627"/>
      <c r="C38" s="627"/>
      <c r="D38" s="633">
        <f>+'F 5'!D18</f>
        <v>70.7</v>
      </c>
      <c r="E38" s="613"/>
      <c r="F38" s="826">
        <f>+'F 3B 4B'!G60</f>
        <v>1.1499999999999999</v>
      </c>
      <c r="G38" s="627"/>
      <c r="H38" s="634">
        <f>ROUND(D38*F38,1)</f>
        <v>81.3</v>
      </c>
      <c r="I38" s="627"/>
      <c r="J38" s="635">
        <f>ROUND(+H38/H$42,4)</f>
        <v>3.6999999999999998E-2</v>
      </c>
    </row>
    <row r="39" spans="1:11" x14ac:dyDescent="0.2">
      <c r="A39" s="627" t="s">
        <v>214</v>
      </c>
      <c r="B39" s="627"/>
      <c r="C39" s="627"/>
      <c r="D39" s="633">
        <f>+'F 5'!D19</f>
        <v>136.5</v>
      </c>
      <c r="E39" s="613"/>
      <c r="F39" s="826">
        <f>+'F 3B 4B'!G61</f>
        <v>1.1000000000000001</v>
      </c>
      <c r="G39" s="627"/>
      <c r="H39" s="634">
        <f>ROUND(D39*F39,1)</f>
        <v>150.19999999999999</v>
      </c>
      <c r="I39" s="627"/>
      <c r="J39" s="635">
        <f>ROUND(+H39/H$42,4)</f>
        <v>6.83E-2</v>
      </c>
    </row>
    <row r="40" spans="1:11" x14ac:dyDescent="0.2">
      <c r="A40" s="627" t="s">
        <v>333</v>
      </c>
      <c r="B40" s="627"/>
      <c r="C40" s="627"/>
      <c r="D40" s="633">
        <f>+'F 5'!D20</f>
        <v>46</v>
      </c>
      <c r="E40" s="613"/>
      <c r="F40" s="826">
        <f>+'F 3B 4B'!G62</f>
        <v>0.9</v>
      </c>
      <c r="G40" s="627"/>
      <c r="H40" s="634">
        <f>ROUND(D40*F40,1)</f>
        <v>41.4</v>
      </c>
      <c r="I40" s="627"/>
      <c r="J40" s="635">
        <f>ROUND(+H40/H$42,4)</f>
        <v>1.8800000000000001E-2</v>
      </c>
    </row>
    <row r="41" spans="1:11" x14ac:dyDescent="0.2">
      <c r="A41" s="627"/>
      <c r="B41" s="627"/>
      <c r="C41" s="627"/>
      <c r="D41" s="636"/>
      <c r="E41" s="613"/>
      <c r="F41" s="627"/>
      <c r="G41" s="627"/>
      <c r="H41" s="637"/>
      <c r="I41" s="627"/>
      <c r="J41" s="638"/>
    </row>
    <row r="42" spans="1:11" ht="15.75" thickBot="1" x14ac:dyDescent="0.25">
      <c r="A42" s="627" t="s">
        <v>276</v>
      </c>
      <c r="B42" s="627"/>
      <c r="C42" s="627"/>
      <c r="D42" s="639">
        <f>SUM(D36:D41)</f>
        <v>1288.3</v>
      </c>
      <c r="E42" s="613"/>
      <c r="F42" s="634"/>
      <c r="G42" s="634"/>
      <c r="H42" s="639">
        <f>SUM(H36:H41)</f>
        <v>2199.8000000000002</v>
      </c>
      <c r="I42" s="627"/>
      <c r="J42" s="640">
        <f>SUM(J36:J41)</f>
        <v>1</v>
      </c>
    </row>
    <row r="43" spans="1:11" ht="15.75" thickTop="1" x14ac:dyDescent="0.2">
      <c r="A43" s="629"/>
      <c r="B43" s="629"/>
      <c r="C43" s="629"/>
      <c r="D43" s="629"/>
      <c r="E43" s="629"/>
      <c r="F43" s="629"/>
      <c r="G43" s="629"/>
      <c r="H43" s="629"/>
      <c r="I43" s="629"/>
      <c r="J43" s="629"/>
      <c r="K43" s="119"/>
    </row>
    <row r="44" spans="1:11" x14ac:dyDescent="0.2">
      <c r="A44" s="627" t="s">
        <v>277</v>
      </c>
      <c r="B44" s="613"/>
      <c r="C44" s="613"/>
      <c r="D44" s="613"/>
      <c r="E44" s="613"/>
      <c r="F44" s="613"/>
      <c r="G44" s="613"/>
      <c r="H44" s="613"/>
      <c r="I44" s="613"/>
      <c r="J44" s="613"/>
    </row>
  </sheetData>
  <mergeCells count="4">
    <mergeCell ref="A32:B32"/>
    <mergeCell ref="A33:B33"/>
    <mergeCell ref="A7:J7"/>
    <mergeCell ref="A16:H16"/>
  </mergeCells>
  <phoneticPr fontId="14" type="noConversion"/>
  <printOptions horizontalCentered="1"/>
  <pageMargins left="0.7" right="0.7" top="0.75" bottom="0.75" header="0.3" footer="0.3"/>
  <pageSetup orientation="portrait" r:id="rId1"/>
  <headerFooter>
    <oddHeader>&amp;R&amp;9KAW_R_PSCDR1_NUM014_Attachment 1
Case No. 2015-00418
Page &amp;P of &amp;N</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L116"/>
  <sheetViews>
    <sheetView tabSelected="1" view="pageLayout" zoomScaleNormal="100" workbookViewId="0">
      <selection activeCell="M516" sqref="M516"/>
    </sheetView>
  </sheetViews>
  <sheetFormatPr defaultColWidth="9.77734375" defaultRowHeight="15" x14ac:dyDescent="0.2"/>
  <cols>
    <col min="1" max="2" width="7.77734375" style="95" customWidth="1"/>
    <col min="3" max="3" width="1.21875" style="95" customWidth="1"/>
    <col min="4" max="4" width="7.77734375" style="95" customWidth="1"/>
    <col min="5" max="5" width="1.21875" style="95" customWidth="1"/>
    <col min="6" max="6" width="7.77734375" style="95" customWidth="1"/>
    <col min="7" max="7" width="1.21875" style="95" customWidth="1"/>
    <col min="8" max="8" width="8.88671875" style="95" customWidth="1"/>
    <col min="9" max="9" width="1.21875" style="95" customWidth="1"/>
    <col min="10" max="10" width="7.77734375" style="95" customWidth="1"/>
    <col min="11" max="11" width="1.21875" style="95" customWidth="1"/>
    <col min="12" max="12" width="7.77734375" style="95" customWidth="1"/>
    <col min="13" max="13" width="1.21875" style="95" customWidth="1"/>
    <col min="14" max="14" width="7.77734375" style="95" customWidth="1"/>
    <col min="15" max="15" width="1.21875" style="95" customWidth="1"/>
    <col min="16" max="16" width="7.77734375" style="95" customWidth="1"/>
    <col min="17" max="22" width="9.77734375" style="95"/>
    <col min="23" max="23" width="12.44140625" style="95" bestFit="1" customWidth="1"/>
    <col min="24" max="24" width="9.77734375" style="95"/>
    <col min="25" max="25" width="13.5546875" style="95" bestFit="1" customWidth="1"/>
    <col min="26" max="31" width="9.77734375" style="95"/>
    <col min="32" max="32" width="12.44140625" style="95" bestFit="1" customWidth="1"/>
    <col min="33" max="33" width="9.77734375" style="95"/>
    <col min="34" max="34" width="12.44140625" style="95" bestFit="1" customWidth="1"/>
    <col min="35" max="16384" width="9.77734375" style="95"/>
  </cols>
  <sheetData>
    <row r="1" spans="1:29" x14ac:dyDescent="0.2">
      <c r="A1" s="15" t="s">
        <v>7</v>
      </c>
      <c r="B1" s="33"/>
      <c r="C1" s="33"/>
      <c r="D1" s="34"/>
      <c r="E1" s="34"/>
      <c r="F1" s="34"/>
      <c r="G1" s="34"/>
      <c r="H1" s="34"/>
      <c r="I1" s="34"/>
      <c r="J1" s="34"/>
      <c r="K1" s="34"/>
      <c r="L1" s="34"/>
      <c r="M1" s="34"/>
      <c r="N1" s="34"/>
      <c r="O1" s="34"/>
      <c r="P1" s="34"/>
      <c r="Q1" s="35"/>
      <c r="R1" s="35"/>
      <c r="S1" s="35"/>
      <c r="T1" s="35"/>
      <c r="U1" s="35"/>
    </row>
    <row r="2" spans="1:29" x14ac:dyDescent="0.2">
      <c r="A2" s="34"/>
      <c r="B2" s="34"/>
      <c r="C2" s="34"/>
      <c r="D2" s="34"/>
      <c r="E2" s="34"/>
      <c r="F2" s="34"/>
      <c r="G2" s="34"/>
      <c r="H2" s="34"/>
      <c r="I2" s="34"/>
      <c r="J2" s="34"/>
      <c r="K2" s="34"/>
      <c r="L2" s="34"/>
      <c r="M2" s="34"/>
      <c r="N2" s="34"/>
      <c r="O2" s="34"/>
      <c r="P2" s="34"/>
      <c r="Q2" s="35"/>
      <c r="R2" s="35"/>
      <c r="S2" s="35"/>
      <c r="T2" s="35"/>
      <c r="U2" s="35"/>
    </row>
    <row r="3" spans="1:29" x14ac:dyDescent="0.2">
      <c r="A3" s="657" t="s">
        <v>234</v>
      </c>
      <c r="B3" s="657"/>
      <c r="C3" s="657"/>
      <c r="D3" s="657"/>
      <c r="E3" s="657"/>
      <c r="F3" s="657"/>
      <c r="G3" s="657"/>
      <c r="H3" s="657"/>
      <c r="I3" s="657"/>
      <c r="J3" s="657"/>
      <c r="K3" s="657"/>
      <c r="L3" s="657"/>
      <c r="M3" s="657"/>
      <c r="N3" s="657"/>
      <c r="O3" s="657"/>
      <c r="P3" s="657"/>
      <c r="Q3" s="35"/>
      <c r="R3" s="35"/>
      <c r="S3" s="35"/>
      <c r="T3" s="35"/>
      <c r="U3" s="35"/>
    </row>
    <row r="4" spans="1:29" x14ac:dyDescent="0.2">
      <c r="A4" s="658"/>
      <c r="B4" s="658"/>
      <c r="C4" s="658"/>
      <c r="D4" s="658"/>
      <c r="E4" s="658"/>
      <c r="F4" s="658"/>
      <c r="G4" s="658"/>
      <c r="H4" s="658"/>
      <c r="I4" s="658"/>
      <c r="J4" s="658"/>
      <c r="K4" s="658"/>
      <c r="L4" s="658"/>
      <c r="M4" s="658"/>
      <c r="N4" s="658"/>
      <c r="O4" s="658"/>
      <c r="P4" s="658"/>
      <c r="Q4" s="35"/>
      <c r="R4" s="35"/>
      <c r="S4" s="35"/>
      <c r="T4" s="35"/>
      <c r="U4" s="35"/>
    </row>
    <row r="5" spans="1:29" x14ac:dyDescent="0.2">
      <c r="A5" s="658" t="s">
        <v>159</v>
      </c>
      <c r="B5" s="658"/>
      <c r="C5" s="658"/>
      <c r="D5" s="658"/>
      <c r="E5" s="658"/>
      <c r="F5" s="658"/>
      <c r="G5" s="658"/>
      <c r="H5" s="658"/>
      <c r="I5" s="658"/>
      <c r="J5" s="658"/>
      <c r="K5" s="658"/>
      <c r="L5" s="658"/>
      <c r="M5" s="658"/>
      <c r="N5" s="658"/>
      <c r="O5" s="658"/>
      <c r="P5" s="658"/>
      <c r="Q5" s="35"/>
      <c r="R5" s="35"/>
      <c r="S5" s="35"/>
      <c r="T5" s="35"/>
      <c r="U5" s="35"/>
    </row>
    <row r="6" spans="1:29" x14ac:dyDescent="0.2">
      <c r="A6" s="658"/>
      <c r="B6" s="658"/>
      <c r="C6" s="658"/>
      <c r="D6" s="658"/>
      <c r="E6" s="658"/>
      <c r="F6" s="658"/>
      <c r="G6" s="658"/>
      <c r="H6" s="658"/>
      <c r="I6" s="658"/>
      <c r="J6" s="658"/>
      <c r="K6" s="658"/>
      <c r="L6" s="658"/>
      <c r="M6" s="658"/>
      <c r="N6" s="658"/>
      <c r="O6" s="658"/>
      <c r="P6" s="658"/>
      <c r="Q6" s="35"/>
      <c r="R6" s="35"/>
      <c r="S6" s="35"/>
      <c r="T6" s="35"/>
      <c r="U6" s="35"/>
    </row>
    <row r="7" spans="1:29" ht="41.45" customHeight="1" x14ac:dyDescent="0.2">
      <c r="A7" s="861" t="s">
        <v>290</v>
      </c>
      <c r="B7" s="861"/>
      <c r="C7" s="861"/>
      <c r="D7" s="861"/>
      <c r="E7" s="861"/>
      <c r="F7" s="861"/>
      <c r="G7" s="861"/>
      <c r="H7" s="861"/>
      <c r="I7" s="861"/>
      <c r="J7" s="861"/>
      <c r="K7" s="861"/>
      <c r="L7" s="861"/>
      <c r="M7" s="861"/>
      <c r="N7" s="861"/>
      <c r="O7" s="861"/>
      <c r="P7" s="861"/>
      <c r="Q7" s="35"/>
      <c r="R7" s="35"/>
      <c r="S7" s="35"/>
      <c r="T7" s="35"/>
      <c r="U7" s="35"/>
    </row>
    <row r="8" spans="1:29" x14ac:dyDescent="0.2">
      <c r="A8" s="658"/>
      <c r="B8" s="658"/>
      <c r="C8" s="658"/>
      <c r="D8" s="658"/>
      <c r="E8" s="658"/>
      <c r="F8" s="658"/>
      <c r="G8" s="658"/>
      <c r="H8" s="658"/>
      <c r="I8" s="658"/>
      <c r="J8" s="658"/>
      <c r="K8" s="658"/>
      <c r="L8" s="658"/>
      <c r="M8" s="658"/>
      <c r="N8" s="658"/>
      <c r="O8" s="658"/>
      <c r="P8" s="658"/>
      <c r="Q8" s="35"/>
      <c r="R8" s="35"/>
      <c r="S8" s="35"/>
      <c r="T8" s="35"/>
      <c r="U8" s="35"/>
      <c r="V8" s="383"/>
    </row>
    <row r="9" spans="1:29" x14ac:dyDescent="0.2">
      <c r="A9" s="658"/>
      <c r="B9" s="658"/>
      <c r="C9" s="658"/>
      <c r="D9" s="657" t="s">
        <v>291</v>
      </c>
      <c r="E9" s="657"/>
      <c r="F9" s="657"/>
      <c r="G9" s="658"/>
      <c r="H9" s="657" t="s">
        <v>291</v>
      </c>
      <c r="I9" s="657"/>
      <c r="J9" s="657"/>
      <c r="K9" s="658"/>
      <c r="L9" s="657" t="s">
        <v>292</v>
      </c>
      <c r="M9" s="657"/>
      <c r="N9" s="657"/>
      <c r="O9" s="658"/>
      <c r="P9" s="658"/>
      <c r="Q9" s="35"/>
      <c r="R9" s="35"/>
      <c r="S9" s="35"/>
      <c r="T9" s="35"/>
      <c r="U9" s="35"/>
    </row>
    <row r="10" spans="1:29" x14ac:dyDescent="0.2">
      <c r="A10" s="658"/>
      <c r="B10" s="658"/>
      <c r="C10" s="658"/>
      <c r="D10" s="657" t="s">
        <v>223</v>
      </c>
      <c r="E10" s="657"/>
      <c r="F10" s="657"/>
      <c r="G10" s="658"/>
      <c r="H10" s="657" t="s">
        <v>0</v>
      </c>
      <c r="I10" s="657"/>
      <c r="J10" s="657"/>
      <c r="K10" s="658"/>
      <c r="L10" s="657" t="s">
        <v>223</v>
      </c>
      <c r="M10" s="657"/>
      <c r="N10" s="657"/>
      <c r="O10" s="658"/>
      <c r="P10" s="658"/>
      <c r="Q10" s="35"/>
      <c r="R10" s="35"/>
      <c r="S10" s="35"/>
      <c r="T10" s="35"/>
      <c r="U10" s="35"/>
    </row>
    <row r="11" spans="1:29" x14ac:dyDescent="0.2">
      <c r="A11" s="657" t="s">
        <v>200</v>
      </c>
      <c r="B11" s="657"/>
      <c r="C11" s="658"/>
      <c r="D11" s="659" t="s">
        <v>202</v>
      </c>
      <c r="E11" s="659"/>
      <c r="F11" s="659" t="s">
        <v>225</v>
      </c>
      <c r="G11" s="660"/>
      <c r="H11" s="659" t="s">
        <v>202</v>
      </c>
      <c r="I11" s="659"/>
      <c r="J11" s="659" t="s">
        <v>225</v>
      </c>
      <c r="K11" s="660"/>
      <c r="L11" s="659" t="s">
        <v>202</v>
      </c>
      <c r="M11" s="659"/>
      <c r="N11" s="659" t="s">
        <v>225</v>
      </c>
      <c r="O11" s="660"/>
      <c r="P11" s="660" t="s">
        <v>202</v>
      </c>
      <c r="Q11" s="35"/>
      <c r="R11" s="35"/>
      <c r="S11" s="35"/>
      <c r="T11" s="35"/>
      <c r="U11" s="35"/>
    </row>
    <row r="12" spans="1:29" x14ac:dyDescent="0.2">
      <c r="A12" s="657" t="s">
        <v>203</v>
      </c>
      <c r="B12" s="657"/>
      <c r="C12" s="658"/>
      <c r="D12" s="660" t="s">
        <v>293</v>
      </c>
      <c r="E12" s="660"/>
      <c r="F12" s="660" t="s">
        <v>204</v>
      </c>
      <c r="G12" s="660"/>
      <c r="H12" s="660" t="s">
        <v>294</v>
      </c>
      <c r="I12" s="660"/>
      <c r="J12" s="660" t="s">
        <v>204</v>
      </c>
      <c r="K12" s="660"/>
      <c r="L12" s="660" t="s">
        <v>295</v>
      </c>
      <c r="M12" s="660"/>
      <c r="N12" s="660" t="s">
        <v>204</v>
      </c>
      <c r="O12" s="660"/>
      <c r="P12" s="660" t="s">
        <v>204</v>
      </c>
      <c r="Q12" s="35"/>
      <c r="R12" s="35"/>
      <c r="S12" s="35"/>
      <c r="T12" s="35"/>
      <c r="U12" s="35"/>
    </row>
    <row r="13" spans="1:29" x14ac:dyDescent="0.2">
      <c r="A13" s="661" t="s">
        <v>205</v>
      </c>
      <c r="B13" s="661"/>
      <c r="C13" s="658"/>
      <c r="D13" s="659" t="s">
        <v>227</v>
      </c>
      <c r="E13" s="658"/>
      <c r="F13" s="662" t="s">
        <v>296</v>
      </c>
      <c r="G13" s="658"/>
      <c r="H13" s="659" t="s">
        <v>229</v>
      </c>
      <c r="I13" s="658"/>
      <c r="J13" s="662" t="s">
        <v>297</v>
      </c>
      <c r="K13" s="658"/>
      <c r="L13" s="659" t="s">
        <v>255</v>
      </c>
      <c r="M13" s="658"/>
      <c r="N13" s="662" t="s">
        <v>298</v>
      </c>
      <c r="O13" s="658"/>
      <c r="P13" s="662" t="s">
        <v>299</v>
      </c>
      <c r="Q13" s="35"/>
      <c r="R13" s="35"/>
      <c r="S13" s="35"/>
      <c r="T13" s="35"/>
      <c r="U13" s="35"/>
      <c r="V13" s="95" t="s">
        <v>444</v>
      </c>
      <c r="AC13" s="95" t="s">
        <v>202</v>
      </c>
    </row>
    <row r="14" spans="1:29" x14ac:dyDescent="0.2">
      <c r="A14" s="658"/>
      <c r="B14" s="658"/>
      <c r="C14" s="658"/>
      <c r="D14" s="658"/>
      <c r="E14" s="658"/>
      <c r="F14" s="663">
        <f>L32</f>
        <v>0.4259</v>
      </c>
      <c r="G14" s="663"/>
      <c r="H14" s="663"/>
      <c r="I14" s="663"/>
      <c r="J14" s="663">
        <f>L34</f>
        <v>0.31090000000000001</v>
      </c>
      <c r="K14" s="663"/>
      <c r="L14" s="663"/>
      <c r="M14" s="663"/>
      <c r="N14" s="663">
        <f>L36</f>
        <v>0.26319999999999999</v>
      </c>
      <c r="O14" s="663"/>
      <c r="P14" s="664" t="s">
        <v>300</v>
      </c>
      <c r="Q14" s="35"/>
      <c r="R14" s="35"/>
      <c r="S14" s="35"/>
      <c r="T14" s="35"/>
      <c r="U14" s="35"/>
      <c r="V14" s="95" t="s">
        <v>301</v>
      </c>
      <c r="W14" s="95" t="s">
        <v>193</v>
      </c>
      <c r="X14" s="155">
        <f>+F14</f>
        <v>0.4259</v>
      </c>
      <c r="Y14" s="95" t="s">
        <v>191</v>
      </c>
      <c r="Z14" s="155">
        <f>+J14</f>
        <v>0.31090000000000001</v>
      </c>
      <c r="AA14" s="95" t="s">
        <v>295</v>
      </c>
      <c r="AB14" s="155">
        <f>+N14</f>
        <v>0.26319999999999999</v>
      </c>
      <c r="AC14" s="95" t="s">
        <v>204</v>
      </c>
    </row>
    <row r="15" spans="1:29" ht="12.75" customHeight="1" x14ac:dyDescent="0.2">
      <c r="A15" s="658"/>
      <c r="B15" s="658"/>
      <c r="C15" s="658"/>
      <c r="D15" s="658"/>
      <c r="E15" s="658"/>
      <c r="F15" s="658"/>
      <c r="G15" s="658"/>
      <c r="H15" s="658"/>
      <c r="I15" s="658"/>
      <c r="J15" s="658"/>
      <c r="K15" s="658"/>
      <c r="L15" s="658"/>
      <c r="M15" s="658"/>
      <c r="N15" s="658"/>
      <c r="O15" s="658"/>
      <c r="P15" s="658"/>
      <c r="Q15" s="35"/>
      <c r="R15" s="35"/>
      <c r="S15" s="35"/>
      <c r="T15" s="35"/>
      <c r="U15" s="35"/>
    </row>
    <row r="16" spans="1:29" x14ac:dyDescent="0.2">
      <c r="A16" s="658" t="s">
        <v>208</v>
      </c>
      <c r="B16" s="658"/>
      <c r="C16" s="658"/>
      <c r="D16" s="663">
        <f>'F 1-2'!$M$38</f>
        <v>0.51190000000000002</v>
      </c>
      <c r="E16" s="663"/>
      <c r="F16" s="663">
        <f>ROUND(+$F$14*D16,4)</f>
        <v>0.218</v>
      </c>
      <c r="G16" s="663"/>
      <c r="H16" s="663">
        <f>'F 3-4'!$P$17</f>
        <v>0.46989999999999998</v>
      </c>
      <c r="I16" s="663"/>
      <c r="J16" s="663">
        <f>ROUND(+$J$14*H16,4)</f>
        <v>0.14610000000000001</v>
      </c>
      <c r="K16" s="663"/>
      <c r="L16" s="663">
        <f>'F 3-4'!$R$45</f>
        <v>0.46920000000000001</v>
      </c>
      <c r="M16" s="663"/>
      <c r="N16" s="663">
        <f>ROUND(+$N$14*L16,4)</f>
        <v>0.1235</v>
      </c>
      <c r="O16" s="663"/>
      <c r="P16" s="663">
        <f>N16+F16+J16</f>
        <v>0.48760000000000003</v>
      </c>
      <c r="Q16" s="35"/>
      <c r="R16" s="35"/>
      <c r="S16" s="35"/>
      <c r="T16" s="35"/>
      <c r="U16" s="35"/>
      <c r="V16" s="36" t="s">
        <v>302</v>
      </c>
      <c r="W16" s="95">
        <f>'F 1-2'!$G$36-'F 1-2'!$G$43-'F 1-2'!$G$44</f>
        <v>0.56789999999999996</v>
      </c>
      <c r="X16" s="189">
        <f>ROUND(+W16*$F$14,4)</f>
        <v>0.2419</v>
      </c>
      <c r="Y16" s="95">
        <f>'F 3-4'!$F$15-'F 3-4'!$F$22-'F 3-4'!$F$23</f>
        <v>0.5212</v>
      </c>
      <c r="Z16" s="189">
        <f>ROUND(Y16*$J$14,4)</f>
        <v>0.16200000000000001</v>
      </c>
      <c r="AA16" s="95">
        <f>'F 3-4'!$H$43-'F 3-4'!$H$50-'F 3-4'!$H$51</f>
        <v>0.34550000000000003</v>
      </c>
      <c r="AB16" s="189">
        <f>AA16*$N$14</f>
        <v>9.0935600000000005E-2</v>
      </c>
      <c r="AC16" s="155">
        <f>X16+Z16+AB16</f>
        <v>0.49483560000000004</v>
      </c>
    </row>
    <row r="17" spans="1:29" x14ac:dyDescent="0.2">
      <c r="A17" s="658" t="s">
        <v>209</v>
      </c>
      <c r="B17" s="658"/>
      <c r="C17" s="658"/>
      <c r="D17" s="663">
        <f>'F 1-2'!$M$39</f>
        <v>0.30609999999999998</v>
      </c>
      <c r="E17" s="663"/>
      <c r="F17" s="663">
        <f t="shared" ref="F17:F22" si="0">ROUND(+$F$14*D17,4)</f>
        <v>0.13039999999999999</v>
      </c>
      <c r="G17" s="663"/>
      <c r="H17" s="663">
        <f>'F 3-4'!$P$18</f>
        <v>0.28089999999999998</v>
      </c>
      <c r="I17" s="663"/>
      <c r="J17" s="663">
        <f t="shared" ref="J17:J22" si="1">ROUND(+$J$14*H17,4)</f>
        <v>8.7300000000000003E-2</v>
      </c>
      <c r="K17" s="663"/>
      <c r="L17" s="663">
        <f>'F 3-4'!$R$46</f>
        <v>0.28410000000000002</v>
      </c>
      <c r="M17" s="663"/>
      <c r="N17" s="663">
        <f t="shared" ref="N17:N22" si="2">ROUND(+$N$14*L17,4)</f>
        <v>7.4800000000000005E-2</v>
      </c>
      <c r="O17" s="663"/>
      <c r="P17" s="663">
        <f t="shared" ref="P17:P22" si="3">N17+F17+J17</f>
        <v>0.29249999999999998</v>
      </c>
      <c r="Q17" s="35"/>
      <c r="R17" s="35"/>
      <c r="S17" s="35"/>
      <c r="T17" s="35"/>
      <c r="U17" s="35"/>
      <c r="V17" s="36" t="s">
        <v>303</v>
      </c>
      <c r="W17" s="95">
        <f>'F 1-2'!$K$36</f>
        <v>0.42859999999999998</v>
      </c>
      <c r="X17" s="189">
        <f>ROUND(+W17*$F$14,4)</f>
        <v>0.1825</v>
      </c>
      <c r="Y17" s="95">
        <f>'F 3-4'!$J$15</f>
        <v>0.39329999999999998</v>
      </c>
      <c r="Z17" s="189">
        <f>ROUND(Y17*$J$14,4)</f>
        <v>0.12230000000000001</v>
      </c>
      <c r="AB17" s="189">
        <f>AA17*$N$14</f>
        <v>0</v>
      </c>
      <c r="AC17" s="189">
        <f>X17+Z17+AB17</f>
        <v>0.30480000000000002</v>
      </c>
    </row>
    <row r="18" spans="1:29" x14ac:dyDescent="0.2">
      <c r="A18" s="658" t="s">
        <v>210</v>
      </c>
      <c r="B18" s="658"/>
      <c r="C18" s="658"/>
      <c r="D18" s="663">
        <f>'F 1-2'!$M$40</f>
        <v>4.9099999999999998E-2</v>
      </c>
      <c r="E18" s="663"/>
      <c r="F18" s="665">
        <f t="shared" si="0"/>
        <v>2.0899999999999998E-2</v>
      </c>
      <c r="G18" s="663"/>
      <c r="H18" s="663">
        <f>'F 3-4'!$P$19</f>
        <v>4.5100000000000001E-2</v>
      </c>
      <c r="I18" s="663"/>
      <c r="J18" s="663">
        <f t="shared" si="1"/>
        <v>1.4E-2</v>
      </c>
      <c r="K18" s="663"/>
      <c r="L18" s="663">
        <f>'F 3-4'!$R$47</f>
        <v>3.9300000000000002E-2</v>
      </c>
      <c r="M18" s="663"/>
      <c r="N18" s="663">
        <f t="shared" si="2"/>
        <v>1.03E-2</v>
      </c>
      <c r="O18" s="663"/>
      <c r="P18" s="663">
        <f t="shared" si="3"/>
        <v>4.5199999999999997E-2</v>
      </c>
      <c r="Q18" s="35"/>
      <c r="R18" s="35"/>
      <c r="S18" s="35"/>
      <c r="T18" s="35"/>
      <c r="U18" s="35"/>
      <c r="V18" s="36" t="s">
        <v>304</v>
      </c>
      <c r="X18" s="189">
        <f>ROUND(+W18*$F$14,4)</f>
        <v>0</v>
      </c>
      <c r="Z18" s="189">
        <f>ROUND(Y18*$J$14,4)</f>
        <v>0</v>
      </c>
      <c r="AA18" s="190">
        <f>'F 3-4'!$L$43</f>
        <v>0.52139999999999997</v>
      </c>
      <c r="AB18" s="189">
        <f>AA18*$N$14</f>
        <v>0.13723247999999999</v>
      </c>
      <c r="AC18" s="189">
        <f>X18+Z18+AB18</f>
        <v>0.13723247999999999</v>
      </c>
    </row>
    <row r="19" spans="1:29" x14ac:dyDescent="0.2">
      <c r="A19" s="658" t="s">
        <v>214</v>
      </c>
      <c r="B19" s="658"/>
      <c r="C19" s="658"/>
      <c r="D19" s="663">
        <f>'F 1-2'!$M$41</f>
        <v>9.7399999999999987E-2</v>
      </c>
      <c r="E19" s="663"/>
      <c r="F19" s="663">
        <f t="shared" si="0"/>
        <v>4.1500000000000002E-2</v>
      </c>
      <c r="G19" s="663"/>
      <c r="H19" s="663">
        <f>'F 3-4'!$P$20</f>
        <v>8.929999999999999E-2</v>
      </c>
      <c r="I19" s="663"/>
      <c r="J19" s="663">
        <f t="shared" si="1"/>
        <v>2.7799999999999998E-2</v>
      </c>
      <c r="K19" s="663"/>
      <c r="L19" s="663">
        <f>'F 3-4'!$R$48</f>
        <v>7.4300000000000005E-2</v>
      </c>
      <c r="M19" s="663"/>
      <c r="N19" s="665">
        <f t="shared" si="2"/>
        <v>1.9599999999999999E-2</v>
      </c>
      <c r="O19" s="663"/>
      <c r="P19" s="663">
        <f t="shared" si="3"/>
        <v>8.8900000000000007E-2</v>
      </c>
      <c r="Q19" s="35"/>
      <c r="R19" s="35"/>
      <c r="S19" s="35"/>
      <c r="T19" s="35"/>
      <c r="U19" s="35"/>
      <c r="V19" s="36" t="s">
        <v>305</v>
      </c>
      <c r="W19" s="95">
        <f>'F 1-2'!$M$43</f>
        <v>1.6000000000000001E-3</v>
      </c>
      <c r="X19" s="189">
        <f>ROUND(+W19*$F$14,4)</f>
        <v>6.9999999999999999E-4</v>
      </c>
      <c r="Y19" s="95">
        <f>'F 3-4'!$P$22</f>
        <v>3.95E-2</v>
      </c>
      <c r="Z19" s="189">
        <f>ROUND(Y19*$J$14,4)</f>
        <v>1.23E-2</v>
      </c>
      <c r="AA19" s="95">
        <f>'F 3-4'!$R$50</f>
        <v>6.1499999999999999E-2</v>
      </c>
      <c r="AB19" s="189">
        <f>AA19*$N$14</f>
        <v>1.6186799999999998E-2</v>
      </c>
      <c r="AC19" s="189">
        <f>X19+Z19+AB19</f>
        <v>2.9186799999999999E-2</v>
      </c>
    </row>
    <row r="20" spans="1:29" x14ac:dyDescent="0.2">
      <c r="A20" s="658" t="s">
        <v>333</v>
      </c>
      <c r="B20" s="658"/>
      <c r="C20" s="658"/>
      <c r="D20" s="663">
        <f>'F 1-2'!$M$42</f>
        <v>3.2000000000000001E-2</v>
      </c>
      <c r="E20" s="663"/>
      <c r="F20" s="663">
        <f t="shared" si="0"/>
        <v>1.3599999999999999E-2</v>
      </c>
      <c r="G20" s="663"/>
      <c r="H20" s="663">
        <f>'F 3-4'!$P$21</f>
        <v>2.93E-2</v>
      </c>
      <c r="I20" s="663"/>
      <c r="J20" s="663">
        <f>ROUND(+$J$14*H20,4)</f>
        <v>9.1000000000000004E-3</v>
      </c>
      <c r="K20" s="663"/>
      <c r="L20" s="663">
        <f>'F 3-4'!$R$49</f>
        <v>0</v>
      </c>
      <c r="M20" s="663"/>
      <c r="N20" s="663">
        <f t="shared" si="2"/>
        <v>0</v>
      </c>
      <c r="O20" s="663"/>
      <c r="P20" s="663">
        <f t="shared" si="3"/>
        <v>2.2699999999999998E-2</v>
      </c>
      <c r="Q20" s="35"/>
      <c r="R20" s="35"/>
      <c r="S20" s="35"/>
      <c r="T20" s="35"/>
      <c r="U20" s="35"/>
      <c r="V20" s="36" t="s">
        <v>306</v>
      </c>
      <c r="W20" s="95">
        <f>'F 1-2'!$M$44</f>
        <v>1.9E-3</v>
      </c>
      <c r="X20" s="189">
        <f>ROUND(+W20*$F$14,4)</f>
        <v>8.0000000000000004E-4</v>
      </c>
      <c r="Y20" s="95">
        <f>'F 3-4'!$P$23</f>
        <v>4.5999999999999999E-2</v>
      </c>
      <c r="Z20" s="189">
        <f>ROUND(Y20*$J$14,4)</f>
        <v>1.43E-2</v>
      </c>
      <c r="AA20" s="95">
        <f>'F 3-4'!$R$51</f>
        <v>7.1600000000000011E-2</v>
      </c>
      <c r="AB20" s="189">
        <f>AA20*$N$14</f>
        <v>1.8845120000000003E-2</v>
      </c>
      <c r="AC20" s="189">
        <f>X20+Z20+AB20</f>
        <v>3.3945120000000002E-2</v>
      </c>
    </row>
    <row r="21" spans="1:29" x14ac:dyDescent="0.2">
      <c r="A21" s="658" t="s">
        <v>216</v>
      </c>
      <c r="B21" s="658"/>
      <c r="C21" s="658"/>
      <c r="D21" s="663">
        <f>'F 1-2'!$M$43</f>
        <v>1.6000000000000001E-3</v>
      </c>
      <c r="E21" s="663"/>
      <c r="F21" s="663">
        <f t="shared" si="0"/>
        <v>6.9999999999999999E-4</v>
      </c>
      <c r="G21" s="663"/>
      <c r="H21" s="663">
        <f>'F 3-4'!$P$22</f>
        <v>3.95E-2</v>
      </c>
      <c r="I21" s="663"/>
      <c r="J21" s="663">
        <f>ROUND(+$J$14*H21,4)</f>
        <v>1.23E-2</v>
      </c>
      <c r="K21" s="663"/>
      <c r="L21" s="663">
        <f>'F 3-4'!$R$50</f>
        <v>6.1499999999999999E-2</v>
      </c>
      <c r="M21" s="663"/>
      <c r="N21" s="663">
        <f t="shared" si="2"/>
        <v>1.6199999999999999E-2</v>
      </c>
      <c r="O21" s="663"/>
      <c r="P21" s="663">
        <f t="shared" si="3"/>
        <v>2.9199999999999997E-2</v>
      </c>
      <c r="Q21" s="35"/>
      <c r="R21" s="35"/>
      <c r="S21" s="35"/>
      <c r="T21" s="35"/>
      <c r="U21" s="35"/>
      <c r="V21" s="36"/>
      <c r="W21" s="36"/>
      <c r="X21" s="36"/>
      <c r="Y21" s="36"/>
      <c r="Z21" s="36"/>
      <c r="AA21" s="36"/>
      <c r="AB21" s="36"/>
      <c r="AC21" s="36"/>
    </row>
    <row r="22" spans="1:29" x14ac:dyDescent="0.2">
      <c r="A22" s="658" t="s">
        <v>217</v>
      </c>
      <c r="B22" s="658"/>
      <c r="C22" s="658"/>
      <c r="D22" s="663">
        <f>'F 1-2'!$M$44</f>
        <v>1.9E-3</v>
      </c>
      <c r="E22" s="663"/>
      <c r="F22" s="663">
        <f t="shared" si="0"/>
        <v>8.0000000000000004E-4</v>
      </c>
      <c r="G22" s="663"/>
      <c r="H22" s="663">
        <f>'F 3-4'!$P$23</f>
        <v>4.5999999999999999E-2</v>
      </c>
      <c r="I22" s="663"/>
      <c r="J22" s="663">
        <f t="shared" si="1"/>
        <v>1.43E-2</v>
      </c>
      <c r="K22" s="663"/>
      <c r="L22" s="663">
        <f>'F 3-4'!$R$51</f>
        <v>7.1600000000000011E-2</v>
      </c>
      <c r="M22" s="663"/>
      <c r="N22" s="663">
        <f t="shared" si="2"/>
        <v>1.8800000000000001E-2</v>
      </c>
      <c r="O22" s="663"/>
      <c r="P22" s="663">
        <f t="shared" si="3"/>
        <v>3.39E-2</v>
      </c>
      <c r="Q22" s="35"/>
      <c r="R22" s="35"/>
      <c r="S22" s="35"/>
      <c r="T22" s="35"/>
      <c r="U22" s="35"/>
      <c r="V22" s="36"/>
      <c r="W22" s="189">
        <f t="shared" ref="W22:AC22" si="4">SUM(W16:W21)</f>
        <v>1</v>
      </c>
      <c r="X22" s="189">
        <f t="shared" si="4"/>
        <v>0.4259</v>
      </c>
      <c r="Y22" s="189">
        <f t="shared" si="4"/>
        <v>1</v>
      </c>
      <c r="Z22" s="189">
        <f t="shared" si="4"/>
        <v>0.31089999999999995</v>
      </c>
      <c r="AA22" s="189">
        <f t="shared" si="4"/>
        <v>1</v>
      </c>
      <c r="AB22" s="189">
        <f t="shared" si="4"/>
        <v>0.26319999999999999</v>
      </c>
      <c r="AC22" s="189">
        <f t="shared" si="4"/>
        <v>1</v>
      </c>
    </row>
    <row r="23" spans="1:29" x14ac:dyDescent="0.2">
      <c r="A23" s="658"/>
      <c r="B23" s="658"/>
      <c r="C23" s="658"/>
      <c r="D23" s="666"/>
      <c r="E23" s="663"/>
      <c r="F23" s="666"/>
      <c r="G23" s="663"/>
      <c r="H23" s="666"/>
      <c r="I23" s="663"/>
      <c r="J23" s="666"/>
      <c r="K23" s="663"/>
      <c r="L23" s="666"/>
      <c r="M23" s="663"/>
      <c r="N23" s="666"/>
      <c r="O23" s="663"/>
      <c r="P23" s="666"/>
      <c r="Q23" s="35"/>
      <c r="R23" s="35"/>
      <c r="S23" s="35"/>
      <c r="T23" s="35"/>
      <c r="U23" s="35"/>
    </row>
    <row r="24" spans="1:29" ht="15.75" thickBot="1" x14ac:dyDescent="0.25">
      <c r="A24" s="658" t="s">
        <v>218</v>
      </c>
      <c r="B24" s="658"/>
      <c r="C24" s="658"/>
      <c r="D24" s="663">
        <f>SUM(D16:D23)</f>
        <v>1.0000000000000002</v>
      </c>
      <c r="E24" s="663"/>
      <c r="F24" s="667">
        <f>SUM(F16:F23)</f>
        <v>0.42589999999999995</v>
      </c>
      <c r="G24" s="663"/>
      <c r="H24" s="663">
        <f>SUM(H16:H23)</f>
        <v>1</v>
      </c>
      <c r="I24" s="663"/>
      <c r="J24" s="663">
        <f>SUM(J16:J23)</f>
        <v>0.31089999999999995</v>
      </c>
      <c r="K24" s="663"/>
      <c r="L24" s="663">
        <f>SUM(L16:L23)</f>
        <v>1.0000000000000002</v>
      </c>
      <c r="M24" s="663"/>
      <c r="N24" s="663">
        <f>SUM(N16:N23)</f>
        <v>0.26319999999999999</v>
      </c>
      <c r="O24" s="663"/>
      <c r="P24" s="663">
        <f>SUM(P16:P23)</f>
        <v>1</v>
      </c>
      <c r="Q24" s="35"/>
      <c r="R24" s="35"/>
      <c r="S24" s="35"/>
      <c r="T24" s="35"/>
      <c r="U24" s="35"/>
    </row>
    <row r="25" spans="1:29" ht="15.75" thickTop="1" x14ac:dyDescent="0.2">
      <c r="A25" s="658"/>
      <c r="B25" s="658"/>
      <c r="C25" s="658"/>
      <c r="D25" s="668"/>
      <c r="E25" s="658"/>
      <c r="F25" s="669"/>
      <c r="G25" s="658"/>
      <c r="H25" s="668"/>
      <c r="I25" s="658"/>
      <c r="J25" s="668"/>
      <c r="K25" s="658"/>
      <c r="L25" s="668"/>
      <c r="M25" s="658"/>
      <c r="N25" s="668"/>
      <c r="O25" s="658"/>
      <c r="P25" s="668"/>
      <c r="Q25" s="35"/>
      <c r="R25" s="35"/>
      <c r="S25" s="35"/>
      <c r="T25" s="35"/>
      <c r="U25" s="35"/>
    </row>
    <row r="26" spans="1:29" x14ac:dyDescent="0.2">
      <c r="A26" s="658"/>
      <c r="B26" s="658"/>
      <c r="C26" s="658"/>
      <c r="D26" s="658"/>
      <c r="E26" s="658"/>
      <c r="F26" s="658"/>
      <c r="G26" s="658"/>
      <c r="H26" s="658"/>
      <c r="I26" s="658"/>
      <c r="J26" s="658"/>
      <c r="K26" s="658"/>
      <c r="L26" s="658"/>
      <c r="M26" s="658"/>
      <c r="N26" s="658"/>
      <c r="O26" s="658"/>
      <c r="P26" s="658"/>
      <c r="Q26" s="35"/>
      <c r="R26" s="35"/>
      <c r="S26" s="35"/>
      <c r="T26" s="35"/>
      <c r="U26" s="35"/>
    </row>
    <row r="27" spans="1:29" ht="29.85" customHeight="1" x14ac:dyDescent="0.2">
      <c r="A27" s="861" t="s">
        <v>307</v>
      </c>
      <c r="B27" s="861"/>
      <c r="C27" s="861"/>
      <c r="D27" s="861"/>
      <c r="E27" s="861"/>
      <c r="F27" s="861"/>
      <c r="G27" s="861"/>
      <c r="H27" s="861"/>
      <c r="I27" s="861"/>
      <c r="J27" s="861"/>
      <c r="K27" s="861"/>
      <c r="L27" s="861"/>
      <c r="M27" s="861"/>
      <c r="N27" s="861"/>
      <c r="O27" s="861"/>
      <c r="P27" s="861"/>
      <c r="Q27" s="35"/>
      <c r="R27" s="35"/>
      <c r="S27" s="35"/>
      <c r="T27" s="35"/>
      <c r="U27" s="35"/>
    </row>
    <row r="28" spans="1:29" x14ac:dyDescent="0.2">
      <c r="A28" s="658"/>
      <c r="B28" s="658"/>
      <c r="C28" s="658"/>
      <c r="D28" s="658"/>
      <c r="E28" s="658"/>
      <c r="F28" s="658"/>
      <c r="G28" s="658"/>
      <c r="H28" s="670"/>
      <c r="I28" s="658"/>
      <c r="J28" s="658"/>
      <c r="K28" s="658"/>
      <c r="L28" s="658"/>
      <c r="M28" s="658"/>
      <c r="N28" s="658"/>
      <c r="O28" s="658"/>
      <c r="P28" s="658"/>
      <c r="Q28" s="35"/>
      <c r="R28" s="35"/>
      <c r="S28" s="35"/>
      <c r="T28" s="35"/>
      <c r="U28" s="35"/>
      <c r="AA28" s="236"/>
    </row>
    <row r="29" spans="1:29" x14ac:dyDescent="0.2">
      <c r="A29" s="658"/>
      <c r="B29" s="658"/>
      <c r="C29" s="658"/>
      <c r="D29" s="658"/>
      <c r="E29" s="658"/>
      <c r="F29" s="671"/>
      <c r="G29" s="660"/>
      <c r="H29" s="660" t="s">
        <v>308</v>
      </c>
      <c r="I29" s="660"/>
      <c r="J29" s="671"/>
      <c r="K29" s="660"/>
      <c r="L29" s="660"/>
      <c r="M29" s="660"/>
      <c r="N29" s="660"/>
      <c r="O29" s="658"/>
      <c r="P29" s="658"/>
      <c r="Q29" s="227"/>
      <c r="R29" s="227"/>
      <c r="S29" s="227"/>
      <c r="T29" s="227"/>
      <c r="U29" s="227"/>
      <c r="V29" s="228"/>
      <c r="W29" s="228"/>
      <c r="X29" s="228"/>
      <c r="Y29" s="228"/>
      <c r="Z29" s="228"/>
    </row>
    <row r="30" spans="1:29" x14ac:dyDescent="0.2">
      <c r="A30" s="658"/>
      <c r="B30" s="658"/>
      <c r="C30" s="658"/>
      <c r="D30" s="658"/>
      <c r="E30" s="658"/>
      <c r="F30" s="671"/>
      <c r="G30" s="660"/>
      <c r="H30" s="660" t="s">
        <v>309</v>
      </c>
      <c r="I30" s="660"/>
      <c r="J30" s="671"/>
      <c r="K30" s="660"/>
      <c r="L30" s="660" t="s">
        <v>245</v>
      </c>
      <c r="M30" s="660"/>
      <c r="N30" s="671"/>
      <c r="O30" s="658"/>
      <c r="P30" s="658"/>
      <c r="Q30" s="227"/>
      <c r="R30" s="227"/>
      <c r="S30" s="227"/>
      <c r="T30" s="227"/>
      <c r="U30" s="227"/>
      <c r="V30" s="228"/>
      <c r="W30" s="228"/>
      <c r="X30" s="228"/>
      <c r="Y30" s="228"/>
      <c r="Z30" s="228"/>
    </row>
    <row r="31" spans="1:29" x14ac:dyDescent="0.2">
      <c r="A31" s="658"/>
      <c r="B31" s="658"/>
      <c r="C31" s="658"/>
      <c r="D31" s="658"/>
      <c r="E31" s="658"/>
      <c r="F31" s="671"/>
      <c r="G31" s="658"/>
      <c r="H31" s="672"/>
      <c r="I31" s="658"/>
      <c r="J31" s="671"/>
      <c r="K31" s="658"/>
      <c r="L31" s="672"/>
      <c r="M31" s="658"/>
      <c r="N31" s="671"/>
      <c r="O31" s="658"/>
      <c r="P31" s="658"/>
      <c r="Q31" s="227"/>
      <c r="R31" s="227"/>
      <c r="S31" s="227"/>
      <c r="T31" s="227"/>
      <c r="U31" s="227"/>
      <c r="V31" s="228"/>
      <c r="W31" s="228"/>
      <c r="X31" s="228"/>
      <c r="Y31" s="228"/>
      <c r="Z31" s="228"/>
    </row>
    <row r="32" spans="1:29" x14ac:dyDescent="0.2">
      <c r="A32" s="658" t="s">
        <v>310</v>
      </c>
      <c r="B32" s="671"/>
      <c r="C32" s="658"/>
      <c r="D32" s="658"/>
      <c r="E32" s="658"/>
      <c r="F32" s="671"/>
      <c r="G32" s="658"/>
      <c r="H32" s="673">
        <f>+Pumps!I35</f>
        <v>10200</v>
      </c>
      <c r="I32" s="658"/>
      <c r="J32" s="671"/>
      <c r="K32" s="658"/>
      <c r="L32" s="663">
        <f>ROUND(+H32/H38,4)</f>
        <v>0.4259</v>
      </c>
      <c r="M32" s="658"/>
      <c r="N32" s="671"/>
      <c r="O32" s="658"/>
      <c r="P32" s="658"/>
      <c r="Q32" s="227"/>
      <c r="R32" s="227"/>
      <c r="S32" s="227"/>
      <c r="T32" s="227"/>
      <c r="U32" s="227"/>
      <c r="V32" s="228"/>
      <c r="W32" s="228"/>
      <c r="X32" s="228"/>
      <c r="Y32" s="228"/>
      <c r="Z32" s="228"/>
    </row>
    <row r="33" spans="1:26" x14ac:dyDescent="0.2">
      <c r="A33" s="658"/>
      <c r="B33" s="671"/>
      <c r="C33" s="658"/>
      <c r="D33" s="658"/>
      <c r="E33" s="658"/>
      <c r="F33" s="671"/>
      <c r="G33" s="658"/>
      <c r="H33" s="673"/>
      <c r="I33" s="658"/>
      <c r="J33" s="671"/>
      <c r="K33" s="658"/>
      <c r="L33" s="663"/>
      <c r="M33" s="658"/>
      <c r="N33" s="671"/>
      <c r="O33" s="658"/>
      <c r="P33" s="658"/>
      <c r="Q33" s="227"/>
      <c r="R33" s="227"/>
      <c r="S33" s="227"/>
      <c r="T33" s="227"/>
      <c r="U33" s="227"/>
      <c r="V33" s="228"/>
      <c r="W33" s="228"/>
      <c r="X33" s="228"/>
      <c r="Y33" s="228"/>
      <c r="Z33" s="228"/>
    </row>
    <row r="34" spans="1:26" x14ac:dyDescent="0.2">
      <c r="A34" s="658" t="s">
        <v>311</v>
      </c>
      <c r="B34" s="671"/>
      <c r="C34" s="658"/>
      <c r="D34" s="658"/>
      <c r="E34" s="658"/>
      <c r="F34" s="671"/>
      <c r="G34" s="658"/>
      <c r="H34" s="673">
        <f>+Pumps!I56</f>
        <v>7447</v>
      </c>
      <c r="I34" s="658"/>
      <c r="J34" s="671"/>
      <c r="K34" s="658"/>
      <c r="L34" s="663">
        <f>ROUND(+H34/H38,4)</f>
        <v>0.31090000000000001</v>
      </c>
      <c r="M34" s="658"/>
      <c r="N34" s="671"/>
      <c r="O34" s="658"/>
      <c r="P34" s="658"/>
      <c r="Q34" s="227"/>
      <c r="R34" s="227"/>
      <c r="S34" s="227"/>
      <c r="T34" s="227"/>
      <c r="U34" s="227"/>
      <c r="V34" s="228"/>
      <c r="W34" s="228"/>
      <c r="X34" s="228"/>
      <c r="Y34" s="228"/>
      <c r="Z34" s="228"/>
    </row>
    <row r="35" spans="1:26" x14ac:dyDescent="0.2">
      <c r="A35" s="658"/>
      <c r="B35" s="671"/>
      <c r="C35" s="658"/>
      <c r="D35" s="658"/>
      <c r="E35" s="658"/>
      <c r="F35" s="671"/>
      <c r="G35" s="658"/>
      <c r="H35" s="673"/>
      <c r="I35" s="658"/>
      <c r="J35" s="671"/>
      <c r="K35" s="658"/>
      <c r="L35" s="663"/>
      <c r="M35" s="658"/>
      <c r="N35" s="671"/>
      <c r="O35" s="658"/>
      <c r="P35" s="658"/>
      <c r="Q35" s="227"/>
      <c r="R35" s="227"/>
      <c r="S35" s="227"/>
      <c r="T35" s="227"/>
      <c r="U35" s="227"/>
      <c r="V35" s="228"/>
      <c r="W35" s="228"/>
      <c r="X35" s="228"/>
      <c r="Y35" s="228"/>
      <c r="Z35" s="228"/>
    </row>
    <row r="36" spans="1:26" x14ac:dyDescent="0.2">
      <c r="A36" s="658" t="s">
        <v>312</v>
      </c>
      <c r="B36" s="671"/>
      <c r="C36" s="658"/>
      <c r="D36" s="658"/>
      <c r="E36" s="658"/>
      <c r="F36" s="671"/>
      <c r="G36" s="658"/>
      <c r="H36" s="673">
        <f>+Pumps!I59</f>
        <v>6305</v>
      </c>
      <c r="I36" s="658"/>
      <c r="J36" s="671"/>
      <c r="K36" s="658"/>
      <c r="L36" s="663">
        <f>ROUND(+H36/H38,4)</f>
        <v>0.26319999999999999</v>
      </c>
      <c r="M36" s="658"/>
      <c r="N36" s="671"/>
      <c r="O36" s="658"/>
      <c r="P36" s="658"/>
      <c r="Q36" s="227"/>
      <c r="R36" s="227"/>
      <c r="S36" s="227"/>
      <c r="T36" s="227"/>
      <c r="U36" s="227"/>
      <c r="V36" s="228"/>
      <c r="W36" s="228"/>
      <c r="X36" s="228"/>
      <c r="Y36" s="228"/>
      <c r="Z36" s="228"/>
    </row>
    <row r="37" spans="1:26" x14ac:dyDescent="0.2">
      <c r="A37" s="658"/>
      <c r="B37" s="658"/>
      <c r="C37" s="658"/>
      <c r="D37" s="658"/>
      <c r="E37" s="658"/>
      <c r="F37" s="671"/>
      <c r="G37" s="658"/>
      <c r="H37" s="674"/>
      <c r="I37" s="658"/>
      <c r="J37" s="671"/>
      <c r="K37" s="658"/>
      <c r="L37" s="666"/>
      <c r="M37" s="658"/>
      <c r="N37" s="671"/>
      <c r="O37" s="658"/>
      <c r="P37" s="658"/>
      <c r="Q37" s="227"/>
      <c r="R37" s="227"/>
      <c r="S37" s="227"/>
      <c r="T37" s="227"/>
      <c r="U37" s="227"/>
      <c r="V37" s="228"/>
      <c r="W37" s="228"/>
      <c r="X37" s="228"/>
      <c r="Y37" s="228"/>
      <c r="Z37" s="228"/>
    </row>
    <row r="38" spans="1:26" ht="15.75" thickBot="1" x14ac:dyDescent="0.25">
      <c r="A38" s="658"/>
      <c r="B38" s="658" t="s">
        <v>313</v>
      </c>
      <c r="C38" s="658"/>
      <c r="D38" s="658"/>
      <c r="E38" s="658"/>
      <c r="F38" s="671"/>
      <c r="G38" s="658"/>
      <c r="H38" s="675">
        <f>SUM(H32:H37)</f>
        <v>23952</v>
      </c>
      <c r="I38" s="658"/>
      <c r="J38" s="671"/>
      <c r="K38" s="658"/>
      <c r="L38" s="663">
        <f>SUM(L32:L37)</f>
        <v>1</v>
      </c>
      <c r="M38" s="658"/>
      <c r="N38" s="671"/>
      <c r="O38" s="658"/>
      <c r="P38" s="658"/>
      <c r="Q38" s="227"/>
      <c r="R38" s="227"/>
      <c r="S38" s="227"/>
      <c r="T38" s="227"/>
      <c r="U38" s="227"/>
      <c r="V38" s="228"/>
      <c r="W38" s="228"/>
      <c r="X38" s="228"/>
      <c r="Y38" s="228"/>
      <c r="Z38" s="228"/>
    </row>
    <row r="39" spans="1:26" ht="15.75" thickTop="1" x14ac:dyDescent="0.2">
      <c r="A39" s="658"/>
      <c r="B39" s="658"/>
      <c r="C39" s="658"/>
      <c r="D39" s="658"/>
      <c r="E39" s="658"/>
      <c r="F39" s="658"/>
      <c r="G39" s="658"/>
      <c r="H39" s="669"/>
      <c r="I39" s="658"/>
      <c r="J39" s="673"/>
      <c r="K39" s="658"/>
      <c r="L39" s="668"/>
      <c r="M39" s="658"/>
      <c r="N39" s="671"/>
      <c r="O39" s="658"/>
      <c r="P39" s="658"/>
      <c r="Q39" s="227"/>
      <c r="R39" s="227"/>
      <c r="S39" s="227"/>
      <c r="T39" s="227"/>
      <c r="U39" s="227"/>
      <c r="V39" s="228"/>
      <c r="W39" s="228"/>
      <c r="X39" s="228"/>
      <c r="Y39" s="228"/>
      <c r="Z39" s="228"/>
    </row>
    <row r="40" spans="1:26" x14ac:dyDescent="0.2">
      <c r="A40" s="658"/>
      <c r="B40" s="658"/>
      <c r="C40" s="658"/>
      <c r="D40" s="658"/>
      <c r="E40" s="658"/>
      <c r="F40" s="658"/>
      <c r="G40" s="658"/>
      <c r="H40" s="671"/>
      <c r="I40" s="671"/>
      <c r="J40" s="671"/>
      <c r="K40" s="658"/>
      <c r="L40" s="658"/>
      <c r="M40" s="658"/>
      <c r="N40" s="658"/>
      <c r="O40" s="658"/>
      <c r="P40" s="658"/>
      <c r="Q40" s="227"/>
      <c r="R40" s="227"/>
      <c r="S40" s="227"/>
      <c r="T40" s="227"/>
      <c r="U40" s="227"/>
      <c r="V40" s="228"/>
      <c r="W40" s="228"/>
      <c r="X40" s="228"/>
      <c r="Y40" s="228"/>
      <c r="Z40" s="228"/>
    </row>
    <row r="41" spans="1:26" x14ac:dyDescent="0.2">
      <c r="A41" s="15" t="s">
        <v>7</v>
      </c>
      <c r="B41" s="657"/>
      <c r="C41" s="657"/>
      <c r="D41" s="657"/>
      <c r="E41" s="657"/>
      <c r="F41" s="657"/>
      <c r="G41" s="657"/>
      <c r="H41" s="657"/>
      <c r="I41" s="657"/>
      <c r="J41" s="657"/>
      <c r="K41" s="657"/>
      <c r="L41" s="657"/>
      <c r="M41" s="657"/>
      <c r="N41" s="657"/>
      <c r="O41" s="657"/>
      <c r="P41" s="657"/>
      <c r="Q41" s="228"/>
      <c r="R41" s="228"/>
      <c r="S41" s="228"/>
      <c r="T41" s="228"/>
      <c r="U41" s="228"/>
      <c r="V41" s="228"/>
      <c r="W41" s="228"/>
      <c r="X41" s="228"/>
      <c r="Y41" s="228"/>
      <c r="Z41" s="228"/>
    </row>
    <row r="42" spans="1:26" x14ac:dyDescent="0.2">
      <c r="A42" s="543"/>
      <c r="B42" s="657"/>
      <c r="C42" s="657"/>
      <c r="D42" s="657"/>
      <c r="E42" s="657"/>
      <c r="F42" s="657"/>
      <c r="G42" s="657"/>
      <c r="H42" s="657"/>
      <c r="I42" s="657"/>
      <c r="J42" s="657"/>
      <c r="K42" s="657"/>
      <c r="L42" s="657"/>
      <c r="M42" s="657"/>
      <c r="N42" s="657"/>
      <c r="O42" s="657"/>
      <c r="P42" s="657"/>
      <c r="Q42" s="228"/>
      <c r="R42" s="228"/>
      <c r="S42" s="228"/>
      <c r="T42" s="228"/>
      <c r="U42" s="228"/>
      <c r="V42" s="228"/>
      <c r="W42" s="228"/>
      <c r="X42" s="228"/>
      <c r="Y42" s="228"/>
      <c r="Z42" s="228"/>
    </row>
    <row r="43" spans="1:26" x14ac:dyDescent="0.2">
      <c r="A43" s="657" t="s">
        <v>234</v>
      </c>
      <c r="B43" s="657"/>
      <c r="C43" s="657"/>
      <c r="D43" s="657"/>
      <c r="E43" s="657"/>
      <c r="F43" s="657"/>
      <c r="G43" s="657"/>
      <c r="H43" s="657"/>
      <c r="I43" s="657"/>
      <c r="J43" s="657"/>
      <c r="K43" s="657"/>
      <c r="L43" s="657"/>
      <c r="M43" s="657"/>
      <c r="N43" s="657"/>
      <c r="O43" s="657"/>
      <c r="P43" s="657"/>
      <c r="Q43" s="228"/>
      <c r="R43" s="228"/>
      <c r="S43" s="228"/>
      <c r="T43" s="228"/>
      <c r="U43" s="228"/>
      <c r="V43" s="228"/>
      <c r="W43" s="228"/>
      <c r="X43" s="228"/>
      <c r="Y43" s="228"/>
      <c r="Z43" s="228"/>
    </row>
    <row r="44" spans="1:26" x14ac:dyDescent="0.2">
      <c r="A44" s="658"/>
      <c r="B44" s="658"/>
      <c r="C44" s="658"/>
      <c r="D44" s="658"/>
      <c r="E44" s="658"/>
      <c r="F44" s="658"/>
      <c r="G44" s="658"/>
      <c r="H44" s="658"/>
      <c r="I44" s="658"/>
      <c r="J44" s="658"/>
      <c r="K44" s="658"/>
      <c r="L44" s="658"/>
      <c r="M44" s="658"/>
      <c r="N44" s="658"/>
      <c r="O44" s="658"/>
      <c r="P44" s="658"/>
      <c r="Q44" s="228"/>
      <c r="R44" s="228"/>
      <c r="S44" s="228"/>
      <c r="T44" s="228"/>
      <c r="U44" s="228"/>
      <c r="V44" s="228"/>
      <c r="W44" s="228"/>
      <c r="X44" s="228"/>
      <c r="Y44" s="228"/>
      <c r="Z44" s="228"/>
    </row>
    <row r="45" spans="1:26" x14ac:dyDescent="0.2">
      <c r="A45" s="658" t="s">
        <v>160</v>
      </c>
      <c r="B45" s="658"/>
      <c r="C45" s="658"/>
      <c r="D45" s="658"/>
      <c r="E45" s="658"/>
      <c r="F45" s="658"/>
      <c r="G45" s="658"/>
      <c r="H45" s="658"/>
      <c r="I45" s="658"/>
      <c r="J45" s="658"/>
      <c r="K45" s="658"/>
      <c r="L45" s="658"/>
      <c r="M45" s="658"/>
      <c r="N45" s="658"/>
      <c r="O45" s="658"/>
      <c r="P45" s="658"/>
    </row>
    <row r="46" spans="1:26" x14ac:dyDescent="0.2">
      <c r="A46" s="658"/>
      <c r="B46" s="658"/>
      <c r="C46" s="658"/>
      <c r="D46" s="658"/>
      <c r="E46" s="658"/>
      <c r="F46" s="658"/>
      <c r="G46" s="658"/>
      <c r="H46" s="658"/>
      <c r="I46" s="658"/>
      <c r="J46" s="658"/>
      <c r="K46" s="658"/>
      <c r="L46" s="658"/>
      <c r="M46" s="658"/>
      <c r="N46" s="658"/>
      <c r="O46" s="658"/>
      <c r="P46" s="658"/>
    </row>
    <row r="47" spans="1:26" ht="30.2" customHeight="1" x14ac:dyDescent="0.2">
      <c r="A47" s="861" t="s">
        <v>180</v>
      </c>
      <c r="B47" s="861"/>
      <c r="C47" s="861"/>
      <c r="D47" s="861"/>
      <c r="E47" s="861"/>
      <c r="F47" s="861"/>
      <c r="G47" s="861"/>
      <c r="H47" s="861"/>
      <c r="I47" s="861"/>
      <c r="J47" s="861"/>
      <c r="K47" s="861"/>
      <c r="L47" s="861"/>
      <c r="M47" s="861"/>
      <c r="N47" s="861"/>
      <c r="O47" s="861"/>
      <c r="P47" s="861"/>
    </row>
    <row r="48" spans="1:26" x14ac:dyDescent="0.2">
      <c r="A48" s="658"/>
      <c r="B48" s="658"/>
      <c r="C48" s="658"/>
      <c r="D48" s="658"/>
      <c r="E48" s="658"/>
      <c r="F48" s="658"/>
      <c r="G48" s="658"/>
      <c r="H48" s="658"/>
      <c r="I48" s="658"/>
      <c r="J48" s="658"/>
      <c r="K48" s="658"/>
      <c r="L48" s="658"/>
      <c r="M48" s="658"/>
      <c r="N48" s="658"/>
      <c r="O48" s="658"/>
      <c r="P48" s="658"/>
    </row>
    <row r="49" spans="1:29" x14ac:dyDescent="0.2">
      <c r="A49" s="658"/>
      <c r="B49" s="658"/>
      <c r="C49" s="658"/>
      <c r="D49" s="671"/>
      <c r="E49" s="671"/>
      <c r="F49" s="657" t="s">
        <v>291</v>
      </c>
      <c r="G49" s="657"/>
      <c r="H49" s="657"/>
      <c r="I49" s="658"/>
      <c r="J49" s="657" t="s">
        <v>292</v>
      </c>
      <c r="K49" s="657"/>
      <c r="L49" s="657"/>
      <c r="M49" s="658"/>
      <c r="N49" s="658"/>
      <c r="O49" s="671"/>
      <c r="P49" s="671"/>
    </row>
    <row r="50" spans="1:29" x14ac:dyDescent="0.2">
      <c r="A50" s="671"/>
      <c r="B50" s="658"/>
      <c r="C50" s="658"/>
      <c r="D50" s="671"/>
      <c r="E50" s="671"/>
      <c r="F50" s="657" t="s">
        <v>0</v>
      </c>
      <c r="G50" s="657"/>
      <c r="H50" s="657"/>
      <c r="I50" s="658"/>
      <c r="J50" s="657" t="s">
        <v>223</v>
      </c>
      <c r="K50" s="657"/>
      <c r="L50" s="657"/>
      <c r="M50" s="658"/>
      <c r="N50" s="658"/>
      <c r="O50" s="671"/>
      <c r="P50" s="671"/>
    </row>
    <row r="51" spans="1:29" x14ac:dyDescent="0.2">
      <c r="A51" s="671"/>
      <c r="B51" s="657" t="s">
        <v>200</v>
      </c>
      <c r="C51" s="657"/>
      <c r="D51" s="657"/>
      <c r="E51" s="671"/>
      <c r="F51" s="659" t="s">
        <v>202</v>
      </c>
      <c r="G51" s="659"/>
      <c r="H51" s="659" t="s">
        <v>225</v>
      </c>
      <c r="I51" s="660"/>
      <c r="J51" s="659" t="s">
        <v>202</v>
      </c>
      <c r="K51" s="659"/>
      <c r="L51" s="659" t="s">
        <v>225</v>
      </c>
      <c r="M51" s="660"/>
      <c r="N51" s="660" t="s">
        <v>202</v>
      </c>
      <c r="O51" s="671"/>
      <c r="P51" s="671"/>
    </row>
    <row r="52" spans="1:29" x14ac:dyDescent="0.2">
      <c r="A52" s="671"/>
      <c r="B52" s="657" t="s">
        <v>203</v>
      </c>
      <c r="C52" s="657"/>
      <c r="D52" s="657"/>
      <c r="E52" s="671"/>
      <c r="F52" s="660" t="s">
        <v>294</v>
      </c>
      <c r="G52" s="660"/>
      <c r="H52" s="660" t="s">
        <v>204</v>
      </c>
      <c r="I52" s="660"/>
      <c r="J52" s="660" t="s">
        <v>295</v>
      </c>
      <c r="K52" s="660"/>
      <c r="L52" s="660" t="s">
        <v>204</v>
      </c>
      <c r="M52" s="660"/>
      <c r="N52" s="660" t="s">
        <v>204</v>
      </c>
      <c r="O52" s="671"/>
      <c r="P52" s="671"/>
      <c r="AC52" s="95" t="s">
        <v>202</v>
      </c>
    </row>
    <row r="53" spans="1:29" x14ac:dyDescent="0.2">
      <c r="A53" s="671"/>
      <c r="B53" s="661" t="s">
        <v>205</v>
      </c>
      <c r="C53" s="661"/>
      <c r="D53" s="661"/>
      <c r="E53" s="671"/>
      <c r="F53" s="659" t="s">
        <v>227</v>
      </c>
      <c r="G53" s="658"/>
      <c r="H53" s="662" t="s">
        <v>296</v>
      </c>
      <c r="I53" s="658"/>
      <c r="J53" s="659" t="s">
        <v>229</v>
      </c>
      <c r="K53" s="658"/>
      <c r="L53" s="662" t="s">
        <v>297</v>
      </c>
      <c r="M53" s="658"/>
      <c r="N53" s="659" t="s">
        <v>231</v>
      </c>
      <c r="O53" s="671"/>
      <c r="P53" s="671"/>
      <c r="W53" s="95" t="s">
        <v>191</v>
      </c>
      <c r="X53" s="155">
        <f>+H54</f>
        <v>0.20250000000000001</v>
      </c>
      <c r="Y53" s="95" t="s">
        <v>192</v>
      </c>
      <c r="Z53" s="155">
        <f>+L54</f>
        <v>0.79749999999999999</v>
      </c>
      <c r="AC53" s="95" t="s">
        <v>204</v>
      </c>
    </row>
    <row r="54" spans="1:29" x14ac:dyDescent="0.2">
      <c r="A54" s="671"/>
      <c r="B54" s="658"/>
      <c r="C54" s="658"/>
      <c r="D54" s="671"/>
      <c r="E54" s="671"/>
      <c r="F54" s="663"/>
      <c r="G54" s="663"/>
      <c r="H54" s="663">
        <f>N72</f>
        <v>0.20250000000000001</v>
      </c>
      <c r="I54" s="663"/>
      <c r="J54" s="663"/>
      <c r="K54" s="663"/>
      <c r="L54" s="663">
        <f>N74</f>
        <v>0.79749999999999999</v>
      </c>
      <c r="M54" s="663"/>
      <c r="N54" s="664"/>
      <c r="O54" s="671"/>
      <c r="P54" s="671"/>
    </row>
    <row r="55" spans="1:29" x14ac:dyDescent="0.2">
      <c r="A55" s="671"/>
      <c r="B55" s="658"/>
      <c r="C55" s="658"/>
      <c r="D55" s="671"/>
      <c r="E55" s="671"/>
      <c r="F55" s="658"/>
      <c r="G55" s="658"/>
      <c r="H55" s="658"/>
      <c r="I55" s="658"/>
      <c r="J55" s="658"/>
      <c r="K55" s="658"/>
      <c r="L55" s="658"/>
      <c r="M55" s="658"/>
      <c r="N55" s="658"/>
      <c r="O55" s="671"/>
      <c r="P55" s="671"/>
      <c r="V55" s="36" t="s">
        <v>302</v>
      </c>
      <c r="W55" s="95">
        <f>+'F 3-4'!F15-'F 3-4'!F22-'F 3-4'!F23</f>
        <v>0.5212</v>
      </c>
      <c r="X55" s="189">
        <f>ROUND(W55*$H$54,4)+0.0001</f>
        <v>0.1056</v>
      </c>
      <c r="Y55" s="190">
        <f>+'F 3-4'!H43-'F 3-4'!H50-'F 3-4'!H51</f>
        <v>0.34550000000000003</v>
      </c>
      <c r="Z55" s="189">
        <f>ROUND(Y55*$L$54,4)+0.0001</f>
        <v>0.27560000000000001</v>
      </c>
      <c r="AB55" s="189"/>
      <c r="AC55" s="155">
        <f>X55+Z55+AB55-0</f>
        <v>0.38119999999999998</v>
      </c>
    </row>
    <row r="56" spans="1:29" x14ac:dyDescent="0.2">
      <c r="A56" s="671"/>
      <c r="B56" s="658" t="s">
        <v>208</v>
      </c>
      <c r="C56" s="658"/>
      <c r="D56" s="671"/>
      <c r="E56" s="671"/>
      <c r="F56" s="663">
        <f>'F 3-4'!$P$17</f>
        <v>0.46989999999999998</v>
      </c>
      <c r="G56" s="663"/>
      <c r="H56" s="663">
        <f>ROUND($H$54*F56,4)</f>
        <v>9.5200000000000007E-2</v>
      </c>
      <c r="I56" s="663"/>
      <c r="J56" s="663">
        <f>+'F 3-4'!R45</f>
        <v>0.46920000000000001</v>
      </c>
      <c r="K56" s="663"/>
      <c r="L56" s="663">
        <f>ROUND($L$54*J56,4)</f>
        <v>0.37419999999999998</v>
      </c>
      <c r="M56" s="663"/>
      <c r="N56" s="663">
        <f t="shared" ref="N56:N62" si="5">H56+L56</f>
        <v>0.46939999999999998</v>
      </c>
      <c r="O56" s="671"/>
      <c r="P56" s="671"/>
      <c r="V56" s="36" t="s">
        <v>303</v>
      </c>
      <c r="W56" s="95">
        <f>+'F 3-4'!J15</f>
        <v>0.39329999999999998</v>
      </c>
      <c r="X56" s="189">
        <f>ROUND(W56*$H$54,4)</f>
        <v>7.9600000000000004E-2</v>
      </c>
      <c r="Y56" s="190"/>
      <c r="Z56" s="189">
        <f>ROUND(Y56*$L$54,4)</f>
        <v>0</v>
      </c>
      <c r="AB56" s="189"/>
      <c r="AC56" s="189">
        <f>X56+Z56+AB56</f>
        <v>7.9600000000000004E-2</v>
      </c>
    </row>
    <row r="57" spans="1:29" x14ac:dyDescent="0.2">
      <c r="A57" s="671"/>
      <c r="B57" s="658" t="s">
        <v>209</v>
      </c>
      <c r="C57" s="658"/>
      <c r="D57" s="671"/>
      <c r="E57" s="671"/>
      <c r="F57" s="663">
        <f>'F 3-4'!$P$18</f>
        <v>0.28089999999999998</v>
      </c>
      <c r="G57" s="663"/>
      <c r="H57" s="663">
        <f t="shared" ref="H57:H62" si="6">ROUND($H$54*F57,4)</f>
        <v>5.6899999999999999E-2</v>
      </c>
      <c r="I57" s="663"/>
      <c r="J57" s="663">
        <f>+'F 3-4'!R46</f>
        <v>0.28410000000000002</v>
      </c>
      <c r="K57" s="663"/>
      <c r="L57" s="663">
        <f t="shared" ref="L57:L62" si="7">ROUND($L$54*J57,4)</f>
        <v>0.2266</v>
      </c>
      <c r="M57" s="663"/>
      <c r="N57" s="663">
        <f t="shared" si="5"/>
        <v>0.28349999999999997</v>
      </c>
      <c r="O57" s="671"/>
      <c r="P57" s="671"/>
      <c r="V57" s="36" t="s">
        <v>304</v>
      </c>
      <c r="W57" s="95">
        <f>'F 3B 4B'!I16</f>
        <v>0</v>
      </c>
      <c r="X57" s="189">
        <f>ROUND(W57*$H$54,4)</f>
        <v>0</v>
      </c>
      <c r="Y57" s="190">
        <f>+'F 3-4'!L43</f>
        <v>0.52139999999999997</v>
      </c>
      <c r="Z57" s="189">
        <f>ROUND(Y57*$L$54,4)</f>
        <v>0.4158</v>
      </c>
      <c r="AB57" s="189"/>
      <c r="AC57" s="189">
        <f>X57+Z57+AB57</f>
        <v>0.4158</v>
      </c>
    </row>
    <row r="58" spans="1:29" x14ac:dyDescent="0.2">
      <c r="A58" s="671"/>
      <c r="B58" s="658" t="s">
        <v>210</v>
      </c>
      <c r="C58" s="658"/>
      <c r="D58" s="671"/>
      <c r="E58" s="671"/>
      <c r="F58" s="663">
        <f>'F 3-4'!$P$19</f>
        <v>4.5100000000000001E-2</v>
      </c>
      <c r="G58" s="663"/>
      <c r="H58" s="663">
        <f t="shared" si="6"/>
        <v>9.1000000000000004E-3</v>
      </c>
      <c r="I58" s="663"/>
      <c r="J58" s="663">
        <f>+'F 3-4'!R47</f>
        <v>3.9300000000000002E-2</v>
      </c>
      <c r="K58" s="663"/>
      <c r="L58" s="663">
        <f t="shared" si="7"/>
        <v>3.1300000000000001E-2</v>
      </c>
      <c r="M58" s="663"/>
      <c r="N58" s="663">
        <f t="shared" si="5"/>
        <v>4.0400000000000005E-2</v>
      </c>
      <c r="O58" s="671"/>
      <c r="P58" s="671"/>
      <c r="V58" s="36" t="s">
        <v>305</v>
      </c>
      <c r="W58" s="189">
        <f>+'F 3-4'!P22</f>
        <v>3.95E-2</v>
      </c>
      <c r="X58" s="189">
        <f>ROUND(W58*$H$54,4)</f>
        <v>8.0000000000000002E-3</v>
      </c>
      <c r="Y58" s="190">
        <f>+'F 3-4'!R50</f>
        <v>6.1499999999999999E-2</v>
      </c>
      <c r="Z58" s="189">
        <f>ROUND(Y58*$L$54,4)</f>
        <v>4.9000000000000002E-2</v>
      </c>
      <c r="AB58" s="189"/>
      <c r="AC58" s="189">
        <f>X58+Z58+AB58</f>
        <v>5.7000000000000002E-2</v>
      </c>
    </row>
    <row r="59" spans="1:29" x14ac:dyDescent="0.2">
      <c r="A59" s="671"/>
      <c r="B59" s="658" t="s">
        <v>214</v>
      </c>
      <c r="C59" s="658"/>
      <c r="D59" s="671"/>
      <c r="E59" s="671"/>
      <c r="F59" s="663">
        <f>'F 3-4'!$P$20</f>
        <v>8.929999999999999E-2</v>
      </c>
      <c r="G59" s="663"/>
      <c r="H59" s="663">
        <f t="shared" si="6"/>
        <v>1.8100000000000002E-2</v>
      </c>
      <c r="I59" s="663"/>
      <c r="J59" s="663">
        <f>+'F 3-4'!R48</f>
        <v>7.4300000000000005E-2</v>
      </c>
      <c r="K59" s="663"/>
      <c r="L59" s="663">
        <f t="shared" si="7"/>
        <v>5.9299999999999999E-2</v>
      </c>
      <c r="M59" s="663"/>
      <c r="N59" s="663">
        <f t="shared" si="5"/>
        <v>7.7399999999999997E-2</v>
      </c>
      <c r="O59" s="671"/>
      <c r="P59" s="671"/>
      <c r="V59" s="36" t="s">
        <v>306</v>
      </c>
      <c r="W59" s="189">
        <f>+'F 3-4'!P23</f>
        <v>4.5999999999999999E-2</v>
      </c>
      <c r="X59" s="189">
        <f>ROUND(W59*$H$54,4)</f>
        <v>9.2999999999999992E-3</v>
      </c>
      <c r="Y59" s="190">
        <f>+'F 3-4'!R51</f>
        <v>7.1600000000000011E-2</v>
      </c>
      <c r="Z59" s="189">
        <f>ROUND(Y59*$L$54,4)</f>
        <v>5.7099999999999998E-2</v>
      </c>
      <c r="AB59" s="189"/>
      <c r="AC59" s="189">
        <f>X59+Z59+AB59</f>
        <v>6.6400000000000001E-2</v>
      </c>
    </row>
    <row r="60" spans="1:29" x14ac:dyDescent="0.2">
      <c r="A60" s="671"/>
      <c r="B60" s="658" t="s">
        <v>333</v>
      </c>
      <c r="C60" s="658"/>
      <c r="D60" s="671"/>
      <c r="E60" s="671"/>
      <c r="F60" s="663">
        <f>'F 3-4'!$P$21</f>
        <v>2.93E-2</v>
      </c>
      <c r="G60" s="663"/>
      <c r="H60" s="663">
        <f t="shared" si="6"/>
        <v>5.8999999999999999E-3</v>
      </c>
      <c r="I60" s="663"/>
      <c r="J60" s="663">
        <f>+'F 3-4'!R49</f>
        <v>0</v>
      </c>
      <c r="K60" s="663"/>
      <c r="L60" s="663">
        <f t="shared" si="7"/>
        <v>0</v>
      </c>
      <c r="M60" s="663"/>
      <c r="N60" s="663">
        <f t="shared" si="5"/>
        <v>5.8999999999999999E-3</v>
      </c>
      <c r="O60" s="671"/>
      <c r="P60" s="671"/>
      <c r="V60" s="36"/>
      <c r="Y60" s="190"/>
      <c r="Z60" s="189"/>
      <c r="AB60" s="189"/>
      <c r="AC60" s="189"/>
    </row>
    <row r="61" spans="1:29" x14ac:dyDescent="0.2">
      <c r="A61" s="671"/>
      <c r="B61" s="658" t="s">
        <v>216</v>
      </c>
      <c r="C61" s="658"/>
      <c r="D61" s="671"/>
      <c r="E61" s="671"/>
      <c r="F61" s="663">
        <f>'F 3-4'!$P$22</f>
        <v>3.95E-2</v>
      </c>
      <c r="G61" s="663"/>
      <c r="H61" s="663">
        <f t="shared" si="6"/>
        <v>8.0000000000000002E-3</v>
      </c>
      <c r="I61" s="663"/>
      <c r="J61" s="663">
        <f>+'F 3-4'!R50</f>
        <v>6.1499999999999999E-2</v>
      </c>
      <c r="K61" s="663"/>
      <c r="L61" s="663">
        <f t="shared" si="7"/>
        <v>4.9000000000000002E-2</v>
      </c>
      <c r="M61" s="663"/>
      <c r="N61" s="663">
        <f t="shared" si="5"/>
        <v>5.7000000000000002E-2</v>
      </c>
      <c r="O61" s="671"/>
      <c r="P61" s="671"/>
      <c r="V61" s="36"/>
      <c r="W61" s="189">
        <f>SUM(W55:W60)</f>
        <v>1</v>
      </c>
      <c r="X61" s="189">
        <f>SUM(X55:X60)</f>
        <v>0.20250000000000001</v>
      </c>
      <c r="Y61" s="192">
        <f>SUM(Y55:Y60)</f>
        <v>1</v>
      </c>
      <c r="Z61" s="189">
        <f>SUM(Z55:Z60)</f>
        <v>0.7975000000000001</v>
      </c>
      <c r="AA61" s="189"/>
      <c r="AB61" s="189"/>
      <c r="AC61" s="189">
        <f>SUM(AC55:AC60)</f>
        <v>1</v>
      </c>
    </row>
    <row r="62" spans="1:29" x14ac:dyDescent="0.2">
      <c r="A62" s="671"/>
      <c r="B62" s="658" t="s">
        <v>217</v>
      </c>
      <c r="C62" s="658"/>
      <c r="D62" s="671"/>
      <c r="E62" s="671"/>
      <c r="F62" s="663">
        <f>'F 3-4'!$P$23</f>
        <v>4.5999999999999999E-2</v>
      </c>
      <c r="G62" s="663"/>
      <c r="H62" s="663">
        <f t="shared" si="6"/>
        <v>9.2999999999999992E-3</v>
      </c>
      <c r="I62" s="663"/>
      <c r="J62" s="663">
        <f>+'F 3-4'!R51</f>
        <v>7.1600000000000011E-2</v>
      </c>
      <c r="K62" s="663"/>
      <c r="L62" s="663">
        <f t="shared" si="7"/>
        <v>5.7099999999999998E-2</v>
      </c>
      <c r="M62" s="663"/>
      <c r="N62" s="663">
        <f t="shared" si="5"/>
        <v>6.6400000000000001E-2</v>
      </c>
      <c r="O62" s="671"/>
      <c r="P62" s="671"/>
    </row>
    <row r="63" spans="1:29" x14ac:dyDescent="0.2">
      <c r="A63" s="671"/>
      <c r="B63" s="658"/>
      <c r="C63" s="658"/>
      <c r="D63" s="671"/>
      <c r="E63" s="671"/>
      <c r="F63" s="666"/>
      <c r="G63" s="663"/>
      <c r="H63" s="666"/>
      <c r="I63" s="663"/>
      <c r="J63" s="666"/>
      <c r="K63" s="663"/>
      <c r="L63" s="666"/>
      <c r="M63" s="663"/>
      <c r="N63" s="666"/>
      <c r="O63" s="671"/>
      <c r="P63" s="671"/>
    </row>
    <row r="64" spans="1:29" ht="15.75" thickBot="1" x14ac:dyDescent="0.25">
      <c r="A64" s="671"/>
      <c r="B64" s="658" t="s">
        <v>218</v>
      </c>
      <c r="C64" s="658"/>
      <c r="D64" s="671"/>
      <c r="E64" s="671"/>
      <c r="F64" s="663">
        <f>SUM(F56:F63)</f>
        <v>1</v>
      </c>
      <c r="G64" s="663"/>
      <c r="H64" s="663">
        <f>SUM(H56:H63)</f>
        <v>0.20250000000000001</v>
      </c>
      <c r="I64" s="663"/>
      <c r="J64" s="667">
        <f>SUM(J56:J63)</f>
        <v>1.0000000000000002</v>
      </c>
      <c r="K64" s="663"/>
      <c r="L64" s="663">
        <f>SUM(L56:L63)</f>
        <v>0.7975000000000001</v>
      </c>
      <c r="M64" s="663"/>
      <c r="N64" s="663">
        <f>SUM(N56:N63)</f>
        <v>1</v>
      </c>
      <c r="O64" s="671"/>
      <c r="P64" s="671"/>
    </row>
    <row r="65" spans="1:38" ht="15.75" thickTop="1" x14ac:dyDescent="0.2">
      <c r="A65" s="658"/>
      <c r="B65" s="658"/>
      <c r="C65" s="658"/>
      <c r="D65" s="671"/>
      <c r="E65" s="671"/>
      <c r="F65" s="668"/>
      <c r="G65" s="658"/>
      <c r="H65" s="668"/>
      <c r="I65" s="658"/>
      <c r="J65" s="669"/>
      <c r="K65" s="658"/>
      <c r="L65" s="668"/>
      <c r="M65" s="658"/>
      <c r="N65" s="668"/>
      <c r="O65" s="671"/>
      <c r="P65" s="671"/>
    </row>
    <row r="66" spans="1:38" x14ac:dyDescent="0.2">
      <c r="A66" s="658"/>
      <c r="B66" s="658"/>
      <c r="C66" s="658"/>
      <c r="D66" s="658"/>
      <c r="E66" s="658"/>
      <c r="F66" s="658"/>
      <c r="G66" s="658"/>
      <c r="H66" s="658"/>
      <c r="I66" s="658"/>
      <c r="J66" s="658"/>
      <c r="K66" s="658"/>
      <c r="L66" s="658"/>
      <c r="M66" s="658"/>
      <c r="N66" s="658"/>
      <c r="O66" s="658"/>
      <c r="P66" s="658"/>
    </row>
    <row r="67" spans="1:38" ht="29.85" customHeight="1" x14ac:dyDescent="0.2">
      <c r="A67" s="861" t="s">
        <v>314</v>
      </c>
      <c r="B67" s="861"/>
      <c r="C67" s="861"/>
      <c r="D67" s="861"/>
      <c r="E67" s="861"/>
      <c r="F67" s="861"/>
      <c r="G67" s="861"/>
      <c r="H67" s="861"/>
      <c r="I67" s="861"/>
      <c r="J67" s="861"/>
      <c r="K67" s="861"/>
      <c r="L67" s="861"/>
      <c r="M67" s="861"/>
      <c r="N67" s="861"/>
      <c r="O67" s="861"/>
      <c r="P67" s="861"/>
      <c r="Z67" s="383"/>
      <c r="AA67" s="383"/>
      <c r="AB67" s="383"/>
      <c r="AC67" s="383"/>
      <c r="AG67" s="228"/>
    </row>
    <row r="68" spans="1:38" x14ac:dyDescent="0.2">
      <c r="A68" s="658"/>
      <c r="B68" s="658"/>
      <c r="C68" s="658"/>
      <c r="D68" s="658"/>
      <c r="E68" s="658"/>
      <c r="F68" s="658"/>
      <c r="G68" s="658"/>
      <c r="H68" s="658"/>
      <c r="I68" s="658"/>
      <c r="J68" s="658"/>
      <c r="K68" s="658"/>
      <c r="L68" s="658"/>
      <c r="M68" s="658"/>
      <c r="N68" s="658"/>
      <c r="O68" s="658"/>
      <c r="P68" s="658"/>
      <c r="W68" s="374" t="s">
        <v>581</v>
      </c>
      <c r="X68" s="374"/>
      <c r="Y68" s="374"/>
      <c r="Z68" s="384"/>
      <c r="AA68" s="374"/>
      <c r="AB68" s="374"/>
      <c r="AC68" s="374"/>
      <c r="AE68" s="35"/>
      <c r="AF68" s="368"/>
      <c r="AG68" s="59"/>
      <c r="AH68" s="59"/>
      <c r="AJ68" s="374"/>
      <c r="AK68" s="374"/>
      <c r="AL68" s="374"/>
    </row>
    <row r="69" spans="1:38" x14ac:dyDescent="0.2">
      <c r="A69" s="658"/>
      <c r="B69" s="658"/>
      <c r="C69" s="658"/>
      <c r="D69" s="658"/>
      <c r="E69" s="658"/>
      <c r="F69" s="671"/>
      <c r="G69" s="660"/>
      <c r="H69" s="660" t="s">
        <v>315</v>
      </c>
      <c r="I69" s="660"/>
      <c r="J69" s="671"/>
      <c r="K69" s="660"/>
      <c r="L69" s="660"/>
      <c r="M69" s="660"/>
      <c r="N69" s="660"/>
      <c r="O69" s="658"/>
      <c r="P69" s="658"/>
      <c r="W69" s="374" t="s">
        <v>877</v>
      </c>
      <c r="X69" s="374"/>
      <c r="Y69" s="374" t="s">
        <v>878</v>
      </c>
      <c r="Z69" s="384"/>
      <c r="AA69" s="374"/>
      <c r="AB69" s="374"/>
      <c r="AC69" s="374"/>
      <c r="AE69" s="280"/>
      <c r="AF69" s="59"/>
      <c r="AG69" s="59"/>
      <c r="AH69" s="59"/>
      <c r="AJ69" s="386"/>
      <c r="AK69" s="386"/>
      <c r="AL69" s="386"/>
    </row>
    <row r="70" spans="1:38" x14ac:dyDescent="0.2">
      <c r="A70" s="658"/>
      <c r="B70" s="658"/>
      <c r="C70" s="658"/>
      <c r="D70" s="658"/>
      <c r="E70" s="658"/>
      <c r="F70" s="671"/>
      <c r="G70" s="660"/>
      <c r="H70" s="660" t="s">
        <v>316</v>
      </c>
      <c r="I70" s="660"/>
      <c r="J70" s="671"/>
      <c r="K70" s="660"/>
      <c r="L70" s="660"/>
      <c r="M70" s="660"/>
      <c r="N70" s="660" t="s">
        <v>245</v>
      </c>
      <c r="O70" s="658"/>
      <c r="P70" s="658"/>
      <c r="W70" s="235">
        <v>256</v>
      </c>
      <c r="X70" s="235"/>
      <c r="Z70" s="384"/>
      <c r="AA70" s="370"/>
      <c r="AB70" s="370"/>
      <c r="AC70" s="370"/>
      <c r="AE70" s="280"/>
      <c r="AF70" s="230"/>
      <c r="AG70" s="230"/>
      <c r="AH70" s="230"/>
      <c r="AJ70" s="386"/>
      <c r="AK70" s="386"/>
      <c r="AL70" s="386"/>
    </row>
    <row r="71" spans="1:38" x14ac:dyDescent="0.2">
      <c r="A71" s="658"/>
      <c r="B71" s="676"/>
      <c r="C71" s="658"/>
      <c r="D71" s="658"/>
      <c r="E71" s="658"/>
      <c r="F71" s="671"/>
      <c r="G71" s="658"/>
      <c r="H71" s="672"/>
      <c r="I71" s="658"/>
      <c r="J71" s="671"/>
      <c r="K71" s="658"/>
      <c r="L71" s="658"/>
      <c r="M71" s="658"/>
      <c r="N71" s="672"/>
      <c r="O71" s="658"/>
      <c r="P71" s="658"/>
      <c r="W71" s="235">
        <v>368</v>
      </c>
      <c r="X71" s="235"/>
      <c r="Z71" s="384"/>
      <c r="AA71" s="370"/>
      <c r="AB71" s="370"/>
      <c r="AC71" s="370"/>
      <c r="AE71" s="280"/>
      <c r="AF71" s="230"/>
      <c r="AG71" s="230"/>
      <c r="AH71" s="230"/>
      <c r="AJ71" s="386"/>
      <c r="AK71" s="386"/>
      <c r="AL71" s="386"/>
    </row>
    <row r="72" spans="1:38" x14ac:dyDescent="0.2">
      <c r="A72" s="658" t="s">
        <v>317</v>
      </c>
      <c r="B72" s="671"/>
      <c r="C72" s="658"/>
      <c r="D72" s="658"/>
      <c r="E72" s="658"/>
      <c r="F72" s="671"/>
      <c r="G72" s="658"/>
      <c r="H72" s="673">
        <f>+'[10]Miles of Main'!$G$52+'[10]Miles of Main'!$G$67</f>
        <v>2111407</v>
      </c>
      <c r="I72" s="658"/>
      <c r="J72" s="671"/>
      <c r="K72" s="658"/>
      <c r="L72" s="658"/>
      <c r="M72" s="658"/>
      <c r="N72" s="663">
        <f>ROUND(H72/H76,4)</f>
        <v>0.20250000000000001</v>
      </c>
      <c r="O72" s="658"/>
      <c r="P72" s="658"/>
      <c r="W72" s="235">
        <v>61427</v>
      </c>
      <c r="X72" s="235"/>
      <c r="Z72" s="384"/>
      <c r="AA72" s="370"/>
      <c r="AB72" s="370"/>
      <c r="AC72" s="370"/>
      <c r="AE72" s="280"/>
      <c r="AF72" s="230"/>
      <c r="AG72" s="230"/>
      <c r="AH72" s="230"/>
      <c r="AJ72" s="386"/>
      <c r="AK72" s="386"/>
      <c r="AL72" s="386"/>
    </row>
    <row r="73" spans="1:38" x14ac:dyDescent="0.2">
      <c r="A73" s="658"/>
      <c r="B73" s="671"/>
      <c r="C73" s="658"/>
      <c r="D73" s="658"/>
      <c r="E73" s="658"/>
      <c r="F73" s="671"/>
      <c r="G73" s="658"/>
      <c r="H73" s="673"/>
      <c r="I73" s="658"/>
      <c r="J73" s="671"/>
      <c r="K73" s="658"/>
      <c r="L73" s="658"/>
      <c r="M73" s="658"/>
      <c r="N73" s="663"/>
      <c r="O73" s="658"/>
      <c r="P73" s="658"/>
      <c r="W73" s="235">
        <v>46152</v>
      </c>
      <c r="X73" s="235"/>
      <c r="Y73" s="235">
        <v>467551</v>
      </c>
      <c r="Z73" s="384"/>
      <c r="AA73" s="370"/>
      <c r="AB73" s="370"/>
      <c r="AC73" s="370"/>
      <c r="AE73" s="280"/>
      <c r="AF73" s="230"/>
      <c r="AG73" s="230"/>
      <c r="AH73" s="230"/>
      <c r="AJ73" s="386"/>
      <c r="AK73" s="386"/>
      <c r="AL73" s="386"/>
    </row>
    <row r="74" spans="1:38" x14ac:dyDescent="0.2">
      <c r="A74" s="658" t="s">
        <v>318</v>
      </c>
      <c r="B74" s="671"/>
      <c r="C74" s="658"/>
      <c r="D74" s="658"/>
      <c r="E74" s="658"/>
      <c r="F74" s="671"/>
      <c r="G74" s="658"/>
      <c r="H74" s="673">
        <f>+'[10]Miles of Main'!$G$104-'[10]Miles of Main'!$G$67+'[10]Miles of Main'!$G$136</f>
        <v>8317444</v>
      </c>
      <c r="I74" s="658"/>
      <c r="J74" s="671"/>
      <c r="K74" s="658"/>
      <c r="L74" s="658"/>
      <c r="M74" s="658"/>
      <c r="N74" s="663">
        <f>ROUND(H74/H76,4)</f>
        <v>0.79749999999999999</v>
      </c>
      <c r="O74" s="658"/>
      <c r="P74" s="658"/>
      <c r="W74" s="235">
        <v>46649</v>
      </c>
      <c r="X74" s="235"/>
      <c r="Y74" s="235">
        <v>802610</v>
      </c>
      <c r="Z74" s="384"/>
      <c r="AA74" s="370"/>
      <c r="AB74" s="370"/>
      <c r="AC74" s="370"/>
      <c r="AE74" s="280"/>
      <c r="AF74" s="230"/>
      <c r="AG74" s="230"/>
      <c r="AH74" s="230"/>
      <c r="AJ74" s="386"/>
      <c r="AK74" s="386"/>
      <c r="AL74" s="386"/>
    </row>
    <row r="75" spans="1:38" x14ac:dyDescent="0.2">
      <c r="A75" s="658"/>
      <c r="B75" s="658"/>
      <c r="C75" s="658"/>
      <c r="D75" s="658"/>
      <c r="E75" s="658"/>
      <c r="F75" s="671"/>
      <c r="G75" s="658"/>
      <c r="H75" s="674"/>
      <c r="I75" s="658"/>
      <c r="J75" s="671"/>
      <c r="K75" s="658"/>
      <c r="L75" s="658"/>
      <c r="M75" s="658"/>
      <c r="N75" s="666"/>
      <c r="O75" s="658"/>
      <c r="P75" s="658"/>
      <c r="W75" s="235">
        <v>1789</v>
      </c>
      <c r="X75" s="235"/>
      <c r="Y75" s="235">
        <v>1900191</v>
      </c>
      <c r="Z75" s="384"/>
      <c r="AA75" s="370"/>
      <c r="AB75" s="370"/>
      <c r="AC75" s="370"/>
      <c r="AE75" s="280"/>
      <c r="AF75" s="230"/>
      <c r="AG75" s="230"/>
      <c r="AH75" s="230"/>
      <c r="AJ75" s="386"/>
      <c r="AK75" s="386"/>
      <c r="AL75" s="386"/>
    </row>
    <row r="76" spans="1:38" ht="15.75" thickBot="1" x14ac:dyDescent="0.25">
      <c r="A76" s="658"/>
      <c r="B76" s="658" t="s">
        <v>313</v>
      </c>
      <c r="C76" s="658"/>
      <c r="D76" s="658"/>
      <c r="E76" s="658"/>
      <c r="F76" s="671"/>
      <c r="G76" s="658"/>
      <c r="H76" s="675">
        <f>SUM(H72:H75)</f>
        <v>10428851</v>
      </c>
      <c r="I76" s="658"/>
      <c r="J76" s="671"/>
      <c r="K76" s="658"/>
      <c r="L76" s="658"/>
      <c r="M76" s="658"/>
      <c r="N76" s="663">
        <f>SUM(N72:N75)</f>
        <v>1</v>
      </c>
      <c r="O76" s="658"/>
      <c r="P76" s="658"/>
      <c r="W76" s="235">
        <v>79675</v>
      </c>
      <c r="X76" s="235"/>
      <c r="Y76" s="235">
        <v>1023998</v>
      </c>
      <c r="Z76" s="384"/>
      <c r="AA76" s="370"/>
      <c r="AB76" s="370"/>
      <c r="AC76" s="370"/>
      <c r="AE76" s="280"/>
      <c r="AF76" s="230"/>
      <c r="AG76" s="230"/>
      <c r="AH76" s="230"/>
      <c r="AJ76" s="386"/>
      <c r="AK76" s="386"/>
      <c r="AL76" s="386"/>
    </row>
    <row r="77" spans="1:38" ht="15.75" thickTop="1" x14ac:dyDescent="0.2">
      <c r="A77" s="658"/>
      <c r="B77" s="658"/>
      <c r="C77" s="658"/>
      <c r="D77" s="658"/>
      <c r="E77" s="658"/>
      <c r="F77" s="658"/>
      <c r="G77" s="658"/>
      <c r="H77" s="669"/>
      <c r="I77" s="658"/>
      <c r="J77" s="658"/>
      <c r="K77" s="658"/>
      <c r="L77" s="658"/>
      <c r="M77" s="658"/>
      <c r="N77" s="668"/>
      <c r="O77" s="658"/>
      <c r="P77" s="658"/>
      <c r="W77" s="235">
        <v>253098</v>
      </c>
      <c r="X77" s="235"/>
      <c r="Y77" s="235">
        <v>513474</v>
      </c>
      <c r="Z77" s="384"/>
      <c r="AA77" s="370"/>
      <c r="AB77" s="370"/>
      <c r="AC77" s="370"/>
      <c r="AE77" s="280"/>
      <c r="AF77" s="230"/>
      <c r="AG77" s="230"/>
      <c r="AH77" s="230"/>
      <c r="AJ77" s="386"/>
      <c r="AK77" s="386"/>
      <c r="AL77" s="386"/>
    </row>
    <row r="78" spans="1:38" x14ac:dyDescent="0.2">
      <c r="A78" s="35"/>
      <c r="B78" s="35"/>
      <c r="C78" s="35"/>
      <c r="D78" s="35"/>
      <c r="E78" s="35"/>
      <c r="F78" s="35"/>
      <c r="G78" s="35"/>
      <c r="H78" s="191"/>
      <c r="I78" s="35"/>
      <c r="J78" s="35"/>
      <c r="K78" s="35"/>
      <c r="L78" s="35"/>
      <c r="M78" s="35"/>
      <c r="N78" s="35"/>
      <c r="O78" s="35"/>
      <c r="P78" s="35"/>
      <c r="W78" s="235">
        <v>17946</v>
      </c>
      <c r="X78" s="235"/>
      <c r="Y78" s="235">
        <v>1079772</v>
      </c>
      <c r="Z78" s="384"/>
      <c r="AA78" s="370"/>
      <c r="AB78" s="370"/>
      <c r="AC78" s="370"/>
      <c r="AE78" s="280"/>
      <c r="AF78" s="230"/>
      <c r="AG78" s="230"/>
      <c r="AH78" s="230"/>
      <c r="AJ78" s="386"/>
      <c r="AK78" s="386"/>
      <c r="AL78" s="386"/>
    </row>
    <row r="79" spans="1:38" x14ac:dyDescent="0.2">
      <c r="W79" s="235">
        <v>18136</v>
      </c>
      <c r="X79" s="235"/>
      <c r="Y79" s="235">
        <v>589748</v>
      </c>
      <c r="Z79" s="374"/>
      <c r="AA79" s="370"/>
      <c r="AB79" s="370"/>
      <c r="AC79" s="370"/>
      <c r="AE79" s="59"/>
      <c r="AF79" s="230"/>
      <c r="AG79" s="230"/>
      <c r="AH79" s="230"/>
      <c r="AJ79" s="386"/>
      <c r="AK79" s="386"/>
      <c r="AL79" s="386"/>
    </row>
    <row r="80" spans="1:38" x14ac:dyDescent="0.2">
      <c r="W80" s="235">
        <v>12116</v>
      </c>
      <c r="X80" s="235"/>
      <c r="Y80" s="235">
        <v>192837</v>
      </c>
      <c r="Z80" s="374"/>
      <c r="AA80" s="370"/>
      <c r="AB80" s="370"/>
      <c r="AC80" s="370"/>
      <c r="AE80" s="59"/>
      <c r="AF80" s="230"/>
      <c r="AG80" s="230"/>
      <c r="AH80" s="230"/>
      <c r="AJ80" s="386"/>
      <c r="AK80" s="386"/>
      <c r="AL80" s="386"/>
    </row>
    <row r="81" spans="23:38" x14ac:dyDescent="0.2">
      <c r="W81" s="235">
        <v>13901</v>
      </c>
      <c r="X81" s="235"/>
      <c r="Y81" s="235">
        <v>387032</v>
      </c>
      <c r="Z81" s="374"/>
      <c r="AA81" s="370"/>
      <c r="AB81" s="370"/>
      <c r="AC81" s="370"/>
      <c r="AE81" s="59"/>
      <c r="AF81" s="230"/>
      <c r="AG81" s="230"/>
      <c r="AH81" s="230"/>
      <c r="AJ81" s="386"/>
      <c r="AK81" s="386"/>
      <c r="AL81" s="386"/>
    </row>
    <row r="82" spans="23:38" x14ac:dyDescent="0.2">
      <c r="W82" s="235">
        <v>1481</v>
      </c>
      <c r="X82" s="235"/>
      <c r="Y82" s="235">
        <v>85874</v>
      </c>
      <c r="Z82" s="374"/>
      <c r="AA82" s="370"/>
      <c r="AB82" s="370"/>
      <c r="AC82" s="370"/>
      <c r="AE82" s="59"/>
      <c r="AF82" s="230"/>
      <c r="AG82" s="230"/>
      <c r="AH82" s="230"/>
      <c r="AJ82" s="386"/>
      <c r="AK82" s="386"/>
      <c r="AL82" s="386"/>
    </row>
    <row r="83" spans="23:38" x14ac:dyDescent="0.2">
      <c r="W83" s="235">
        <v>520</v>
      </c>
      <c r="X83" s="235"/>
      <c r="Y83" s="235">
        <v>308277</v>
      </c>
      <c r="Z83" s="374"/>
      <c r="AA83" s="370"/>
      <c r="AB83" s="370"/>
      <c r="AC83" s="370"/>
      <c r="AE83" s="59"/>
      <c r="AF83" s="230"/>
      <c r="AG83" s="230"/>
      <c r="AH83" s="230"/>
      <c r="AJ83" s="386"/>
      <c r="AK83" s="386"/>
      <c r="AL83" s="386"/>
    </row>
    <row r="84" spans="23:38" x14ac:dyDescent="0.2">
      <c r="W84" s="235">
        <v>3450</v>
      </c>
      <c r="X84" s="235"/>
      <c r="Y84" s="235">
        <v>1213</v>
      </c>
      <c r="Z84" s="374"/>
      <c r="AA84" s="370"/>
      <c r="AB84" s="370"/>
      <c r="AC84" s="370"/>
      <c r="AE84" s="59"/>
      <c r="AF84" s="230"/>
      <c r="AG84" s="230"/>
      <c r="AH84" s="230"/>
      <c r="AJ84" s="386"/>
      <c r="AK84" s="386"/>
      <c r="AL84" s="386"/>
    </row>
    <row r="85" spans="23:38" x14ac:dyDescent="0.2">
      <c r="W85" s="235">
        <v>16470</v>
      </c>
      <c r="X85" s="235"/>
      <c r="Y85" s="235">
        <v>77504</v>
      </c>
      <c r="Z85" s="374"/>
      <c r="AA85" s="370"/>
      <c r="AB85" s="370"/>
      <c r="AC85" s="370"/>
      <c r="AE85" s="59"/>
      <c r="AF85" s="230"/>
      <c r="AG85" s="230"/>
      <c r="AH85" s="230"/>
      <c r="AJ85" s="386"/>
      <c r="AK85" s="386"/>
      <c r="AL85" s="386"/>
    </row>
    <row r="86" spans="23:38" x14ac:dyDescent="0.2">
      <c r="W86" s="235">
        <v>19022</v>
      </c>
      <c r="X86" s="235"/>
      <c r="Y86" s="235">
        <v>60</v>
      </c>
      <c r="Z86" s="374"/>
      <c r="AA86" s="370"/>
      <c r="AB86" s="370"/>
      <c r="AC86" s="370"/>
      <c r="AE86" s="59"/>
      <c r="AF86" s="230"/>
      <c r="AG86" s="230"/>
      <c r="AH86" s="230"/>
      <c r="AJ86" s="386"/>
      <c r="AK86" s="386"/>
      <c r="AL86" s="386"/>
    </row>
    <row r="87" spans="23:38" x14ac:dyDescent="0.2">
      <c r="W87" s="235">
        <v>54283</v>
      </c>
      <c r="X87" s="235"/>
      <c r="Y87" s="235">
        <v>66900</v>
      </c>
      <c r="Z87" s="374"/>
      <c r="AA87" s="370"/>
      <c r="AB87" s="370"/>
      <c r="AC87" s="370"/>
      <c r="AE87" s="59"/>
      <c r="AF87" s="230"/>
      <c r="AG87" s="230"/>
      <c r="AH87" s="230"/>
      <c r="AJ87" s="386"/>
      <c r="AK87" s="386"/>
      <c r="AL87" s="386"/>
    </row>
    <row r="88" spans="23:38" x14ac:dyDescent="0.2">
      <c r="W88" s="235">
        <v>178808</v>
      </c>
      <c r="X88" s="235"/>
      <c r="Y88" s="235">
        <v>396293</v>
      </c>
      <c r="Z88" s="374"/>
      <c r="AA88" s="370"/>
      <c r="AB88" s="370"/>
      <c r="AC88" s="370"/>
      <c r="AE88" s="59"/>
      <c r="AF88" s="230"/>
      <c r="AG88" s="230"/>
      <c r="AH88" s="230"/>
      <c r="AJ88" s="386"/>
      <c r="AK88" s="386"/>
      <c r="AL88" s="386"/>
    </row>
    <row r="89" spans="23:38" x14ac:dyDescent="0.2">
      <c r="W89" s="235">
        <v>14381</v>
      </c>
      <c r="X89" s="235"/>
      <c r="Y89" s="235">
        <v>767</v>
      </c>
      <c r="Z89" s="374"/>
      <c r="AA89" s="370"/>
      <c r="AB89" s="370"/>
      <c r="AC89" s="370"/>
      <c r="AE89" s="59"/>
      <c r="AF89" s="230"/>
      <c r="AG89" s="230"/>
      <c r="AH89" s="230"/>
      <c r="AJ89" s="386"/>
      <c r="AK89" s="386"/>
      <c r="AL89" s="386"/>
    </row>
    <row r="90" spans="23:38" x14ac:dyDescent="0.2">
      <c r="W90" s="235">
        <v>527</v>
      </c>
      <c r="X90" s="235"/>
      <c r="Y90" s="235">
        <v>45</v>
      </c>
      <c r="Z90" s="374"/>
      <c r="AA90" s="370"/>
      <c r="AB90" s="370"/>
      <c r="AC90" s="370"/>
      <c r="AE90" s="59"/>
      <c r="AF90" s="230"/>
      <c r="AG90" s="230"/>
      <c r="AH90" s="230"/>
      <c r="AJ90" s="386"/>
      <c r="AK90" s="386"/>
      <c r="AL90" s="386"/>
    </row>
    <row r="91" spans="23:38" x14ac:dyDescent="0.2">
      <c r="W91" s="235">
        <v>269219</v>
      </c>
      <c r="X91" s="235"/>
      <c r="Y91" s="235">
        <v>43160</v>
      </c>
      <c r="Z91" s="374"/>
      <c r="AA91" s="370"/>
      <c r="AB91" s="370"/>
      <c r="AC91" s="370"/>
      <c r="AE91" s="59"/>
      <c r="AF91" s="230"/>
      <c r="AG91" s="230"/>
      <c r="AH91" s="230"/>
      <c r="AJ91" s="386"/>
      <c r="AK91" s="386"/>
      <c r="AL91" s="386"/>
    </row>
    <row r="92" spans="23:38" x14ac:dyDescent="0.2">
      <c r="W92" s="235">
        <v>274974</v>
      </c>
      <c r="X92" s="235"/>
      <c r="Y92" s="235">
        <v>77194</v>
      </c>
      <c r="Z92" s="374"/>
      <c r="AA92" s="370"/>
      <c r="AB92" s="370"/>
      <c r="AC92" s="370"/>
      <c r="AE92" s="59"/>
      <c r="AF92" s="230"/>
      <c r="AG92" s="230"/>
      <c r="AH92" s="230"/>
      <c r="AJ92" s="386"/>
      <c r="AK92" s="386"/>
      <c r="AL92" s="386"/>
    </row>
    <row r="93" spans="23:38" x14ac:dyDescent="0.2">
      <c r="W93" s="235">
        <v>693318</v>
      </c>
      <c r="X93" s="235"/>
      <c r="Y93" s="235">
        <v>69353</v>
      </c>
      <c r="Z93" s="374"/>
      <c r="AA93" s="370"/>
      <c r="AB93" s="370"/>
      <c r="AC93" s="370"/>
      <c r="AE93" s="59"/>
      <c r="AF93" s="230"/>
      <c r="AG93" s="230"/>
      <c r="AH93" s="230"/>
      <c r="AJ93" s="386"/>
      <c r="AK93" s="386"/>
      <c r="AL93" s="386"/>
    </row>
    <row r="94" spans="23:38" x14ac:dyDescent="0.2">
      <c r="W94" s="235">
        <v>29571</v>
      </c>
      <c r="X94" s="235"/>
      <c r="Y94" s="235">
        <v>123688</v>
      </c>
      <c r="Z94" s="374"/>
      <c r="AA94" s="370"/>
      <c r="AB94" s="370"/>
      <c r="AC94" s="370"/>
      <c r="AE94" s="59"/>
      <c r="AF94" s="230"/>
      <c r="AG94" s="230"/>
      <c r="AH94" s="230"/>
      <c r="AJ94" s="386"/>
      <c r="AK94" s="386"/>
      <c r="AL94" s="386"/>
    </row>
    <row r="95" spans="23:38" x14ac:dyDescent="0.2">
      <c r="W95" s="235">
        <v>1231</v>
      </c>
      <c r="X95" s="235"/>
      <c r="Y95" s="235">
        <v>30668</v>
      </c>
      <c r="Z95" s="374"/>
      <c r="AA95" s="370"/>
      <c r="AB95" s="370"/>
      <c r="AC95" s="370"/>
      <c r="AE95" s="59"/>
      <c r="AF95" s="230"/>
      <c r="AG95" s="230"/>
      <c r="AH95" s="230"/>
      <c r="AJ95" s="386"/>
      <c r="AK95" s="386"/>
      <c r="AL95" s="386"/>
    </row>
    <row r="96" spans="23:38" x14ac:dyDescent="0.2">
      <c r="W96" s="235">
        <v>24520</v>
      </c>
      <c r="X96" s="235"/>
      <c r="Y96" s="235">
        <v>756</v>
      </c>
      <c r="Z96" s="374"/>
      <c r="AA96" s="370"/>
      <c r="AB96" s="370"/>
      <c r="AC96" s="370"/>
      <c r="AE96" s="59"/>
      <c r="AF96" s="230"/>
      <c r="AG96" s="230"/>
      <c r="AH96" s="230"/>
    </row>
    <row r="97" spans="23:34" x14ac:dyDescent="0.2">
      <c r="W97" s="235">
        <v>2</v>
      </c>
      <c r="X97" s="235"/>
      <c r="Y97" s="235">
        <v>1532</v>
      </c>
      <c r="Z97" s="374"/>
      <c r="AA97" s="370"/>
      <c r="AB97" s="370"/>
      <c r="AC97" s="370"/>
      <c r="AE97" s="59"/>
      <c r="AF97" s="230"/>
      <c r="AG97" s="230"/>
      <c r="AH97" s="230"/>
    </row>
    <row r="98" spans="23:34" x14ac:dyDescent="0.2">
      <c r="W98" s="235"/>
      <c r="X98" s="235"/>
      <c r="Y98" s="235">
        <v>11</v>
      </c>
      <c r="Z98" s="374"/>
      <c r="AA98" s="370"/>
      <c r="AB98" s="370"/>
      <c r="AC98" s="370"/>
      <c r="AE98" s="59"/>
      <c r="AF98" s="230"/>
      <c r="AG98" s="230"/>
      <c r="AH98" s="230"/>
    </row>
    <row r="99" spans="23:34" x14ac:dyDescent="0.2">
      <c r="W99" s="235"/>
      <c r="X99" s="235"/>
      <c r="Y99" s="235"/>
      <c r="Z99" s="385"/>
      <c r="AA99" s="370"/>
      <c r="AB99" s="370"/>
      <c r="AC99" s="370"/>
      <c r="AE99" s="322"/>
      <c r="AF99" s="230"/>
      <c r="AG99" s="230"/>
      <c r="AH99" s="230"/>
    </row>
    <row r="100" spans="23:34" x14ac:dyDescent="0.2">
      <c r="W100" s="235">
        <f>SUM(W70:W99)</f>
        <v>2133290</v>
      </c>
      <c r="X100" s="235"/>
      <c r="Y100" s="235">
        <f>SUM(Y70:Y99)</f>
        <v>8240508</v>
      </c>
      <c r="Z100" s="374"/>
      <c r="AA100" s="370"/>
      <c r="AB100" s="370"/>
      <c r="AC100" s="370"/>
      <c r="AE100" s="59"/>
      <c r="AF100" s="230"/>
      <c r="AG100" s="230"/>
      <c r="AH100" s="230"/>
    </row>
    <row r="101" spans="23:34" x14ac:dyDescent="0.2">
      <c r="W101" s="235"/>
      <c r="X101" s="235"/>
      <c r="Y101" s="235"/>
      <c r="Z101" s="374"/>
      <c r="AA101" s="370"/>
      <c r="AB101" s="370"/>
      <c r="AC101" s="370"/>
      <c r="AE101" s="59"/>
      <c r="AF101" s="230"/>
      <c r="AG101" s="230"/>
      <c r="AH101" s="230"/>
    </row>
    <row r="102" spans="23:34" x14ac:dyDescent="0.2">
      <c r="W102" s="235"/>
      <c r="X102" s="235"/>
      <c r="Y102" s="235">
        <f>+W100+Y100</f>
        <v>10373798</v>
      </c>
      <c r="Z102" s="374"/>
      <c r="AA102" s="370"/>
      <c r="AB102" s="370"/>
      <c r="AC102" s="370"/>
      <c r="AE102" s="59"/>
      <c r="AF102" s="230"/>
      <c r="AG102" s="230"/>
      <c r="AH102" s="230"/>
    </row>
    <row r="103" spans="23:34" x14ac:dyDescent="0.2">
      <c r="Z103" s="374"/>
      <c r="AA103" s="370"/>
      <c r="AB103" s="370"/>
      <c r="AC103" s="370"/>
      <c r="AE103" s="59"/>
      <c r="AF103" s="230"/>
      <c r="AG103" s="230"/>
      <c r="AH103" s="230"/>
    </row>
    <row r="104" spans="23:34" x14ac:dyDescent="0.2">
      <c r="Z104" s="374"/>
      <c r="AA104" s="370"/>
      <c r="AB104" s="370"/>
      <c r="AC104" s="370"/>
      <c r="AE104" s="59"/>
      <c r="AF104" s="230"/>
      <c r="AG104" s="230"/>
      <c r="AH104" s="230"/>
    </row>
    <row r="105" spans="23:34" x14ac:dyDescent="0.2">
      <c r="Z105" s="374"/>
      <c r="AA105" s="370"/>
      <c r="AB105" s="370"/>
      <c r="AC105" s="370"/>
      <c r="AE105" s="59"/>
      <c r="AF105" s="230"/>
      <c r="AG105" s="230"/>
      <c r="AH105" s="230"/>
    </row>
    <row r="106" spans="23:34" x14ac:dyDescent="0.2">
      <c r="Z106" s="374"/>
      <c r="AA106" s="370"/>
      <c r="AB106" s="370"/>
      <c r="AC106" s="370"/>
      <c r="AE106" s="59"/>
      <c r="AF106" s="230"/>
      <c r="AG106" s="230"/>
      <c r="AH106" s="230"/>
    </row>
    <row r="107" spans="23:34" x14ac:dyDescent="0.2">
      <c r="Z107" s="374"/>
      <c r="AA107" s="370"/>
      <c r="AB107" s="370"/>
      <c r="AC107" s="370"/>
      <c r="AE107" s="59"/>
      <c r="AF107" s="230"/>
      <c r="AG107" s="230"/>
      <c r="AH107" s="230"/>
    </row>
    <row r="108" spans="23:34" x14ac:dyDescent="0.2">
      <c r="Z108" s="374"/>
      <c r="AA108" s="370"/>
      <c r="AB108" s="370"/>
      <c r="AC108" s="370"/>
      <c r="AE108" s="59"/>
      <c r="AF108" s="230"/>
      <c r="AG108" s="230"/>
      <c r="AH108" s="230"/>
    </row>
    <row r="109" spans="23:34" x14ac:dyDescent="0.2">
      <c r="Z109" s="374"/>
      <c r="AA109" s="370"/>
      <c r="AB109" s="370"/>
      <c r="AC109" s="370"/>
      <c r="AE109" s="59"/>
      <c r="AF109" s="230"/>
      <c r="AG109" s="230"/>
      <c r="AH109" s="230"/>
    </row>
    <row r="110" spans="23:34" x14ac:dyDescent="0.2">
      <c r="Z110" s="374"/>
      <c r="AA110" s="370"/>
      <c r="AB110" s="370"/>
      <c r="AC110" s="370"/>
      <c r="AE110" s="59"/>
      <c r="AF110" s="230"/>
      <c r="AG110" s="230"/>
      <c r="AH110" s="230"/>
    </row>
    <row r="111" spans="23:34" x14ac:dyDescent="0.2">
      <c r="Z111" s="374"/>
      <c r="AA111" s="370"/>
      <c r="AB111" s="370"/>
      <c r="AC111" s="370"/>
      <c r="AE111" s="59"/>
      <c r="AF111" s="230"/>
      <c r="AG111" s="230"/>
      <c r="AH111" s="230"/>
    </row>
    <row r="112" spans="23:34" x14ac:dyDescent="0.2">
      <c r="Z112" s="374"/>
      <c r="AA112" s="374"/>
      <c r="AB112" s="374"/>
      <c r="AC112" s="374"/>
    </row>
    <row r="113" spans="26:29" x14ac:dyDescent="0.2">
      <c r="Z113" s="374"/>
      <c r="AA113" s="374"/>
      <c r="AB113" s="374"/>
      <c r="AC113" s="376"/>
    </row>
    <row r="114" spans="26:29" x14ac:dyDescent="0.2">
      <c r="Z114" s="374"/>
      <c r="AA114" s="374"/>
      <c r="AB114" s="374"/>
      <c r="AC114" s="374"/>
    </row>
    <row r="115" spans="26:29" x14ac:dyDescent="0.2">
      <c r="Z115" s="374"/>
      <c r="AA115" s="374"/>
      <c r="AB115" s="374"/>
      <c r="AC115" s="370"/>
    </row>
    <row r="116" spans="26:29" x14ac:dyDescent="0.2">
      <c r="Z116" s="374"/>
      <c r="AA116" s="374"/>
      <c r="AB116" s="374"/>
      <c r="AC116" s="376"/>
    </row>
  </sheetData>
  <mergeCells count="4">
    <mergeCell ref="A7:P7"/>
    <mergeCell ref="A27:P27"/>
    <mergeCell ref="A47:P47"/>
    <mergeCell ref="A67:P67"/>
  </mergeCells>
  <phoneticPr fontId="14" type="noConversion"/>
  <printOptions horizontalCentered="1"/>
  <pageMargins left="0.7" right="0.7" top="0.75" bottom="0.75" header="0.3" footer="0.3"/>
  <pageSetup fitToHeight="0" orientation="portrait" r:id="rId1"/>
  <headerFooter>
    <oddHeader>&amp;R&amp;9KAW_R_PSCDR1_NUM014_Attachment 1
Case No. 2015-00418
Page &amp;P of &amp;N</oddHeader>
  </headerFooter>
  <rowBreaks count="1" manualBreakCount="1">
    <brk id="40" max="15"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55C7437F39F8419B9D8679B2A7FECC" ma:contentTypeVersion="28" ma:contentTypeDescription="Create a new document." ma:contentTypeScope="" ma:versionID="3b0c3ef342bc92ff7ae595daf067c1e8">
  <xsd:schema xmlns:xsd="http://www.w3.org/2001/XMLSchema" xmlns:xs="http://www.w3.org/2001/XMLSchema" xmlns:p="http://schemas.microsoft.com/office/2006/metadata/properties" xmlns:ns1="http://schemas.microsoft.com/sharepoint/v3" xmlns:ns2="7203d2c3-413f-43d7-a52d-eb1ac8076465" targetNamespace="http://schemas.microsoft.com/office/2006/metadata/properties" ma:root="true" ma:fieldsID="161eb7d0d84eb0ee5e0fb1df5d724c22" ns1:_="" ns2:_="">
    <xsd:import namespace="http://schemas.microsoft.com/sharepoint/v3"/>
    <xsd:import namespace="7203d2c3-413f-43d7-a52d-eb1ac8076465"/>
    <xsd:element name="properties">
      <xsd:complexType>
        <xsd:sequence>
          <xsd:element name="documentManagement">
            <xsd:complexType>
              <xsd:all>
                <xsd:element ref="ns2:Docket_x0020_Number" minOccurs="0"/>
                <xsd:element ref="ns2:Party" minOccurs="0"/>
                <xsd:element ref="ns2:DR_x0020_Series" minOccurs="0"/>
                <xsd:element ref="ns2:Document_x0020_Type" minOccurs="0"/>
                <xsd:element ref="ns2:Preparer" minOccurs="0"/>
                <xsd:element ref="ns2:Responsible_x0020_Witness" minOccurs="0"/>
                <xsd:element ref="ns2:Internal_x0020_Reviewer" minOccurs="0"/>
                <xsd:element ref="ns2:Internal_x0020_Due_x0020_Date" minOccurs="0"/>
                <xsd:element ref="ns2:Final_x0020_Due_x0020_Date" minOccurs="0"/>
                <xsd:element ref="ns1:DocumentSetDescription" minOccurs="0"/>
                <xsd:element ref="ns2:SERS_x0020_Doc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9" nillable="true" ma:displayName="Description" ma:description="A description of the Document Set" ma:hidden="true" ma:internalName="DocumentSetDescription"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3d2c3-413f-43d7-a52d-eb1ac8076465" elementFormDefault="qualified">
    <xsd:import namespace="http://schemas.microsoft.com/office/2006/documentManagement/types"/>
    <xsd:import namespace="http://schemas.microsoft.com/office/infopath/2007/PartnerControls"/>
    <xsd:element name="Docket_x0020_Number" ma:index="8" nillable="true" ma:displayName="Docket Number" ma:internalName="Docket_x0020_Number" ma:readOnly="true">
      <xsd:simpleType>
        <xsd:restriction base="dms:Text">
          <xsd:maxLength value="255"/>
        </xsd:restriction>
      </xsd:simpleType>
    </xsd:element>
    <xsd:element name="Party" ma:index="9" nillable="true" ma:displayName="Party" ma:format="Dropdown" ma:internalName="Party" ma:readOnly="true">
      <xsd:simpleType>
        <xsd:union memberTypes="dms:Text">
          <xsd:simpleType>
            <xsd:restriction base="dms:Choice">
              <xsd:enumeration value="Board of Public Utilities"/>
              <xsd:enumeration value="California American Water"/>
              <xsd:enumeration value="California Utilities Commission"/>
              <xsd:enumeration value="Cities &amp; Villages"/>
              <xsd:enumeration value="Commission Staff"/>
              <xsd:enumeration value="City of Chattanooga"/>
              <xsd:enumeration value="Community Action Counsel"/>
              <xsd:enumeration value="Consumer Advocate Division"/>
              <xsd:enumeration value="Division of Rate Counsel"/>
              <xsd:enumeration value="Division of Ratepayer Advocates"/>
              <xsd:enumeration value="Federal Executive Agency"/>
              <xsd:enumeration value="Hawaii American Water"/>
              <xsd:enumeration value="Hopewell Committee for Fair Utility Rates"/>
              <xsd:enumeration value="Illinois American Water"/>
              <xsd:enumeration value="ICC Staff"/>
              <xsd:enumeration value="Illinois Industrial Water Consumers"/>
              <xsd:enumeration value="Indiana American Water"/>
              <xsd:enumeration value="Indiana Office of Utility Consumer Counselor"/>
              <xsd:enumeration value="Iowa American Water"/>
              <xsd:enumeration value="Iowa Utilities Board"/>
              <xsd:enumeration value="Kentucky American Water"/>
              <xsd:enumeration value="Lexington Fayette Urban County Government"/>
              <xsd:enumeration value="Long Island American Water"/>
              <xsd:enumeration value="Maryland American Water"/>
              <xsd:enumeration value="Missouri American Water"/>
              <xsd:enumeration value="New Jersey American Water"/>
              <xsd:enumeration value="North Star"/>
              <xsd:enumeration value="NYS Dept of Public Service"/>
              <xsd:enumeration value="Office of Consumer Advocate"/>
              <xsd:enumeration value="Office of Public Counsel"/>
              <xsd:enumeration value="Office of Small Business Advocate"/>
              <xsd:enumeration value="Office of Trial Staff"/>
              <xsd:enumeration value="Overland Consulting"/>
              <xsd:enumeration value="Pennsylvania American Water"/>
              <xsd:enumeration value="Public Service Commission"/>
              <xsd:enumeration value="Public Utilities Commission of Ohio"/>
              <xsd:enumeration value="Public Utility Commission"/>
              <xsd:enumeration value="Public Works Commission"/>
              <xsd:enumeration value="Staff of the Attorney General"/>
              <xsd:enumeration value="Staff Information Request"/>
              <xsd:enumeration value="State Corporation Commission"/>
              <xsd:enumeration value="Tennessee American Water"/>
              <xsd:enumeration value="Tennessee Regulatory Authority"/>
              <xsd:enumeration value="The Utility Reform Network"/>
              <xsd:enumeration value="Utility Intervention Unit"/>
              <xsd:enumeration value="Utility Workers Union of America"/>
              <xsd:enumeration value="Village of Bolingbrook"/>
              <xsd:enumeration value="Virginia American Water"/>
              <xsd:enumeration value="West Lafayette"/>
              <xsd:enumeration value="West Virginia American Water"/>
              <xsd:enumeration value="West Virginia Consumer Advocate Division"/>
              <xsd:enumeration value="N/A"/>
            </xsd:restriction>
          </xsd:simpleType>
        </xsd:union>
      </xsd:simpleType>
    </xsd:element>
    <xsd:element name="DR_x0020_Series" ma:index="10" nillable="true" ma:displayName="DR Series" ma:description="Acronym of the party" ma:internalName="DR_x0020_Series" ma:readOnly="true">
      <xsd:simpleType>
        <xsd:restriction base="dms:Text">
          <xsd:maxLength value="255"/>
        </xsd:restriction>
      </xsd:simpleType>
    </xsd:element>
    <xsd:element name="Document_x0020_Type" ma:index="11" nillable="true" ma:displayName="Doc Type" ma:format="Dropdown" ma:internalName="Document_x0020_Type">
      <xsd:simpleType>
        <xsd:restriction base="dms:Choice">
          <xsd:enumeration value="Affidavits"/>
          <xsd:enumeration value="Application"/>
          <xsd:enumeration value="Attachment"/>
          <xsd:enumeration value="Brief"/>
          <xsd:enumeration value="Contract"/>
          <xsd:enumeration value="Discovery"/>
          <xsd:enumeration value="Exhibit"/>
          <xsd:enumeration value="Link"/>
          <xsd:enumeration value="Motions"/>
          <xsd:enumeration value="Orders/Decisions"/>
          <xsd:enumeration value="Petition"/>
          <xsd:enumeration value="Proposal"/>
          <xsd:enumeration value="Report"/>
          <xsd:enumeration value="RRD"/>
          <xsd:enumeration value="Testimony"/>
          <xsd:enumeration value="Transcripts"/>
          <xsd:enumeration value="White Paper"/>
        </xsd:restriction>
      </xsd:simpleType>
    </xsd:element>
    <xsd:element name="Preparer" ma:index="12" nillable="true" ma:displayName="Preparer" ma:internalName="Preparer" ma:readOnly="true">
      <xsd:simpleType>
        <xsd:restriction base="dms:Text">
          <xsd:maxLength value="255"/>
        </xsd:restriction>
      </xsd:simpleType>
    </xsd:element>
    <xsd:element name="Responsible_x0020_Witness" ma:index="13" nillable="true" ma:displayName="Witness" ma:internalName="Responsible_x0020_Witness" ma:readOnly="true">
      <xsd:simpleType>
        <xsd:restriction base="dms:Text">
          <xsd:maxLength value="255"/>
        </xsd:restriction>
      </xsd:simpleType>
    </xsd:element>
    <xsd:element name="Internal_x0020_Reviewer" ma:index="14" nillable="true" ma:displayName="Reviewer" ma:list="UserInfo" ma:SharePointGroup="0" ma:internalName="Internal_x0020_Reviewer"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ternal_x0020_Due_x0020_Date" ma:index="15" nillable="true" ma:displayName="Int'l Due Date" ma:format="DateOnly" ma:internalName="Internal_x0020_Due_x0020_Date">
      <xsd:simpleType>
        <xsd:restriction base="dms:DateTime"/>
      </xsd:simpleType>
    </xsd:element>
    <xsd:element name="Final_x0020_Due_x0020_Date" ma:index="16" nillable="true" ma:displayName="Final Due Date" ma:format="DateOnly" ma:internalName="Final_x0020_Due_x0020_Date">
      <xsd:simpleType>
        <xsd:restriction base="dms:DateTime"/>
      </xsd:simpleType>
    </xsd:element>
    <xsd:element name="SERS_x0020_Doc_x0020_Status" ma:index="20" nillable="true" ma:displayName="SERS Doc Status" ma:default="Draft" ma:format="Dropdown" ma:internalName="SERS_x0020_Doc_x0020_Status">
      <xsd:simpleType>
        <xsd:restriction base="dms:Choice">
          <xsd:enumeration value="Draft"/>
          <xsd:enumeration value="Final"/>
          <xsd:enumeration value="Objection Pending"/>
          <xsd:enumeration value="Hol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ternal_x0020_Due_x0020_Date xmlns="7203d2c3-413f-43d7-a52d-eb1ac8076465" xsi:nil="true"/>
    <Document_x0020_Type xmlns="7203d2c3-413f-43d7-a52d-eb1ac8076465" xsi:nil="true"/>
    <SERS_x0020_Doc_x0020_Status xmlns="7203d2c3-413f-43d7-a52d-eb1ac8076465">Draft</SERS_x0020_Doc_x0020_Status>
    <Final_x0020_Due_x0020_Date xmlns="7203d2c3-413f-43d7-a52d-eb1ac8076465" xsi:nil="true"/>
    <DocumentSetDescription xmlns="http://schemas.microsoft.com/sharepoint/v3" xsi:nil="true"/>
    <Docket_x0020_Number xmlns="7203d2c3-413f-43d7-a52d-eb1ac8076465">Case No. 2015-00418-GRC</Docket_x0020_Nu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D21995-73E5-4D6B-BB04-243F7E1B5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203d2c3-413f-43d7-a52d-eb1ac8076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028F78-7E1D-46E5-834A-4477B889F1EF}">
  <ds:schemaRefs>
    <ds:schemaRef ds:uri="http://purl.org/dc/terms/"/>
    <ds:schemaRef ds:uri="http://purl.org/dc/elements/1.1/"/>
    <ds:schemaRef ds:uri="http://schemas.microsoft.com/office/2006/documentManagement/types"/>
    <ds:schemaRef ds:uri="http://schemas.openxmlformats.org/package/2006/metadata/core-properties"/>
    <ds:schemaRef ds:uri="http://schemas.microsoft.com/sharepoint/v3"/>
    <ds:schemaRef ds:uri="http://purl.org/dc/dcmitype/"/>
    <ds:schemaRef ds:uri="http://www.w3.org/XML/1998/namespace"/>
    <ds:schemaRef ds:uri="http://schemas.microsoft.com/office/2006/metadata/properties"/>
    <ds:schemaRef ds:uri="http://schemas.microsoft.com/office/infopath/2007/PartnerControls"/>
    <ds:schemaRef ds:uri="7203d2c3-413f-43d7-a52d-eb1ac8076465"/>
  </ds:schemaRefs>
</ds:datastoreItem>
</file>

<file path=customXml/itemProps3.xml><?xml version="1.0" encoding="utf-8"?>
<ds:datastoreItem xmlns:ds="http://schemas.openxmlformats.org/officeDocument/2006/customXml" ds:itemID="{A7AC552F-FB00-4BE4-A555-937905540A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31</vt:i4>
      </vt:variant>
    </vt:vector>
  </HeadingPairs>
  <TitlesOfParts>
    <vt:vector size="52" baseType="lpstr">
      <vt:lpstr>Linkin</vt:lpstr>
      <vt:lpstr>COS 1</vt:lpstr>
      <vt:lpstr>F 1-2</vt:lpstr>
      <vt:lpstr>F 2 B</vt:lpstr>
      <vt:lpstr>F 3-4</vt:lpstr>
      <vt:lpstr>F 3B 4B</vt:lpstr>
      <vt:lpstr>F 5</vt:lpstr>
      <vt:lpstr>F 5B</vt:lpstr>
      <vt:lpstr>F6-7</vt:lpstr>
      <vt:lpstr>F8-10</vt:lpstr>
      <vt:lpstr>Meters &amp; Services</vt:lpstr>
      <vt:lpstr>F11-12</vt:lpstr>
      <vt:lpstr>F13-14</vt:lpstr>
      <vt:lpstr>F 15-20</vt:lpstr>
      <vt:lpstr>SCH-D</vt:lpstr>
      <vt:lpstr>Fire</vt:lpstr>
      <vt:lpstr>ServiceCharges</vt:lpstr>
      <vt:lpstr>SCH-A</vt:lpstr>
      <vt:lpstr>Rate base</vt:lpstr>
      <vt:lpstr>Pumps</vt:lpstr>
      <vt:lpstr>Sch G</vt:lpstr>
      <vt:lpstr>comp</vt:lpstr>
      <vt:lpstr>CUST</vt:lpstr>
      <vt:lpstr>'F 3-4'!FACT3</vt:lpstr>
      <vt:lpstr>'F 1-2'!FACT3A</vt:lpstr>
      <vt:lpstr>'F 2 B'!FACT3A</vt:lpstr>
      <vt:lpstr>'F 3-4'!FACT3A</vt:lpstr>
      <vt:lpstr>factor</vt:lpstr>
      <vt:lpstr>Factors</vt:lpstr>
      <vt:lpstr>'F 1-2'!FIRE</vt:lpstr>
      <vt:lpstr>'F 2 B'!FIRE</vt:lpstr>
      <vt:lpstr>'F 3-4'!FIRE</vt:lpstr>
      <vt:lpstr>func</vt:lpstr>
      <vt:lpstr>'COS 1'!Print_Area</vt:lpstr>
      <vt:lpstr>'F 1-2'!Print_Area</vt:lpstr>
      <vt:lpstr>'F 15-20'!Print_Area</vt:lpstr>
      <vt:lpstr>'F 2 B'!Print_Area</vt:lpstr>
      <vt:lpstr>'F 3-4'!Print_Area</vt:lpstr>
      <vt:lpstr>'F 3B 4B'!Print_Area</vt:lpstr>
      <vt:lpstr>'F 5'!Print_Area</vt:lpstr>
      <vt:lpstr>'F 5B'!Print_Area</vt:lpstr>
      <vt:lpstr>'F11-12'!Print_Area</vt:lpstr>
      <vt:lpstr>'F13-14'!Print_Area</vt:lpstr>
      <vt:lpstr>'F6-7'!Print_Area</vt:lpstr>
      <vt:lpstr>'F8-10'!Print_Area</vt:lpstr>
      <vt:lpstr>Fire!Print_Area</vt:lpstr>
      <vt:lpstr>'Meters &amp; Services'!Print_Area</vt:lpstr>
      <vt:lpstr>'Sch G'!Print_Area</vt:lpstr>
      <vt:lpstr>'SCH-A'!Print_Area</vt:lpstr>
      <vt:lpstr>'SCH-D'!Print_Area</vt:lpstr>
      <vt:lpstr>ServiceCharges!Print_Area</vt:lpstr>
      <vt:lpstr>'COS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KAW_R_PSCDR1_NUM014_Attachment 1</dc:title>
  <dc:creator>Heppenstall, Constance E.</dc:creator>
  <cp:lastModifiedBy>Susan E. Schneider</cp:lastModifiedBy>
  <cp:lastPrinted>2016-01-15T13:53:28Z</cp:lastPrinted>
  <dcterms:created xsi:type="dcterms:W3CDTF">2000-03-27T20:18:41Z</dcterms:created>
  <dcterms:modified xsi:type="dcterms:W3CDTF">2016-01-19T13:57:37Z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0x0101007A55C7437F39F8419B9D8679B2A7FECC</vt:lpwstr>
  </property>
</Properties>
</file>