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65266" windowWidth="17280" windowHeight="11760"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s>
  <definedNames>
    <definedName name="PRINT_AR01">#REF!</definedName>
    <definedName name="PRINT_AR02">#REF!</definedName>
    <definedName name="PRINT_AR03">#REF!</definedName>
    <definedName name="PRINT_AR04">#REF!</definedName>
    <definedName name="PRINT_AR05">#REF!</definedName>
    <definedName name="PRINT_AR06">#REF!</definedName>
    <definedName name="PRINT_AR07">#REF!</definedName>
    <definedName name="PRINT_AR08">#REF!</definedName>
    <definedName name="PRINT_AR09">#REF!</definedName>
    <definedName name="PRINT_AR10">#REF!</definedName>
    <definedName name="_xlnm.Print_Area" localSheetId="10">'2005'!$A$1:$X$80</definedName>
    <definedName name="_xlnm.Print_Area" localSheetId="9">'2006'!$A$1:$X$87</definedName>
    <definedName name="_xlnm.Print_Area" localSheetId="3">'2012'!$A$1:$N$39,'2012'!$A$42:$N$75,'2012'!$P$2:$X$39</definedName>
    <definedName name="_xlnm.Print_Area" localSheetId="2">'2013'!$A$1:$N$38,'2013'!$A$42:$N$73,'2013'!$Q$1:$Y$38</definedName>
    <definedName name="_xlnm.Print_Area" localSheetId="1">'2014'!$A$1:$N$39,'2014'!$A$42:$N$79,'2014'!$P$1:$X$39</definedName>
    <definedName name="_xlnm.Print_Area" localSheetId="0">'2015'!$A$1:$N$39,'2015'!$A$42:$N$79,'2015'!$P$1:$X$39</definedName>
  </definedNames>
  <calcPr fullCalcOnLoad="1"/>
</workbook>
</file>

<file path=xl/sharedStrings.xml><?xml version="1.0" encoding="utf-8"?>
<sst xmlns="http://schemas.openxmlformats.org/spreadsheetml/2006/main" count="2272" uniqueCount="341">
  <si>
    <t>PSC Data Request 1</t>
  </si>
  <si>
    <t xml:space="preserve">As of </t>
  </si>
  <si>
    <t>Type of Filing:_X__Original _____Updated _____Revised</t>
  </si>
  <si>
    <t>Workpaper Reference No(s).:______________________</t>
  </si>
  <si>
    <t>Witness Responsible:</t>
  </si>
  <si>
    <t>ORIGINAL</t>
  </si>
  <si>
    <t>ACTUAL</t>
  </si>
  <si>
    <t xml:space="preserve">          ORIGINAL</t>
  </si>
  <si>
    <t>Total</t>
  </si>
  <si>
    <t>Date</t>
  </si>
  <si>
    <t>PROJECT</t>
  </si>
  <si>
    <t xml:space="preserve">            BUDGET</t>
  </si>
  <si>
    <t>Annual</t>
  </si>
  <si>
    <t>Percent</t>
  </si>
  <si>
    <t>Actual</t>
  </si>
  <si>
    <t>Budget</t>
  </si>
  <si>
    <t>Original</t>
  </si>
  <si>
    <t>BUDGET PROJECTS</t>
  </si>
  <si>
    <t>EXPLANATION</t>
  </si>
  <si>
    <t>COST</t>
  </si>
  <si>
    <t>START</t>
  </si>
  <si>
    <t>END</t>
  </si>
  <si>
    <t>Variance</t>
  </si>
  <si>
    <t xml:space="preserve">of </t>
  </si>
  <si>
    <t>Project</t>
  </si>
  <si>
    <t>Item</t>
  </si>
  <si>
    <t>Description</t>
  </si>
  <si>
    <t>Dollars</t>
  </si>
  <si>
    <t>Cost</t>
  </si>
  <si>
    <t>Start</t>
  </si>
  <si>
    <t>End</t>
  </si>
  <si>
    <t>TOTAL</t>
  </si>
  <si>
    <t>GRAND TOTAL COMPLETED BP'S</t>
  </si>
  <si>
    <t>92-12</t>
  </si>
  <si>
    <t>96-19</t>
  </si>
  <si>
    <t>CUSTOMER SERVICE SOFTWARE</t>
  </si>
  <si>
    <t>98-01</t>
  </si>
  <si>
    <t>98-08</t>
  </si>
  <si>
    <t>A</t>
  </si>
  <si>
    <t>B</t>
  </si>
  <si>
    <t>C</t>
  </si>
  <si>
    <t>E</t>
  </si>
  <si>
    <t>F</t>
  </si>
  <si>
    <t>G</t>
  </si>
  <si>
    <t>H</t>
  </si>
  <si>
    <t>BLUEGRASS WATER PROJECT</t>
  </si>
  <si>
    <t>01-02</t>
  </si>
  <si>
    <t>01-03</t>
  </si>
  <si>
    <t>01-05</t>
  </si>
  <si>
    <t>01-07</t>
  </si>
  <si>
    <t>01-11</t>
  </si>
  <si>
    <t>GROUND STORAGE TANK - 3.0 MG</t>
  </si>
  <si>
    <t>SCADA IMPROVEMENTS</t>
  </si>
  <si>
    <t>RUSSELL CAVE ROAD TANK - 1.0 MG</t>
  </si>
  <si>
    <t>MAJOR HIGHWAY RELOCATIONS</t>
  </si>
  <si>
    <t xml:space="preserve">KENTUCKY AMERICAN WATER       -      COMPARISON OF ACTUAL VS. BUDGETED CONSTRUCTION EXPENDITURES      -  </t>
  </si>
  <si>
    <t>02-01</t>
  </si>
  <si>
    <t>02-02</t>
  </si>
  <si>
    <t>02-03</t>
  </si>
  <si>
    <t>02-04</t>
  </si>
  <si>
    <t>INTEGRATED RESOURCE PLAN</t>
  </si>
  <si>
    <t>SURGE PROTECTION KRS</t>
  </si>
  <si>
    <t>LEESTOWN ROAD MAIN IMPROVEMENTS</t>
  </si>
  <si>
    <t>03-01</t>
  </si>
  <si>
    <t>03-02</t>
  </si>
  <si>
    <t>03-03</t>
  </si>
  <si>
    <t>NEW COLUMBUS PROJECT</t>
  </si>
  <si>
    <t>REPLACE TRAVELLING SCREEN &amp; HOUSING</t>
  </si>
  <si>
    <t>SOURCE OF SUPPLY DEVELOPMENT</t>
  </si>
  <si>
    <t>ELEVATED STORAGE TANK - 2.0 MG</t>
  </si>
  <si>
    <t>ELECTRICAL &amp; RELIABILITY IMPROVEMENTS</t>
  </si>
  <si>
    <t>Kentucky American Water</t>
  </si>
  <si>
    <t>2002 MAJOR HIGHWAY RELOCATIONS</t>
  </si>
  <si>
    <t>Schedule 1</t>
  </si>
  <si>
    <t>Construction Projects</t>
  </si>
  <si>
    <t>INVESTMENT</t>
  </si>
  <si>
    <t>INVESTMENT PROJECTS</t>
  </si>
  <si>
    <t xml:space="preserve">     FOR THE YEAR 2006</t>
  </si>
  <si>
    <t xml:space="preserve">     FOR THE YEAR 2005</t>
  </si>
  <si>
    <t>DEVELOPER/GOVERNMENTAL CONTRIBUTIONS</t>
  </si>
  <si>
    <t>NETWORK - REPLACEMENT/RENEWAL</t>
  </si>
  <si>
    <t>NETWORK - EXTENSION</t>
  </si>
  <si>
    <t>HYDRANTS - REPLACEMENTS</t>
  </si>
  <si>
    <t>HYDRANTS - NEW</t>
  </si>
  <si>
    <t>SERVICES - REPLACEMENT</t>
  </si>
  <si>
    <t>SERVICES - NEW</t>
  </si>
  <si>
    <t>METERS - REPLACEMENT</t>
  </si>
  <si>
    <t>METERS - NEW</t>
  </si>
  <si>
    <t>ITS EQUIPMENT &amp; SYSTEMS</t>
  </si>
  <si>
    <t>OFFICES AND OPERATIONS CENTERS</t>
  </si>
  <si>
    <t>VEHICLES</t>
  </si>
  <si>
    <t>TOOLS AND EQUIPMENT</t>
  </si>
  <si>
    <t>TANK REHABILITATION/PAINTING (if capitalized)</t>
  </si>
  <si>
    <t>COMPREHENSIVE PLANNING STUDIES (if capitalized)</t>
  </si>
  <si>
    <t>ENTER ITEM 80  AND SUBTRACT</t>
  </si>
  <si>
    <t>TOTAL  ITEM 81 - 97</t>
  </si>
  <si>
    <t>BUSINESS PROCESS EFFCIENCY PROJECT &amp; ORCOM BUDGET</t>
  </si>
  <si>
    <t>04-04</t>
  </si>
  <si>
    <t>04-02</t>
  </si>
  <si>
    <t>04-03</t>
  </si>
  <si>
    <t>OWEN COUNTY MAIN EXTENSIONS (343)</t>
  </si>
  <si>
    <t>MAJOR HIGHWAY RELOCATIONS (343)</t>
  </si>
  <si>
    <t>GROUND STORAGE TANK - 3.0 MG (342)</t>
  </si>
  <si>
    <t>KRS VALVE MECHANICAL IMPROVEMENT</t>
  </si>
  <si>
    <t>05-05</t>
  </si>
  <si>
    <t>REPLACE TRAC-VAC SYSTEM AT RRS (332)</t>
  </si>
  <si>
    <t>05-02</t>
  </si>
  <si>
    <t>RUSSELL CAVE ROAD MAIN - 34,000' OF 12" (343)</t>
  </si>
  <si>
    <t>05-01</t>
  </si>
  <si>
    <t>04-06</t>
  </si>
  <si>
    <t>REPLACE FILTER MEDIA 3 &amp; 4</t>
  </si>
  <si>
    <t>RUSSELL CAVE ROAD MAIN</t>
  </si>
  <si>
    <t>05-04</t>
  </si>
  <si>
    <t>REPLACE TRAC-VAC SYSTEM</t>
  </si>
  <si>
    <t>05-06</t>
  </si>
  <si>
    <t>SLUDGE HANDLING IMPROVEMENT</t>
  </si>
  <si>
    <t>05-08</t>
  </si>
  <si>
    <t>KENTUCKY RELIABILITY IMPROVEMENT</t>
  </si>
  <si>
    <t>06-01</t>
  </si>
  <si>
    <t>06-02</t>
  </si>
  <si>
    <t xml:space="preserve">VALVE HOUSE UPGRADES AT KRS </t>
  </si>
  <si>
    <t>YARNALLTON ROAD MAIN EXTENSION</t>
  </si>
  <si>
    <t>06-05</t>
  </si>
  <si>
    <t>MALLARD POINT PRESSURE</t>
  </si>
  <si>
    <t>06-06</t>
  </si>
  <si>
    <t>06-07</t>
  </si>
  <si>
    <t>06-13</t>
  </si>
  <si>
    <t>PARKER'S MILL PUMP &amp; DIESEL</t>
  </si>
  <si>
    <t>NEW WTP POOL 3 OF KENTUCKY</t>
  </si>
  <si>
    <t>HIGHWAY RELOCATION - CLAYS MILL</t>
  </si>
  <si>
    <t>06-04</t>
  </si>
  <si>
    <t>05-07</t>
  </si>
  <si>
    <t>CHEMICAL FEED IMPROVEMENTS</t>
  </si>
  <si>
    <t>PROCESS PLANT - REPLACEMENTS</t>
  </si>
  <si>
    <t>PROCESS PLANT - ADDITIONS</t>
  </si>
  <si>
    <t>TREATMENT MEDIA REPLACEMENT &amp; PROCESS REHAB (if capitalized)</t>
  </si>
  <si>
    <t>OWEN COUNTY SCADA SYSTEM</t>
  </si>
  <si>
    <t>n/a</t>
  </si>
  <si>
    <t>KRS IMPROVEMENTS</t>
  </si>
  <si>
    <t>On schedule, construction costs higher than anticipated.</t>
  </si>
  <si>
    <t>Equipment delivery delayed on switchgear.</t>
  </si>
  <si>
    <t>Delay in completing programming.</t>
  </si>
  <si>
    <t>Property acquisition longer than anticipated.</t>
  </si>
  <si>
    <t>Completion delayed on source of supply.</t>
  </si>
  <si>
    <t>Construction bids favorable.</t>
  </si>
  <si>
    <t>Bids favorable.</t>
  </si>
  <si>
    <t>Bids higher than anticipated.</t>
  </si>
  <si>
    <t xml:space="preserve">     FOR THE YEAR 2007</t>
  </si>
  <si>
    <t>DV</t>
  </si>
  <si>
    <t xml:space="preserve">D </t>
  </si>
  <si>
    <t>J</t>
  </si>
  <si>
    <t xml:space="preserve">I </t>
  </si>
  <si>
    <t>K</t>
  </si>
  <si>
    <t>L</t>
  </si>
  <si>
    <t>M</t>
  </si>
  <si>
    <t>N</t>
  </si>
  <si>
    <t>O</t>
  </si>
  <si>
    <t>P</t>
  </si>
  <si>
    <t>Q</t>
  </si>
  <si>
    <t>R</t>
  </si>
  <si>
    <t>S</t>
  </si>
  <si>
    <t>ENTER ITEM DV  AND SUBTRACT</t>
  </si>
  <si>
    <t>TOTAL  ITEM A - S</t>
  </si>
  <si>
    <t>MAINS - NEW</t>
  </si>
  <si>
    <t>MAINS - REPLACED/RESTORED</t>
  </si>
  <si>
    <t>MAINS - UNSCHEDULED</t>
  </si>
  <si>
    <t>MAINS - RELOCATED</t>
  </si>
  <si>
    <t>HYDRANTS, VALVES, AND MANHOLES - NEW</t>
  </si>
  <si>
    <t>HYDRANTS, VALVES, AND MANHOLES - REPLACED</t>
  </si>
  <si>
    <t>SERVICES AND LATERALS - NEW</t>
  </si>
  <si>
    <t>SERVICES AND LATERALS - REPLACED</t>
  </si>
  <si>
    <t>METERS - REPLACED</t>
  </si>
  <si>
    <t>ITS EQUIPMENT AND SYSTEMS</t>
  </si>
  <si>
    <t>SCADA EQUIPMENT AND SYSTEMS</t>
  </si>
  <si>
    <t>SECURITY EQUIPMENT AND SYSTEMS</t>
  </si>
  <si>
    <t>PROCESS PLANT FACILITIES AND EQUIPMENT</t>
  </si>
  <si>
    <t>CAPITALIZED TANK REHABILIATION/PAINTING</t>
  </si>
  <si>
    <t>ENGINEERING STUDIES</t>
  </si>
  <si>
    <t>MAJOR HIGHWAY RELOCATIONS 2007</t>
  </si>
  <si>
    <t>SYSTEM-WIDE ENHANCEMENT</t>
  </si>
  <si>
    <t>NORTH BROADWAY MAIN REPLACEMENT</t>
  </si>
  <si>
    <t xml:space="preserve">KY NRW </t>
  </si>
  <si>
    <t>INCLINE CAR REPLACEMENT AT KRS</t>
  </si>
  <si>
    <t>N/A</t>
  </si>
  <si>
    <t>1202-5</t>
  </si>
  <si>
    <t>Project design delayed to accommodate Division of Water requirements.</t>
  </si>
  <si>
    <t>Construction bids higher than anticipated.  Project delayed for programming.</t>
  </si>
  <si>
    <t>Pump manufacturer delayed delivery of booster station.</t>
  </si>
  <si>
    <t xml:space="preserve">Project scope expanded in preliminary stage, delayed project start. </t>
  </si>
  <si>
    <t>1202-6</t>
  </si>
  <si>
    <t>1232-1</t>
  </si>
  <si>
    <t>OWENTON CHEMICAL BULK STORAGE</t>
  </si>
  <si>
    <t xml:space="preserve">     FOR THE YEAR 2008</t>
  </si>
  <si>
    <t>CARRICK ROAD MAIN EXTENSION</t>
  </si>
  <si>
    <t>GROUND STORAGE TANK</t>
  </si>
  <si>
    <t>BUSINESS TRANSFORMATION</t>
  </si>
  <si>
    <t>CS-1201-1</t>
  </si>
  <si>
    <t>VALVE HOUSE UPGRADES AT KRS</t>
  </si>
  <si>
    <t xml:space="preserve">     FOR THE YEAR 2009</t>
  </si>
  <si>
    <t xml:space="preserve">Weather delays and tough laying conditions delayed project. </t>
  </si>
  <si>
    <t xml:space="preserve">Project was put on hold to conduct a study.  Phase one was completed for safety. </t>
  </si>
  <si>
    <t xml:space="preserve">Construction was shutdown during peak demand.  Bids exceeded original estimate and scope was expanded during construction.  </t>
  </si>
  <si>
    <t xml:space="preserve">KAW was looking to increase the size of Yarnalltion as a possible secondary feed to the 42-inch tranmission main. After careful consideration it was determined not to be effective.  Scope was expanded during construction from original budget.   </t>
  </si>
  <si>
    <t xml:space="preserve">Construction was shutdown during peak demand which delayed schedule and increased contractor costs.  </t>
  </si>
  <si>
    <t xml:space="preserve">     FOR THE YEAR 2010</t>
  </si>
  <si>
    <t xml:space="preserve">     FOR THE YEAR 2011</t>
  </si>
  <si>
    <t>12020204</t>
  </si>
  <si>
    <t>12020607</t>
  </si>
  <si>
    <t>12020702</t>
  </si>
  <si>
    <t>IP-1202-5</t>
  </si>
  <si>
    <t>IP-1202-6</t>
  </si>
  <si>
    <t>IP-1202-17</t>
  </si>
  <si>
    <t>IP-1202-18</t>
  </si>
  <si>
    <t>IP-1202-19</t>
  </si>
  <si>
    <t>IP-1202-31</t>
  </si>
  <si>
    <t>IP-1202-32</t>
  </si>
  <si>
    <t>CS-1201-3</t>
  </si>
  <si>
    <t>IP-1201-10</t>
  </si>
  <si>
    <t>12020201</t>
  </si>
  <si>
    <t>12020402</t>
  </si>
  <si>
    <t>Source of Supply Project Dev</t>
  </si>
  <si>
    <t>New WTP On Pool 3 of Kentucky</t>
  </si>
  <si>
    <t>KY Major Highway</t>
  </si>
  <si>
    <t>North Broadway Main Replacement</t>
  </si>
  <si>
    <t>Carrick Pike Main Extension</t>
  </si>
  <si>
    <t>South Limestone Replacement</t>
  </si>
  <si>
    <t>US 25 Relocation</t>
  </si>
  <si>
    <t>Leestown Road</t>
  </si>
  <si>
    <t>KRS Raw Water Access</t>
  </si>
  <si>
    <t>Lexington Operations Center</t>
  </si>
  <si>
    <t>Business Transformation CPS</t>
  </si>
  <si>
    <t>Unallocated Eng Clearing</t>
  </si>
  <si>
    <t>Leestown Rd Main Improvements</t>
  </si>
  <si>
    <t>KY Major Highway Relocations</t>
  </si>
  <si>
    <t>IP-1201-9</t>
  </si>
  <si>
    <t>IP Project Unbudgeted Capital</t>
  </si>
  <si>
    <t>Acquisitions</t>
  </si>
  <si>
    <t>KRS High Service Pumping</t>
  </si>
  <si>
    <t>Russell Cave Road Sys Impr</t>
  </si>
  <si>
    <t>Northern Division Connection</t>
  </si>
  <si>
    <t>Owenton WWTP Phosphorous</t>
  </si>
  <si>
    <t>Business Transformation</t>
  </si>
  <si>
    <t>Business Transformation Other</t>
  </si>
  <si>
    <t>IP-1202-21</t>
  </si>
  <si>
    <t>IP-1202-38</t>
  </si>
  <si>
    <t>IP-1232-3</t>
  </si>
  <si>
    <t>IP-1233-1</t>
  </si>
  <si>
    <t>CS-1201-4</t>
  </si>
  <si>
    <t>IP-1232-1</t>
  </si>
  <si>
    <t>Owenton Chemical Bulk Storage/Owenton Post Acquisition Phase 2</t>
  </si>
  <si>
    <t xml:space="preserve">Project design and construction was delayed due to the Kentucky Transportation Cabinet. </t>
  </si>
  <si>
    <t>Project design and construction was delayed due to the scheduel and funding of the LFUCG.</t>
  </si>
  <si>
    <t xml:space="preserve">Project was used and useful in 2010, a few change orders remained open until Nov. 2011. </t>
  </si>
  <si>
    <t xml:space="preserve">Project was delayed due to the final approval and construction of KRS2. </t>
  </si>
  <si>
    <t>Item 11b</t>
  </si>
  <si>
    <t xml:space="preserve">     FOR THE YEAR 2013</t>
  </si>
  <si>
    <t xml:space="preserve">     FOR THE YEAR 2014</t>
  </si>
  <si>
    <t>IP-1202-9</t>
  </si>
  <si>
    <t>Todds and Cleveland Rd Main Ext</t>
  </si>
  <si>
    <t>I12-0020009</t>
  </si>
  <si>
    <t>I12-0200010</t>
  </si>
  <si>
    <t>IP-1202-20</t>
  </si>
  <si>
    <t>I12-020027</t>
  </si>
  <si>
    <t>I12-020025</t>
  </si>
  <si>
    <t>Pump Efficiency Replacement Phase 1</t>
  </si>
  <si>
    <t>IP-1202-37</t>
  </si>
  <si>
    <t>I12-300003</t>
  </si>
  <si>
    <t>T12-0102-P</t>
  </si>
  <si>
    <t>T12-0103-P</t>
  </si>
  <si>
    <t>I12-010001</t>
  </si>
  <si>
    <t>Pump Efficiency Replacement Phase 2</t>
  </si>
  <si>
    <t>I12-020001</t>
  </si>
  <si>
    <t>I12-020009</t>
  </si>
  <si>
    <t>US 25 Relocation - Item 7-122.50</t>
  </si>
  <si>
    <t>I12-020010</t>
  </si>
  <si>
    <t>Leestown Road - Item 7-223.00</t>
  </si>
  <si>
    <t>Pump Efficiency Repl Phase 1</t>
  </si>
  <si>
    <t>I12-020026</t>
  </si>
  <si>
    <t>Pump Efficiency Repl Phase 2</t>
  </si>
  <si>
    <t>Russell Cave Rd Sys Improvements</t>
  </si>
  <si>
    <t>I12-020032</t>
  </si>
  <si>
    <t>RRS Filter Building Replacement</t>
  </si>
  <si>
    <t>I12-020033</t>
  </si>
  <si>
    <t>KY 341 Interconnect</t>
  </si>
  <si>
    <t>I12-020034</t>
  </si>
  <si>
    <t>RRS Chlorine Scrubber</t>
  </si>
  <si>
    <t>T12-0102</t>
  </si>
  <si>
    <t>T12-0103</t>
  </si>
  <si>
    <t>I12--010001</t>
  </si>
  <si>
    <t>WTP for Pool 3</t>
  </si>
  <si>
    <t>I12-020007</t>
  </si>
  <si>
    <t>North Upper St Main Repl</t>
  </si>
  <si>
    <t>I12-020011</t>
  </si>
  <si>
    <t>New Circle Rd Main Relocation</t>
  </si>
  <si>
    <t>I12-020017</t>
  </si>
  <si>
    <t>KRS Valve House Rehabilitation</t>
  </si>
  <si>
    <t>Russell Cave Rd</t>
  </si>
  <si>
    <t>I12-020036</t>
  </si>
  <si>
    <t>Storage Tank and System Nitrification</t>
  </si>
  <si>
    <t>I12-020045</t>
  </si>
  <si>
    <t>Main Office Roof Replacement</t>
  </si>
  <si>
    <t>I12-020046</t>
  </si>
  <si>
    <t>KRS I Raw Water Intake Actuator Repl</t>
  </si>
  <si>
    <t>I12-020047</t>
  </si>
  <si>
    <t>Field Ops Road Replacement</t>
  </si>
  <si>
    <t>I12-020048</t>
  </si>
  <si>
    <t>Security Upgrades Richmond Rd Campus</t>
  </si>
  <si>
    <t>I12-300005</t>
  </si>
  <si>
    <t>Fairgrounds Tank Area</t>
  </si>
  <si>
    <t>R12-K</t>
  </si>
  <si>
    <t>ITS Centrally Sponsored</t>
  </si>
  <si>
    <t>Case No. 2015-00418</t>
  </si>
  <si>
    <t>Brent O'Neill</t>
  </si>
  <si>
    <t>Equipment delivery delay caused and extension of the construction schedule.  Favorable bids reduced overall cost of project.</t>
  </si>
  <si>
    <t>Weather delay for moving existing roof top equipment caused slip of final completion.  Favorable installation bids accounted for project savings.</t>
  </si>
  <si>
    <t>Scope was expanded during project to account for additional securty improvements on Richmond Road Campus.</t>
  </si>
  <si>
    <t xml:space="preserve">The project schedule was delayed do to issue with KTC Notice to Proceed.  </t>
  </si>
  <si>
    <t>Project was delayed due to additional modeling and design work needed to ensure proper implementation of intented project.  The project cost benefited from better construction bids and revisions to project that eliminated minor elements from project.</t>
  </si>
  <si>
    <t xml:space="preserve">     FOR THE YEAR 2012</t>
  </si>
  <si>
    <t xml:space="preserve">     FOR THE YEAR 2015</t>
  </si>
  <si>
    <t>I12-020012</t>
  </si>
  <si>
    <t>KRS High Service Pumps</t>
  </si>
  <si>
    <t>I12-020056</t>
  </si>
  <si>
    <t>KRS Valve House 2</t>
  </si>
  <si>
    <t>KRS Valve House Rehabilitation Ph 2</t>
  </si>
  <si>
    <t>I12-020040</t>
  </si>
  <si>
    <t>I12-020043</t>
  </si>
  <si>
    <t>Athens Boonesboro main Extension</t>
  </si>
  <si>
    <t>I12-020057</t>
  </si>
  <si>
    <t>Sludge Thickener Drive Upgrade</t>
  </si>
  <si>
    <t>I12-020058</t>
  </si>
  <si>
    <t>KRS2 Intake Pump Replacement</t>
  </si>
  <si>
    <t>I12-020059</t>
  </si>
  <si>
    <t>KRS2 Transfer Switch</t>
  </si>
  <si>
    <t>I12-020060</t>
  </si>
  <si>
    <t>KRS Reeves Drive</t>
  </si>
  <si>
    <t>I12-000001</t>
  </si>
  <si>
    <t>Project was used and useful in 2010, and project completion was during the first part of 2012 Additional cost was associated with scope changes during construction.</t>
  </si>
  <si>
    <t>On schedule, construction costs slightly lower than anticipated.</t>
  </si>
  <si>
    <t xml:space="preserve">Weather delays and tough laying conditions delayed project and added to scope of project. </t>
  </si>
  <si>
    <t>Weather delays and additional subgrade work effected project completion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</si>
</sst>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_)"/>
    <numFmt numFmtId="165" formatCode="0_)"/>
    <numFmt numFmtId="166" formatCode="m/d"/>
    <numFmt numFmtId="167" formatCode="m/yy"/>
    <numFmt numFmtId="168" formatCode="&quot;Yes&quot;;&quot;Yes&quot;;&quot;No&quot;"/>
    <numFmt numFmtId="169" formatCode="&quot;True&quot;;&quot;True&quot;;&quot;False&quot;"/>
    <numFmt numFmtId="170" formatCode="&quot;On&quot;;&quot;On&quot;;&quot;Off&quot;"/>
    <numFmt numFmtId="171" formatCode="[$€-2]\ #,##0.00_);[Red]\([$€-2]\ #,##0.00\)"/>
    <numFmt numFmtId="172" formatCode="mm/dd/yy"/>
    <numFmt numFmtId="173" formatCode="[$-409]dddd\,\ mmmm\ dd\,\ yyyy"/>
    <numFmt numFmtId="174" formatCode="0_);\(0\)"/>
    <numFmt numFmtId="175" formatCode="#,##0.000000000"/>
    <numFmt numFmtId="176" formatCode="_(* #,##0.0_);_(* \(#,##0.0\);_(* &quot;-&quot;??_);_(@_)"/>
    <numFmt numFmtId="177" formatCode="_(* #,##0_);_(* \(#,##0\);_(* &quot;-&quot;??_);_(@_)"/>
    <numFmt numFmtId="178" formatCode="[$-409]mmm\-yy;@"/>
  </numFmts>
  <fonts count="44">
    <font>
      <sz val="9"/>
      <name val="Times New Roman"/>
      <family val="0"/>
    </font>
    <font>
      <sz val="10"/>
      <name val="Arial"/>
      <family val="0"/>
    </font>
    <font>
      <b/>
      <sz val="12"/>
      <name val="Arial"/>
      <family val="2"/>
    </font>
    <font>
      <sz val="14"/>
      <name val="Helv"/>
      <family val="0"/>
    </font>
    <font>
      <sz val="10"/>
      <name val="Times New Roman"/>
      <family val="1"/>
    </font>
    <font>
      <sz val="8"/>
      <name val="Times New Roman"/>
      <family val="1"/>
    </font>
    <font>
      <u val="single"/>
      <sz val="5.4"/>
      <color indexed="12"/>
      <name val="Times New Roman"/>
      <family val="1"/>
    </font>
    <font>
      <u val="single"/>
      <sz val="5.4"/>
      <color indexed="36"/>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color indexed="8"/>
      </left>
      <right>
        <color indexed="63"/>
      </right>
      <top>
        <color indexed="63"/>
      </top>
      <bottom style="thin"/>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right style="thin"/>
      <top style="thin">
        <color indexed="8"/>
      </top>
      <bottom>
        <color indexed="63"/>
      </bottom>
    </border>
    <border>
      <left style="thin"/>
      <right/>
      <top/>
      <bottom/>
    </border>
    <border>
      <left style="thin"/>
      <right style="thin"/>
      <top style="thin"/>
      <bottom style="thin"/>
    </border>
    <border>
      <left style="thin"/>
      <right>
        <color indexed="63"/>
      </right>
      <top style="thin">
        <color indexed="8"/>
      </top>
      <bottom style="thin"/>
    </border>
    <border>
      <left style="thin"/>
      <right style="thin">
        <color indexed="8"/>
      </right>
      <top>
        <color indexed="63"/>
      </top>
      <bottom style="thin">
        <color indexed="8"/>
      </bottom>
    </border>
    <border>
      <left style="thin"/>
      <right style="thin">
        <color indexed="8"/>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style="thin">
        <color indexed="8"/>
      </right>
      <top>
        <color indexed="63"/>
      </top>
      <bottom>
        <color indexed="63"/>
      </bottom>
    </border>
    <border>
      <left>
        <color indexed="63"/>
      </left>
      <right style="thin"/>
      <top>
        <color indexed="63"/>
      </top>
      <bottom style="thin">
        <color indexed="8"/>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3">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right"/>
    </xf>
    <xf numFmtId="0" fontId="0" fillId="0" borderId="10" xfId="0" applyFont="1" applyFill="1" applyBorder="1" applyAlignment="1">
      <alignment/>
    </xf>
    <xf numFmtId="0" fontId="2"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left"/>
    </xf>
    <xf numFmtId="0" fontId="4" fillId="0" borderId="14" xfId="0" applyFont="1" applyFill="1" applyBorder="1" applyAlignment="1">
      <alignment/>
    </xf>
    <xf numFmtId="0" fontId="4" fillId="0" borderId="14" xfId="0" applyFont="1" applyFill="1" applyBorder="1" applyAlignment="1">
      <alignment horizontal="center"/>
    </xf>
    <xf numFmtId="0" fontId="4" fillId="0" borderId="0" xfId="0" applyFont="1" applyFill="1" applyAlignment="1">
      <alignment horizontal="left"/>
    </xf>
    <xf numFmtId="0" fontId="4" fillId="0" borderId="15" xfId="0" applyFont="1" applyFill="1" applyBorder="1" applyAlignment="1">
      <alignment/>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7" xfId="0" applyFont="1" applyFill="1" applyBorder="1" applyAlignment="1">
      <alignment horizontal="left"/>
    </xf>
    <xf numFmtId="37" fontId="4" fillId="0" borderId="12" xfId="0" applyNumberFormat="1" applyFont="1" applyFill="1" applyBorder="1" applyAlignment="1" applyProtection="1">
      <alignment/>
      <protection/>
    </xf>
    <xf numFmtId="0" fontId="4" fillId="0" borderId="18" xfId="0" applyFont="1" applyFill="1" applyBorder="1" applyAlignment="1">
      <alignment horizontal="center"/>
    </xf>
    <xf numFmtId="0" fontId="4" fillId="0" borderId="17" xfId="0" applyFont="1" applyFill="1" applyBorder="1" applyAlignment="1">
      <alignment/>
    </xf>
    <xf numFmtId="37" fontId="4" fillId="0" borderId="15" xfId="0" applyNumberFormat="1" applyFont="1" applyFill="1" applyBorder="1" applyAlignment="1" applyProtection="1">
      <alignment/>
      <protection/>
    </xf>
    <xf numFmtId="0" fontId="4" fillId="0" borderId="18" xfId="0" applyFont="1" applyFill="1" applyBorder="1" applyAlignment="1">
      <alignment/>
    </xf>
    <xf numFmtId="0" fontId="4" fillId="0" borderId="0" xfId="0" applyFont="1" applyFill="1" applyAlignment="1">
      <alignment horizontal="center"/>
    </xf>
    <xf numFmtId="0" fontId="4" fillId="0" borderId="16" xfId="0" applyFont="1" applyFill="1" applyBorder="1" applyAlignment="1">
      <alignment/>
    </xf>
    <xf numFmtId="10" fontId="5" fillId="0" borderId="15" xfId="0" applyNumberFormat="1" applyFont="1" applyFill="1" applyBorder="1" applyAlignment="1" applyProtection="1">
      <alignment/>
      <protection/>
    </xf>
    <xf numFmtId="10" fontId="5" fillId="0" borderId="11" xfId="0" applyNumberFormat="1" applyFont="1" applyFill="1" applyBorder="1" applyAlignment="1" applyProtection="1">
      <alignment/>
      <protection/>
    </xf>
    <xf numFmtId="0" fontId="5" fillId="0" borderId="0" xfId="0" applyFont="1" applyFill="1" applyAlignment="1">
      <alignment/>
    </xf>
    <xf numFmtId="37" fontId="5" fillId="0" borderId="15" xfId="0" applyNumberFormat="1" applyFont="1" applyFill="1" applyBorder="1" applyAlignment="1" applyProtection="1">
      <alignment/>
      <protection/>
    </xf>
    <xf numFmtId="10" fontId="5" fillId="0" borderId="12" xfId="0" applyNumberFormat="1" applyFont="1" applyFill="1" applyBorder="1" applyAlignment="1" applyProtection="1">
      <alignment/>
      <protection/>
    </xf>
    <xf numFmtId="37" fontId="5" fillId="0" borderId="18" xfId="0" applyNumberFormat="1" applyFont="1" applyFill="1" applyBorder="1" applyAlignment="1" applyProtection="1">
      <alignment/>
      <protection/>
    </xf>
    <xf numFmtId="10" fontId="5" fillId="0" borderId="18" xfId="0" applyNumberFormat="1" applyFont="1" applyFill="1" applyBorder="1" applyAlignment="1" applyProtection="1">
      <alignment/>
      <protection/>
    </xf>
    <xf numFmtId="10" fontId="5" fillId="0" borderId="17" xfId="0" applyNumberFormat="1" applyFont="1" applyFill="1" applyBorder="1" applyAlignment="1" applyProtection="1">
      <alignment/>
      <protection/>
    </xf>
    <xf numFmtId="37" fontId="5" fillId="0" borderId="19" xfId="0" applyNumberFormat="1" applyFont="1" applyFill="1" applyBorder="1" applyAlignment="1" applyProtection="1">
      <alignment/>
      <protection/>
    </xf>
    <xf numFmtId="10" fontId="5" fillId="0" borderId="0" xfId="0" applyNumberFormat="1" applyFont="1" applyFill="1" applyAlignment="1" applyProtection="1">
      <alignment/>
      <protection/>
    </xf>
    <xf numFmtId="10" fontId="5" fillId="0" borderId="16" xfId="0" applyNumberFormat="1" applyFont="1" applyFill="1" applyBorder="1" applyAlignment="1" applyProtection="1">
      <alignment/>
      <protection/>
    </xf>
    <xf numFmtId="37" fontId="5" fillId="0" borderId="0" xfId="0" applyNumberFormat="1" applyFont="1" applyFill="1" applyAlignment="1" applyProtection="1">
      <alignment/>
      <protection/>
    </xf>
    <xf numFmtId="37" fontId="5" fillId="0" borderId="12" xfId="0" applyNumberFormat="1" applyFont="1" applyFill="1" applyBorder="1" applyAlignment="1" applyProtection="1">
      <alignment/>
      <protection/>
    </xf>
    <xf numFmtId="37" fontId="5" fillId="0" borderId="17" xfId="0" applyNumberFormat="1" applyFont="1" applyFill="1" applyBorder="1" applyAlignment="1" applyProtection="1">
      <alignment/>
      <protection/>
    </xf>
    <xf numFmtId="164" fontId="5" fillId="0" borderId="15" xfId="0" applyNumberFormat="1" applyFont="1" applyFill="1" applyBorder="1" applyAlignment="1" applyProtection="1">
      <alignment/>
      <protection/>
    </xf>
    <xf numFmtId="0" fontId="5" fillId="0" borderId="12" xfId="0" applyFont="1" applyFill="1" applyBorder="1" applyAlignment="1">
      <alignment/>
    </xf>
    <xf numFmtId="164" fontId="5" fillId="0" borderId="12" xfId="0" applyNumberFormat="1" applyFont="1" applyFill="1" applyBorder="1" applyAlignment="1" applyProtection="1">
      <alignment/>
      <protection/>
    </xf>
    <xf numFmtId="164" fontId="5" fillId="0" borderId="18" xfId="0" applyNumberFormat="1" applyFont="1" applyFill="1" applyBorder="1" applyAlignment="1" applyProtection="1">
      <alignment/>
      <protection/>
    </xf>
    <xf numFmtId="0" fontId="5" fillId="0" borderId="18" xfId="0" applyFont="1" applyFill="1" applyBorder="1" applyAlignment="1">
      <alignment/>
    </xf>
    <xf numFmtId="17" fontId="5" fillId="0" borderId="12" xfId="0" applyNumberFormat="1" applyFont="1" applyFill="1" applyBorder="1" applyAlignment="1">
      <alignment/>
    </xf>
    <xf numFmtId="17" fontId="5" fillId="0" borderId="15" xfId="0" applyNumberFormat="1" applyFont="1" applyFill="1" applyBorder="1" applyAlignment="1">
      <alignment/>
    </xf>
    <xf numFmtId="167" fontId="4" fillId="0" borderId="12" xfId="0" applyNumberFormat="1" applyFont="1" applyFill="1" applyBorder="1" applyAlignment="1">
      <alignment horizontal="center"/>
    </xf>
    <xf numFmtId="167" fontId="4" fillId="0" borderId="15" xfId="0" applyNumberFormat="1" applyFont="1" applyFill="1" applyBorder="1" applyAlignment="1">
      <alignment horizontal="center"/>
    </xf>
    <xf numFmtId="10" fontId="5" fillId="0" borderId="20" xfId="0" applyNumberFormat="1" applyFont="1" applyFill="1" applyBorder="1" applyAlignment="1" applyProtection="1">
      <alignment/>
      <protection/>
    </xf>
    <xf numFmtId="0" fontId="4" fillId="0" borderId="21" xfId="0" applyFont="1" applyFill="1" applyBorder="1" applyAlignment="1">
      <alignment horizontal="center"/>
    </xf>
    <xf numFmtId="0" fontId="4" fillId="0" borderId="21" xfId="0" applyFont="1" applyFill="1" applyBorder="1" applyAlignment="1">
      <alignment/>
    </xf>
    <xf numFmtId="37" fontId="5" fillId="0" borderId="21" xfId="0" applyNumberFormat="1" applyFont="1" applyFill="1" applyBorder="1" applyAlignment="1" applyProtection="1">
      <alignment/>
      <protection/>
    </xf>
    <xf numFmtId="10" fontId="5" fillId="0" borderId="21" xfId="0" applyNumberFormat="1" applyFont="1" applyFill="1" applyBorder="1" applyAlignment="1" applyProtection="1">
      <alignment/>
      <protection/>
    </xf>
    <xf numFmtId="0" fontId="5" fillId="0" borderId="21" xfId="0" applyFont="1" applyFill="1" applyBorder="1" applyAlignment="1">
      <alignment/>
    </xf>
    <xf numFmtId="5" fontId="4" fillId="0" borderId="17" xfId="0" applyNumberFormat="1" applyFont="1" applyFill="1" applyBorder="1" applyAlignment="1" applyProtection="1">
      <alignment/>
      <protection/>
    </xf>
    <xf numFmtId="0" fontId="4" fillId="0" borderId="22" xfId="0" applyFont="1" applyFill="1" applyBorder="1" applyAlignment="1">
      <alignment/>
    </xf>
    <xf numFmtId="37" fontId="4" fillId="0" borderId="22" xfId="0" applyNumberFormat="1" applyFont="1" applyFill="1" applyBorder="1" applyAlignment="1" applyProtection="1">
      <alignment/>
      <protection/>
    </xf>
    <xf numFmtId="167" fontId="4" fillId="0" borderId="23" xfId="0" applyNumberFormat="1" applyFont="1"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17" fontId="5" fillId="0" borderId="18" xfId="0" applyNumberFormat="1" applyFont="1" applyFill="1" applyBorder="1" applyAlignment="1">
      <alignment/>
    </xf>
    <xf numFmtId="10" fontId="5" fillId="0" borderId="22" xfId="0" applyNumberFormat="1" applyFont="1" applyFill="1" applyBorder="1" applyAlignment="1" applyProtection="1">
      <alignment/>
      <protection/>
    </xf>
    <xf numFmtId="0" fontId="8" fillId="0" borderId="24" xfId="0" applyNumberFormat="1" applyFont="1" applyBorder="1" applyAlignment="1" applyProtection="1">
      <alignment horizontal="center"/>
      <protection locked="0"/>
    </xf>
    <xf numFmtId="0" fontId="8" fillId="0" borderId="24" xfId="0" applyNumberFormat="1" applyFont="1" applyBorder="1" applyAlignment="1" applyProtection="1">
      <alignment horizontal="left"/>
      <protection locked="0"/>
    </xf>
    <xf numFmtId="16" fontId="8" fillId="0" borderId="24" xfId="0" applyNumberFormat="1" applyFont="1" applyBorder="1" applyAlignment="1" applyProtection="1">
      <alignment horizontal="center"/>
      <protection locked="0"/>
    </xf>
    <xf numFmtId="0" fontId="8" fillId="0" borderId="24" xfId="0" applyNumberFormat="1" applyFont="1" applyBorder="1" applyAlignment="1" applyProtection="1" quotePrefix="1">
      <alignment horizontal="center"/>
      <protection locked="0"/>
    </xf>
    <xf numFmtId="0" fontId="8" fillId="0" borderId="25" xfId="0" applyNumberFormat="1" applyFont="1" applyBorder="1" applyAlignment="1" applyProtection="1">
      <alignment horizontal="left"/>
      <protection locked="0"/>
    </xf>
    <xf numFmtId="37" fontId="5" fillId="0" borderId="26" xfId="0" applyNumberFormat="1" applyFont="1" applyFill="1" applyBorder="1" applyAlignment="1" applyProtection="1">
      <alignment/>
      <protection/>
    </xf>
    <xf numFmtId="37" fontId="8" fillId="0" borderId="24" xfId="0" applyNumberFormat="1" applyFont="1" applyBorder="1" applyAlignment="1" applyProtection="1">
      <alignment horizontal="center"/>
      <protection locked="0"/>
    </xf>
    <xf numFmtId="37" fontId="8" fillId="0" borderId="24" xfId="0" applyNumberFormat="1" applyFont="1" applyBorder="1" applyAlignment="1" applyProtection="1">
      <alignment horizontal="left"/>
      <protection locked="0"/>
    </xf>
    <xf numFmtId="0" fontId="8" fillId="0" borderId="25" xfId="0" applyNumberFormat="1" applyFont="1" applyBorder="1" applyAlignment="1" applyProtection="1">
      <alignment horizontal="center"/>
      <protection locked="0"/>
    </xf>
    <xf numFmtId="37" fontId="8" fillId="0" borderId="24" xfId="0" applyNumberFormat="1" applyFont="1" applyBorder="1" applyAlignment="1" applyProtection="1" quotePrefix="1">
      <alignment horizontal="center"/>
      <protection locked="0"/>
    </xf>
    <xf numFmtId="10" fontId="5" fillId="0" borderId="0" xfId="0" applyNumberFormat="1" applyFont="1" applyFill="1" applyBorder="1" applyAlignment="1" applyProtection="1">
      <alignment/>
      <protection/>
    </xf>
    <xf numFmtId="37" fontId="5" fillId="0" borderId="23" xfId="0" applyNumberFormat="1" applyFont="1" applyFill="1" applyBorder="1" applyAlignment="1" applyProtection="1">
      <alignment/>
      <protection/>
    </xf>
    <xf numFmtId="16" fontId="4" fillId="0" borderId="27" xfId="0" applyNumberFormat="1" applyFont="1" applyFill="1" applyBorder="1" applyAlignment="1" quotePrefix="1">
      <alignment horizontal="center"/>
    </xf>
    <xf numFmtId="0" fontId="4" fillId="0" borderId="28" xfId="0" applyFont="1" applyFill="1" applyBorder="1" applyAlignment="1" quotePrefix="1">
      <alignment horizontal="center"/>
    </xf>
    <xf numFmtId="16" fontId="4" fillId="0" borderId="12" xfId="0" applyNumberFormat="1" applyFont="1" applyFill="1" applyBorder="1" applyAlignment="1" quotePrefix="1">
      <alignment horizontal="center"/>
    </xf>
    <xf numFmtId="17" fontId="0" fillId="0" borderId="0" xfId="0" applyNumberFormat="1" applyFill="1" applyAlignment="1">
      <alignment/>
    </xf>
    <xf numFmtId="17" fontId="5" fillId="0" borderId="12" xfId="0" applyNumberFormat="1" applyFont="1" applyFill="1" applyBorder="1" applyAlignment="1" applyProtection="1">
      <alignment/>
      <protection/>
    </xf>
    <xf numFmtId="5" fontId="4" fillId="0" borderId="0" xfId="0" applyNumberFormat="1" applyFont="1" applyFill="1" applyBorder="1" applyAlignment="1" applyProtection="1">
      <alignment/>
      <protection/>
    </xf>
    <xf numFmtId="0" fontId="4" fillId="0" borderId="15" xfId="0" applyFont="1" applyFill="1" applyBorder="1" applyAlignment="1">
      <alignment wrapText="1"/>
    </xf>
    <xf numFmtId="42" fontId="5" fillId="0" borderId="15" xfId="44" applyNumberFormat="1" applyFont="1" applyFill="1" applyBorder="1" applyAlignment="1" applyProtection="1">
      <alignment/>
      <protection/>
    </xf>
    <xf numFmtId="42" fontId="5" fillId="0" borderId="18" xfId="44" applyNumberFormat="1" applyFont="1" applyFill="1" applyBorder="1" applyAlignment="1" applyProtection="1">
      <alignment/>
      <protection/>
    </xf>
    <xf numFmtId="42" fontId="5" fillId="0" borderId="15" xfId="0" applyNumberFormat="1" applyFont="1" applyFill="1" applyBorder="1" applyAlignment="1" applyProtection="1">
      <alignment/>
      <protection/>
    </xf>
    <xf numFmtId="42" fontId="5" fillId="0" borderId="12" xfId="0" applyNumberFormat="1" applyFont="1" applyFill="1" applyBorder="1" applyAlignment="1" applyProtection="1">
      <alignment/>
      <protection/>
    </xf>
    <xf numFmtId="42" fontId="5" fillId="0" borderId="18" xfId="0" applyNumberFormat="1" applyFont="1" applyFill="1" applyBorder="1" applyAlignment="1" applyProtection="1">
      <alignment/>
      <protection/>
    </xf>
    <xf numFmtId="10" fontId="5" fillId="0" borderId="29" xfId="0" applyNumberFormat="1" applyFont="1" applyFill="1" applyBorder="1" applyAlignment="1" applyProtection="1">
      <alignment/>
      <protection/>
    </xf>
    <xf numFmtId="0" fontId="5" fillId="0" borderId="15" xfId="0" applyFont="1" applyFill="1" applyBorder="1" applyAlignment="1">
      <alignment wrapText="1"/>
    </xf>
    <xf numFmtId="0" fontId="4" fillId="0" borderId="0" xfId="0" applyFont="1" applyFill="1" applyBorder="1" applyAlignment="1">
      <alignment/>
    </xf>
    <xf numFmtId="37" fontId="5" fillId="0" borderId="0" xfId="0" applyNumberFormat="1" applyFont="1" applyFill="1" applyBorder="1" applyAlignment="1" applyProtection="1">
      <alignment/>
      <protection/>
    </xf>
    <xf numFmtId="17" fontId="5" fillId="0" borderId="15" xfId="0" applyNumberFormat="1" applyFont="1" applyFill="1" applyBorder="1" applyAlignment="1" applyProtection="1">
      <alignment/>
      <protection/>
    </xf>
    <xf numFmtId="17" fontId="5" fillId="0" borderId="18" xfId="0" applyNumberFormat="1" applyFont="1" applyFill="1" applyBorder="1" applyAlignment="1" applyProtection="1">
      <alignment/>
      <protection/>
    </xf>
    <xf numFmtId="37" fontId="8" fillId="0" borderId="30" xfId="0" applyNumberFormat="1" applyFont="1" applyBorder="1" applyAlignment="1" applyProtection="1">
      <alignment horizontal="left"/>
      <protection locked="0"/>
    </xf>
    <xf numFmtId="0" fontId="4" fillId="0" borderId="12" xfId="0" applyFont="1" applyFill="1" applyBorder="1" applyAlignment="1" quotePrefix="1">
      <alignment horizontal="center"/>
    </xf>
    <xf numFmtId="37" fontId="4" fillId="0" borderId="23" xfId="0" applyNumberFormat="1" applyFont="1" applyFill="1" applyBorder="1" applyAlignment="1" applyProtection="1">
      <alignment/>
      <protection/>
    </xf>
    <xf numFmtId="167" fontId="4" fillId="0" borderId="22" xfId="0" applyNumberFormat="1" applyFont="1" applyFill="1" applyBorder="1" applyAlignment="1">
      <alignment horizontal="center"/>
    </xf>
    <xf numFmtId="0" fontId="4" fillId="0" borderId="17" xfId="0" applyFont="1" applyFill="1" applyBorder="1" applyAlignment="1">
      <alignment wrapText="1"/>
    </xf>
    <xf numFmtId="37" fontId="5" fillId="0" borderId="15" xfId="0" applyNumberFormat="1" applyFont="1" applyFill="1" applyBorder="1" applyAlignment="1" applyProtection="1">
      <alignment/>
      <protection hidden="1" locked="0"/>
    </xf>
    <xf numFmtId="0" fontId="0" fillId="0" borderId="10" xfId="0" applyFont="1" applyFill="1" applyBorder="1" applyAlignment="1">
      <alignment horizontal="center"/>
    </xf>
    <xf numFmtId="174" fontId="8" fillId="0" borderId="24" xfId="0" applyNumberFormat="1" applyFont="1" applyBorder="1" applyAlignment="1" applyProtection="1" quotePrefix="1">
      <alignment horizontal="center"/>
      <protection locked="0"/>
    </xf>
    <xf numFmtId="164" fontId="5" fillId="0" borderId="15" xfId="0" applyNumberFormat="1" applyFont="1" applyFill="1" applyBorder="1" applyAlignment="1" applyProtection="1">
      <alignment horizontal="center"/>
      <protection/>
    </xf>
    <xf numFmtId="17" fontId="5" fillId="0" borderId="15" xfId="0" applyNumberFormat="1" applyFont="1" applyFill="1" applyBorder="1" applyAlignment="1">
      <alignment horizontal="center"/>
    </xf>
    <xf numFmtId="37" fontId="8" fillId="0" borderId="31" xfId="0" applyNumberFormat="1" applyFont="1" applyBorder="1" applyAlignment="1" applyProtection="1" quotePrefix="1">
      <alignment horizontal="center"/>
      <protection locked="0"/>
    </xf>
    <xf numFmtId="37" fontId="8" fillId="0" borderId="25" xfId="0" applyNumberFormat="1" applyFont="1" applyBorder="1" applyAlignment="1" applyProtection="1" quotePrefix="1">
      <alignment horizontal="center"/>
      <protection locked="0"/>
    </xf>
    <xf numFmtId="167" fontId="5" fillId="0" borderId="15" xfId="0" applyNumberFormat="1" applyFont="1" applyFill="1" applyBorder="1" applyAlignment="1" applyProtection="1">
      <alignment/>
      <protection/>
    </xf>
    <xf numFmtId="167" fontId="5" fillId="0" borderId="15" xfId="0" applyNumberFormat="1" applyFont="1" applyFill="1" applyBorder="1" applyAlignment="1">
      <alignment/>
    </xf>
    <xf numFmtId="37" fontId="8" fillId="0" borderId="25" xfId="0" applyNumberFormat="1" applyFont="1" applyBorder="1" applyAlignment="1" applyProtection="1">
      <alignment horizontal="left"/>
      <protection locked="0"/>
    </xf>
    <xf numFmtId="0" fontId="4" fillId="0" borderId="25" xfId="0" applyFont="1" applyFill="1" applyBorder="1" applyAlignment="1">
      <alignment/>
    </xf>
    <xf numFmtId="37" fontId="5" fillId="0" borderId="25" xfId="0" applyNumberFormat="1" applyFont="1" applyFill="1" applyBorder="1" applyAlignment="1" applyProtection="1">
      <alignment/>
      <protection/>
    </xf>
    <xf numFmtId="167" fontId="5" fillId="0" borderId="25" xfId="0" applyNumberFormat="1" applyFont="1" applyFill="1" applyBorder="1" applyAlignment="1" applyProtection="1">
      <alignment/>
      <protection/>
    </xf>
    <xf numFmtId="167" fontId="5" fillId="0" borderId="30" xfId="0" applyNumberFormat="1" applyFont="1" applyFill="1" applyBorder="1" applyAlignment="1">
      <alignment/>
    </xf>
    <xf numFmtId="37" fontId="8" fillId="0" borderId="24" xfId="0" applyNumberFormat="1" applyFont="1" applyFill="1" applyBorder="1" applyAlignment="1" applyProtection="1">
      <alignment horizontal="left"/>
      <protection locked="0"/>
    </xf>
    <xf numFmtId="0" fontId="8" fillId="0" borderId="24" xfId="0" applyNumberFormat="1" applyFont="1" applyFill="1" applyBorder="1" applyAlignment="1" applyProtection="1">
      <alignment horizontal="left"/>
      <protection locked="0"/>
    </xf>
    <xf numFmtId="0" fontId="8" fillId="0" borderId="30" xfId="0" applyNumberFormat="1" applyFont="1" applyFill="1" applyBorder="1" applyAlignment="1" applyProtection="1">
      <alignment horizontal="left"/>
      <protection locked="0"/>
    </xf>
    <xf numFmtId="0" fontId="8" fillId="0" borderId="24" xfId="0" applyNumberFormat="1" applyFont="1" applyFill="1" applyBorder="1" applyAlignment="1" applyProtection="1" quotePrefix="1">
      <alignment horizontal="center"/>
      <protection locked="0"/>
    </xf>
    <xf numFmtId="37" fontId="8" fillId="0" borderId="24" xfId="0" applyNumberFormat="1" applyFont="1" applyFill="1" applyBorder="1" applyAlignment="1" applyProtection="1">
      <alignment horizontal="center"/>
      <protection locked="0"/>
    </xf>
    <xf numFmtId="37" fontId="8" fillId="0" borderId="24" xfId="0" applyNumberFormat="1" applyFont="1" applyFill="1" applyBorder="1" applyAlignment="1" applyProtection="1" quotePrefix="1">
      <alignment horizontal="center"/>
      <protection locked="0"/>
    </xf>
    <xf numFmtId="0" fontId="8" fillId="0" borderId="24" xfId="0" applyNumberFormat="1" applyFont="1" applyFill="1" applyBorder="1" applyAlignment="1" applyProtection="1">
      <alignment horizontal="center"/>
      <protection locked="0"/>
    </xf>
    <xf numFmtId="16" fontId="8" fillId="0" borderId="24"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left"/>
      <protection locked="0"/>
    </xf>
    <xf numFmtId="3" fontId="0" fillId="0" borderId="0" xfId="0" applyNumberFormat="1" applyFill="1" applyAlignment="1">
      <alignment/>
    </xf>
    <xf numFmtId="177" fontId="0" fillId="0" borderId="0" xfId="42" applyNumberFormat="1" applyFont="1" applyFill="1" applyAlignment="1">
      <alignment/>
    </xf>
    <xf numFmtId="177" fontId="0" fillId="0" borderId="0" xfId="0" applyNumberFormat="1" applyFill="1" applyAlignment="1">
      <alignment/>
    </xf>
    <xf numFmtId="0" fontId="4" fillId="0" borderId="22" xfId="0" applyFont="1" applyFill="1" applyBorder="1" applyAlignment="1">
      <alignment horizontal="center"/>
    </xf>
    <xf numFmtId="177" fontId="0" fillId="0" borderId="0" xfId="42" applyNumberFormat="1" applyFont="1" applyFill="1" applyAlignment="1">
      <alignment/>
    </xf>
    <xf numFmtId="37" fontId="5" fillId="0" borderId="30" xfId="0" applyNumberFormat="1" applyFont="1" applyFill="1" applyBorder="1" applyAlignment="1" applyProtection="1">
      <alignment/>
      <protection/>
    </xf>
    <xf numFmtId="164" fontId="5" fillId="0" borderId="23" xfId="0" applyNumberFormat="1" applyFont="1" applyFill="1" applyBorder="1" applyAlignment="1" applyProtection="1">
      <alignment/>
      <protection/>
    </xf>
    <xf numFmtId="17" fontId="5" fillId="0" borderId="23" xfId="0" applyNumberFormat="1" applyFont="1" applyFill="1" applyBorder="1" applyAlignment="1">
      <alignment/>
    </xf>
    <xf numFmtId="174" fontId="8" fillId="0" borderId="25" xfId="0" applyNumberFormat="1" applyFont="1" applyBorder="1" applyAlignment="1" applyProtection="1" quotePrefix="1">
      <alignment horizontal="center"/>
      <protection locked="0"/>
    </xf>
    <xf numFmtId="0" fontId="0" fillId="0" borderId="0" xfId="0" applyFill="1" applyAlignment="1">
      <alignment wrapText="1"/>
    </xf>
    <xf numFmtId="0" fontId="4" fillId="0" borderId="0" xfId="0" applyFont="1" applyFill="1" applyAlignment="1">
      <alignment wrapText="1"/>
    </xf>
    <xf numFmtId="0" fontId="4" fillId="0" borderId="16" xfId="0" applyFont="1" applyFill="1" applyBorder="1" applyAlignment="1">
      <alignment horizontal="center" wrapText="1"/>
    </xf>
    <xf numFmtId="0" fontId="4" fillId="0" borderId="17" xfId="0" applyFont="1" applyFill="1" applyBorder="1" applyAlignment="1">
      <alignment horizontal="left" wrapText="1"/>
    </xf>
    <xf numFmtId="0" fontId="4" fillId="0" borderId="25" xfId="0" applyFont="1" applyFill="1" applyBorder="1" applyAlignment="1">
      <alignment wrapText="1"/>
    </xf>
    <xf numFmtId="5" fontId="4" fillId="0" borderId="17" xfId="0" applyNumberFormat="1" applyFont="1" applyFill="1" applyBorder="1" applyAlignment="1" applyProtection="1">
      <alignment wrapText="1"/>
      <protection/>
    </xf>
    <xf numFmtId="5" fontId="4" fillId="0" borderId="0" xfId="0" applyNumberFormat="1" applyFont="1" applyFill="1" applyBorder="1" applyAlignment="1" applyProtection="1">
      <alignment wrapText="1"/>
      <protection/>
    </xf>
    <xf numFmtId="174" fontId="8" fillId="0" borderId="24" xfId="0" applyNumberFormat="1" applyFont="1" applyFill="1" applyBorder="1" applyAlignment="1" applyProtection="1" quotePrefix="1">
      <alignment horizontal="center"/>
      <protection locked="0"/>
    </xf>
    <xf numFmtId="178" fontId="5" fillId="0" borderId="15" xfId="0" applyNumberFormat="1" applyFont="1" applyFill="1" applyBorder="1" applyAlignment="1" applyProtection="1">
      <alignment/>
      <protection/>
    </xf>
    <xf numFmtId="178" fontId="5" fillId="0" borderId="15" xfId="0" applyNumberFormat="1" applyFont="1" applyFill="1" applyBorder="1" applyAlignment="1">
      <alignment/>
    </xf>
    <xf numFmtId="0" fontId="0" fillId="0" borderId="0" xfId="0" applyFont="1" applyFill="1" applyAlignment="1">
      <alignment horizontal="center"/>
    </xf>
    <xf numFmtId="0" fontId="4" fillId="0" borderId="32" xfId="0" applyFont="1" applyBorder="1" applyAlignment="1">
      <alignment/>
    </xf>
    <xf numFmtId="0" fontId="0" fillId="0" borderId="0" xfId="0" applyFont="1" applyFill="1" applyBorder="1" applyAlignment="1">
      <alignment/>
    </xf>
    <xf numFmtId="0" fontId="4" fillId="0" borderId="11" xfId="0" applyFont="1" applyFill="1" applyBorder="1" applyAlignment="1">
      <alignment horizontal="center" wrapText="1"/>
    </xf>
    <xf numFmtId="0" fontId="4" fillId="0" borderId="33" xfId="0" applyFont="1" applyFill="1" applyBorder="1" applyAlignment="1">
      <alignment horizontal="center" vertical="center"/>
    </xf>
    <xf numFmtId="37" fontId="5" fillId="0" borderId="33"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17" fontId="5" fillId="0" borderId="33" xfId="0" applyNumberFormat="1" applyFont="1" applyFill="1" applyBorder="1" applyAlignment="1">
      <alignment horizontal="center" vertical="center"/>
    </xf>
    <xf numFmtId="0" fontId="4" fillId="0" borderId="33" xfId="0" applyFont="1" applyFill="1" applyBorder="1" applyAlignment="1">
      <alignment horizontal="left" vertical="center" wrapText="1"/>
    </xf>
    <xf numFmtId="37" fontId="8" fillId="0" borderId="33" xfId="0" applyNumberFormat="1" applyFont="1" applyFill="1" applyBorder="1" applyAlignment="1" applyProtection="1">
      <alignment horizontal="center" vertical="center"/>
      <protection locked="0"/>
    </xf>
    <xf numFmtId="37" fontId="8" fillId="0" borderId="33" xfId="0" applyNumberFormat="1" applyFont="1" applyFill="1" applyBorder="1" applyAlignment="1" applyProtection="1">
      <alignment horizontal="left" vertical="center"/>
      <protection locked="0"/>
    </xf>
    <xf numFmtId="0" fontId="4" fillId="0" borderId="33" xfId="0" applyFont="1" applyBorder="1" applyAlignment="1">
      <alignment horizontal="center" vertical="center"/>
    </xf>
    <xf numFmtId="0" fontId="4" fillId="0" borderId="33" xfId="0" applyFont="1" applyBorder="1" applyAlignment="1">
      <alignment horizontal="left" vertical="center"/>
    </xf>
    <xf numFmtId="3" fontId="26" fillId="0" borderId="33" xfId="0" applyNumberFormat="1" applyFont="1" applyBorder="1" applyAlignment="1">
      <alignment horizontal="left" vertical="center"/>
    </xf>
    <xf numFmtId="0" fontId="5" fillId="0" borderId="0" xfId="0" applyFont="1" applyFill="1" applyBorder="1" applyAlignment="1">
      <alignment/>
    </xf>
    <xf numFmtId="17" fontId="5" fillId="0" borderId="0" xfId="0" applyNumberFormat="1" applyFont="1" applyFill="1" applyBorder="1" applyAlignment="1">
      <alignment/>
    </xf>
    <xf numFmtId="37" fontId="8" fillId="0" borderId="32" xfId="0" applyNumberFormat="1" applyFont="1" applyFill="1" applyBorder="1" applyAlignment="1" applyProtection="1">
      <alignment horizontal="center"/>
      <protection locked="0"/>
    </xf>
    <xf numFmtId="0" fontId="4" fillId="0" borderId="34" xfId="0" applyFont="1" applyFill="1" applyBorder="1" applyAlignment="1">
      <alignment/>
    </xf>
    <xf numFmtId="0" fontId="4" fillId="0" borderId="32" xfId="0" applyFont="1" applyFill="1" applyBorder="1" applyAlignment="1">
      <alignment/>
    </xf>
    <xf numFmtId="3" fontId="8" fillId="0" borderId="32" xfId="0" applyNumberFormat="1" applyFont="1" applyBorder="1" applyAlignment="1">
      <alignment vertical="top"/>
    </xf>
    <xf numFmtId="37" fontId="5" fillId="0" borderId="35" xfId="0" applyNumberFormat="1" applyFont="1" applyFill="1" applyBorder="1" applyAlignment="1" applyProtection="1">
      <alignment/>
      <protection/>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20" xfId="0" applyFont="1" applyFill="1" applyBorder="1" applyAlignment="1">
      <alignment horizontal="center"/>
    </xf>
    <xf numFmtId="0" fontId="4" fillId="0" borderId="35"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5" fillId="0" borderId="42" xfId="0" applyFont="1" applyFill="1" applyBorder="1" applyAlignment="1">
      <alignment/>
    </xf>
    <xf numFmtId="17" fontId="5" fillId="0" borderId="20" xfId="0" applyNumberFormat="1" applyFont="1" applyFill="1" applyBorder="1" applyAlignment="1">
      <alignment/>
    </xf>
    <xf numFmtId="17" fontId="5" fillId="0" borderId="20" xfId="0" applyNumberFormat="1" applyFont="1" applyFill="1" applyBorder="1" applyAlignment="1">
      <alignment horizontal="center"/>
    </xf>
    <xf numFmtId="164" fontId="5" fillId="0" borderId="20" xfId="0" applyNumberFormat="1" applyFont="1" applyFill="1" applyBorder="1" applyAlignment="1" applyProtection="1">
      <alignment horizontal="center"/>
      <protection/>
    </xf>
    <xf numFmtId="37" fontId="8" fillId="0" borderId="25" xfId="0" applyNumberFormat="1" applyFont="1" applyFill="1" applyBorder="1" applyAlignment="1" applyProtection="1">
      <alignment horizontal="center"/>
      <protection locked="0"/>
    </xf>
    <xf numFmtId="37" fontId="8" fillId="0" borderId="25" xfId="0" applyNumberFormat="1" applyFont="1" applyFill="1" applyBorder="1" applyAlignment="1" applyProtection="1">
      <alignment horizontal="left"/>
      <protection locked="0"/>
    </xf>
    <xf numFmtId="42" fontId="5" fillId="0" borderId="23" xfId="0" applyNumberFormat="1" applyFont="1" applyFill="1" applyBorder="1" applyAlignment="1" applyProtection="1">
      <alignment/>
      <protection/>
    </xf>
    <xf numFmtId="42" fontId="5" fillId="0" borderId="22" xfId="0" applyNumberFormat="1" applyFont="1" applyFill="1" applyBorder="1" applyAlignment="1" applyProtection="1">
      <alignment/>
      <protection/>
    </xf>
    <xf numFmtId="37" fontId="5" fillId="0" borderId="22" xfId="0" applyNumberFormat="1" applyFont="1" applyFill="1" applyBorder="1" applyAlignment="1" applyProtection="1">
      <alignment/>
      <protection/>
    </xf>
    <xf numFmtId="17" fontId="5" fillId="0" borderId="42" xfId="0" applyNumberFormat="1" applyFont="1" applyFill="1" applyBorder="1" applyAlignment="1">
      <alignment/>
    </xf>
    <xf numFmtId="42" fontId="5" fillId="0" borderId="36" xfId="0" applyNumberFormat="1" applyFont="1" applyFill="1" applyBorder="1" applyAlignment="1" applyProtection="1">
      <alignment/>
      <protection/>
    </xf>
    <xf numFmtId="42" fontId="5" fillId="0" borderId="39" xfId="0" applyNumberFormat="1" applyFont="1" applyFill="1" applyBorder="1" applyAlignment="1" applyProtection="1">
      <alignment/>
      <protection/>
    </xf>
    <xf numFmtId="3" fontId="8" fillId="0" borderId="43" xfId="0" applyNumberFormat="1" applyFont="1" applyBorder="1" applyAlignment="1">
      <alignment vertical="top"/>
    </xf>
    <xf numFmtId="3" fontId="8" fillId="0" borderId="24" xfId="0" applyNumberFormat="1" applyFont="1" applyBorder="1" applyAlignment="1">
      <alignment vertical="top"/>
    </xf>
    <xf numFmtId="17" fontId="5" fillId="0" borderId="33" xfId="0" applyNumberFormat="1" applyFont="1" applyFill="1" applyBorder="1" applyAlignment="1">
      <alignment/>
    </xf>
    <xf numFmtId="37" fontId="5" fillId="0" borderId="33" xfId="0" applyNumberFormat="1" applyFont="1" applyFill="1" applyBorder="1" applyAlignment="1" applyProtection="1">
      <alignment vertical="center"/>
      <protection/>
    </xf>
    <xf numFmtId="37" fontId="8" fillId="0" borderId="33" xfId="0" applyNumberFormat="1" applyFont="1" applyFill="1" applyBorder="1" applyAlignment="1" applyProtection="1">
      <alignment horizontal="center"/>
      <protection locked="0"/>
    </xf>
    <xf numFmtId="37" fontId="8" fillId="0" borderId="33" xfId="0" applyNumberFormat="1" applyFont="1" applyFill="1" applyBorder="1" applyAlignment="1" applyProtection="1">
      <alignment horizontal="left"/>
      <protection locked="0"/>
    </xf>
    <xf numFmtId="37" fontId="5" fillId="0" borderId="33" xfId="0" applyNumberFormat="1" applyFont="1" applyFill="1" applyBorder="1" applyAlignment="1" applyProtection="1">
      <alignment/>
      <protection/>
    </xf>
    <xf numFmtId="164" fontId="5" fillId="0" borderId="33" xfId="0" applyNumberFormat="1" applyFont="1" applyFill="1" applyBorder="1" applyAlignment="1" applyProtection="1">
      <alignment/>
      <protection/>
    </xf>
    <xf numFmtId="0" fontId="4" fillId="0" borderId="33" xfId="0" applyFont="1" applyFill="1" applyBorder="1" applyAlignment="1">
      <alignment/>
    </xf>
    <xf numFmtId="3" fontId="8" fillId="0" borderId="33" xfId="0" applyNumberFormat="1" applyFont="1" applyBorder="1" applyAlignment="1">
      <alignment vertical="top"/>
    </xf>
    <xf numFmtId="0" fontId="4" fillId="0" borderId="33" xfId="0" applyFont="1" applyFill="1" applyBorder="1" applyAlignment="1">
      <alignment horizontal="left"/>
    </xf>
    <xf numFmtId="3" fontId="8" fillId="0" borderId="33" xfId="0" applyNumberFormat="1" applyFont="1" applyBorder="1" applyAlignment="1">
      <alignment horizontal="left" vertical="center"/>
    </xf>
    <xf numFmtId="0" fontId="4" fillId="0" borderId="33" xfId="0" applyFont="1" applyFill="1" applyBorder="1" applyAlignment="1">
      <alignment vertical="center"/>
    </xf>
    <xf numFmtId="164" fontId="5" fillId="0" borderId="33" xfId="0" applyNumberFormat="1" applyFont="1" applyFill="1" applyBorder="1" applyAlignment="1" applyProtection="1">
      <alignment vertical="center"/>
      <protection/>
    </xf>
    <xf numFmtId="0" fontId="4" fillId="0" borderId="33" xfId="0" applyFont="1" applyBorder="1" applyAlignment="1">
      <alignment/>
    </xf>
    <xf numFmtId="3" fontId="8" fillId="0" borderId="33" xfId="0" applyNumberFormat="1" applyFont="1" applyBorder="1" applyAlignment="1">
      <alignment vertical="center"/>
    </xf>
    <xf numFmtId="17" fontId="5" fillId="0" borderId="33" xfId="0" applyNumberFormat="1" applyFont="1" applyFill="1" applyBorder="1" applyAlignment="1">
      <alignment vertical="center"/>
    </xf>
    <xf numFmtId="164" fontId="5" fillId="0" borderId="15" xfId="0" applyNumberFormat="1" applyFont="1" applyFill="1" applyBorder="1" applyAlignment="1" applyProtection="1">
      <alignment horizontal="center" vertical="center"/>
      <protection/>
    </xf>
    <xf numFmtId="164" fontId="5" fillId="0" borderId="20" xfId="0" applyNumberFormat="1" applyFont="1" applyFill="1" applyBorder="1" applyAlignment="1" applyProtection="1">
      <alignment horizontal="center" vertical="center"/>
      <protection/>
    </xf>
    <xf numFmtId="164" fontId="5" fillId="0" borderId="23" xfId="0" applyNumberFormat="1" applyFont="1" applyFill="1" applyBorder="1" applyAlignment="1" applyProtection="1">
      <alignment horizontal="center" vertical="center"/>
      <protection/>
    </xf>
    <xf numFmtId="17" fontId="5" fillId="0" borderId="42" xfId="0" applyNumberFormat="1" applyFont="1" applyFill="1" applyBorder="1" applyAlignment="1">
      <alignment horizontal="center" vertical="center"/>
    </xf>
    <xf numFmtId="0" fontId="8" fillId="0" borderId="41" xfId="0" applyNumberFormat="1" applyFont="1" applyFill="1" applyBorder="1" applyAlignment="1" applyProtection="1">
      <alignment horizontal="center"/>
      <protection locked="0"/>
    </xf>
    <xf numFmtId="37" fontId="8" fillId="0" borderId="43" xfId="0" applyNumberFormat="1" applyFont="1" applyFill="1" applyBorder="1" applyAlignment="1" applyProtection="1">
      <alignment horizontal="left"/>
      <protection locked="0"/>
    </xf>
    <xf numFmtId="0" fontId="4" fillId="0" borderId="24" xfId="0" applyFont="1" applyBorder="1" applyAlignment="1">
      <alignment/>
    </xf>
    <xf numFmtId="37" fontId="8" fillId="0" borderId="33" xfId="0" applyNumberFormat="1" applyFont="1" applyBorder="1" applyAlignment="1" applyProtection="1" quotePrefix="1">
      <alignment horizontal="center"/>
      <protection locked="0"/>
    </xf>
    <xf numFmtId="37" fontId="8" fillId="0" borderId="33" xfId="0" applyNumberFormat="1" applyFont="1" applyBorder="1" applyAlignment="1" applyProtection="1">
      <alignment horizontal="left"/>
      <protection locked="0"/>
    </xf>
    <xf numFmtId="0" fontId="4" fillId="0" borderId="33" xfId="0" applyFont="1" applyFill="1" applyBorder="1" applyAlignment="1">
      <alignment horizontal="left" wrapText="1"/>
    </xf>
    <xf numFmtId="178" fontId="5" fillId="0" borderId="33" xfId="0" applyNumberFormat="1" applyFont="1" applyFill="1" applyBorder="1" applyAlignment="1" applyProtection="1">
      <alignment/>
      <protection/>
    </xf>
    <xf numFmtId="178" fontId="5" fillId="0" borderId="33" xfId="0" applyNumberFormat="1" applyFont="1" applyFill="1" applyBorder="1" applyAlignment="1">
      <alignment/>
    </xf>
    <xf numFmtId="17" fontId="5" fillId="0" borderId="33" xfId="0" applyNumberFormat="1" applyFont="1" applyFill="1" applyBorder="1" applyAlignment="1">
      <alignment horizontal="center" vertical="center"/>
    </xf>
    <xf numFmtId="0" fontId="0" fillId="0" borderId="0" xfId="0" applyFont="1" applyFill="1" applyAlignment="1">
      <alignment horizontal="center"/>
    </xf>
    <xf numFmtId="0" fontId="4" fillId="0" borderId="33" xfId="0" applyFont="1" applyFill="1" applyBorder="1" applyAlignment="1">
      <alignment horizontal="center" vertical="center"/>
    </xf>
    <xf numFmtId="3" fontId="26" fillId="0" borderId="33" xfId="0" applyNumberFormat="1" applyFont="1" applyBorder="1" applyAlignment="1">
      <alignment horizontal="left" vertical="center"/>
    </xf>
    <xf numFmtId="0" fontId="4" fillId="0" borderId="33" xfId="0" applyFont="1" applyFill="1" applyBorder="1" applyAlignment="1">
      <alignment horizontal="left" vertical="center" wrapText="1"/>
    </xf>
    <xf numFmtId="37" fontId="5" fillId="0" borderId="33"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0" fontId="4" fillId="0" borderId="33" xfId="0" applyFont="1" applyBorder="1" applyAlignment="1">
      <alignment horizontal="center" vertical="center"/>
    </xf>
    <xf numFmtId="0" fontId="4" fillId="0" borderId="33" xfId="0" applyFont="1" applyBorder="1" applyAlignment="1">
      <alignment horizontal="left" vertical="center"/>
    </xf>
    <xf numFmtId="37" fontId="5" fillId="0" borderId="33" xfId="0" applyNumberFormat="1" applyFont="1" applyFill="1" applyBorder="1" applyAlignment="1" applyProtection="1">
      <alignment horizontal="right" vertical="center"/>
      <protection/>
    </xf>
    <xf numFmtId="37" fontId="5" fillId="0" borderId="33" xfId="0" applyNumberFormat="1" applyFont="1" applyFill="1" applyBorder="1" applyAlignment="1" applyProtection="1">
      <alignment horizontal="right"/>
      <protection/>
    </xf>
    <xf numFmtId="37" fontId="5" fillId="0" borderId="33" xfId="0" applyNumberFormat="1"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dimension ref="A1:Z85"/>
  <sheetViews>
    <sheetView tabSelected="1" zoomScalePageLayoutView="0" workbookViewId="0" topLeftCell="D1">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10.16015625" style="1" customWidth="1"/>
    <col min="17" max="17" width="57.5" style="1" customWidth="1"/>
    <col min="18" max="18" width="84.16015625" style="13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2015</v>
      </c>
      <c r="W4" s="2"/>
    </row>
    <row r="5" spans="1:12" ht="12">
      <c r="A5" s="2" t="s">
        <v>2</v>
      </c>
      <c r="L5" s="2" t="s">
        <v>73</v>
      </c>
    </row>
    <row r="6" spans="1:16" ht="15.75">
      <c r="A6" s="2" t="s">
        <v>3</v>
      </c>
      <c r="L6" s="2"/>
      <c r="P6" s="5" t="s">
        <v>55</v>
      </c>
    </row>
    <row r="7" spans="12:21" ht="19.5">
      <c r="L7" s="2" t="s">
        <v>4</v>
      </c>
      <c r="P7" s="6"/>
      <c r="U7" s="5" t="s">
        <v>319</v>
      </c>
    </row>
    <row r="8" spans="12:13" ht="12">
      <c r="L8" s="4" t="s">
        <v>312</v>
      </c>
      <c r="M8" s="4"/>
    </row>
    <row r="9" spans="17:24" ht="12.75">
      <c r="Q9" s="7"/>
      <c r="R9" s="132"/>
      <c r="S9" s="7"/>
      <c r="T9" s="8" t="s">
        <v>5</v>
      </c>
      <c r="U9" s="7"/>
      <c r="V9" s="7"/>
      <c r="W9" s="7"/>
      <c r="X9" s="7"/>
    </row>
    <row r="10" spans="17:24" ht="12.75">
      <c r="Q10" s="7"/>
      <c r="R10" s="132"/>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132"/>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143"/>
      <c r="Q12" s="8" t="s">
        <v>76</v>
      </c>
      <c r="R12" s="144" t="s">
        <v>18</v>
      </c>
      <c r="S12" s="9" t="s">
        <v>19</v>
      </c>
      <c r="T12" s="9" t="s">
        <v>19</v>
      </c>
      <c r="U12" s="8" t="s">
        <v>20</v>
      </c>
      <c r="V12" s="8" t="s">
        <v>21</v>
      </c>
      <c r="W12" s="8" t="s">
        <v>20</v>
      </c>
      <c r="X12" s="8"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194" t="s">
        <v>303</v>
      </c>
      <c r="Q13" s="197" t="s">
        <v>304</v>
      </c>
      <c r="R13" s="149" t="s">
        <v>340</v>
      </c>
      <c r="S13" s="185">
        <v>352752.28</v>
      </c>
      <c r="T13" s="185">
        <v>327458.11</v>
      </c>
      <c r="U13" s="195">
        <v>41939</v>
      </c>
      <c r="V13" s="198">
        <v>42034</v>
      </c>
      <c r="W13" s="198">
        <v>41939</v>
      </c>
      <c r="X13" s="198">
        <v>42132</v>
      </c>
      <c r="Y13" s="78"/>
      <c r="Z13" s="78"/>
    </row>
    <row r="14" spans="1:24"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145"/>
      <c r="Q14" s="154"/>
      <c r="R14" s="149"/>
      <c r="S14" s="146"/>
      <c r="T14" s="146"/>
      <c r="U14" s="147"/>
      <c r="V14" s="148"/>
      <c r="W14" s="148"/>
      <c r="X14" s="148"/>
    </row>
    <row r="15" spans="1:24" ht="12.75">
      <c r="A15" s="9" t="s">
        <v>148</v>
      </c>
      <c r="B15" s="14" t="s">
        <v>79</v>
      </c>
      <c r="C15" s="82">
        <v>2452788</v>
      </c>
      <c r="D15" s="82">
        <v>2000000</v>
      </c>
      <c r="E15" s="84">
        <f aca="true" t="shared" si="0" ref="E15:E34">C15-D15</f>
        <v>452788</v>
      </c>
      <c r="F15" s="26">
        <f>C15/D15</f>
        <v>1.226394</v>
      </c>
      <c r="G15" s="27">
        <f aca="true" t="shared" si="1" ref="G15:G34">D15/(D$35+D$78)</f>
        <v>0.06822726296612226</v>
      </c>
      <c r="H15" s="28"/>
      <c r="I15" s="28"/>
      <c r="J15" s="28"/>
      <c r="K15" s="28"/>
      <c r="L15" s="28"/>
      <c r="M15" s="28"/>
      <c r="N15" s="28"/>
      <c r="P15" s="213"/>
      <c r="Q15" s="214"/>
      <c r="R15" s="215"/>
      <c r="S15" s="216"/>
      <c r="T15" s="216"/>
      <c r="U15" s="217"/>
      <c r="V15" s="211"/>
      <c r="W15" s="211"/>
      <c r="X15" s="211"/>
    </row>
    <row r="16" spans="1:24" ht="12.75">
      <c r="A16" s="9" t="s">
        <v>38</v>
      </c>
      <c r="B16" s="14" t="s">
        <v>163</v>
      </c>
      <c r="C16" s="82">
        <v>688393</v>
      </c>
      <c r="D16" s="82">
        <v>750000</v>
      </c>
      <c r="E16" s="84">
        <f t="shared" si="0"/>
        <v>-61607</v>
      </c>
      <c r="F16" s="26">
        <f aca="true" t="shared" si="2" ref="F16:F34">C16/D16</f>
        <v>0.9178573333333333</v>
      </c>
      <c r="G16" s="30">
        <f t="shared" si="1"/>
        <v>0.02558522361229585</v>
      </c>
      <c r="H16" s="28"/>
      <c r="I16" s="28"/>
      <c r="J16" s="28"/>
      <c r="K16" s="28"/>
      <c r="L16" s="28"/>
      <c r="M16" s="28"/>
      <c r="N16" s="28"/>
      <c r="P16" s="213"/>
      <c r="Q16" s="214"/>
      <c r="R16" s="215"/>
      <c r="S16" s="216"/>
      <c r="T16" s="216"/>
      <c r="U16" s="217"/>
      <c r="V16" s="211"/>
      <c r="W16" s="211"/>
      <c r="X16" s="211"/>
    </row>
    <row r="17" spans="1:24" ht="12.75">
      <c r="A17" s="9" t="s">
        <v>39</v>
      </c>
      <c r="B17" s="14" t="s">
        <v>164</v>
      </c>
      <c r="C17" s="82">
        <v>5268365</v>
      </c>
      <c r="D17" s="82">
        <v>3117000</v>
      </c>
      <c r="E17" s="84">
        <f t="shared" si="0"/>
        <v>2151365</v>
      </c>
      <c r="F17" s="26">
        <f t="shared" si="2"/>
        <v>1.6902037215271093</v>
      </c>
      <c r="G17" s="30">
        <f t="shared" si="1"/>
        <v>0.10633218933270155</v>
      </c>
      <c r="H17" s="28"/>
      <c r="I17" s="28"/>
      <c r="J17" s="28"/>
      <c r="K17" s="28"/>
      <c r="L17" s="28"/>
      <c r="M17" s="28"/>
      <c r="N17" s="28"/>
      <c r="P17" s="59"/>
      <c r="Q17" s="17" t="s">
        <v>32</v>
      </c>
      <c r="R17" s="136"/>
      <c r="S17" s="55">
        <f>SUM(S13:S16)</f>
        <v>352752.28</v>
      </c>
      <c r="T17" s="55">
        <f>SUM(T13:T16)</f>
        <v>327458.11</v>
      </c>
      <c r="U17" s="60"/>
      <c r="V17" s="60"/>
      <c r="W17" s="60"/>
      <c r="X17" s="60"/>
    </row>
    <row r="18" spans="1:24" ht="12.75">
      <c r="A18" s="9" t="s">
        <v>40</v>
      </c>
      <c r="B18" s="14" t="s">
        <v>165</v>
      </c>
      <c r="C18" s="82">
        <v>198121</v>
      </c>
      <c r="D18" s="82">
        <v>335000</v>
      </c>
      <c r="E18" s="84">
        <f t="shared" si="0"/>
        <v>-136879</v>
      </c>
      <c r="F18" s="26">
        <f t="shared" si="2"/>
        <v>0.5914059701492538</v>
      </c>
      <c r="G18" s="30">
        <f t="shared" si="1"/>
        <v>0.01142806654682548</v>
      </c>
      <c r="H18" s="28"/>
      <c r="I18" s="28"/>
      <c r="J18" s="28"/>
      <c r="K18" s="28"/>
      <c r="L18" s="28"/>
      <c r="M18" s="28"/>
      <c r="N18" s="28"/>
      <c r="P18" s="59"/>
      <c r="Q18" s="59"/>
      <c r="R18" s="137"/>
      <c r="S18" s="80"/>
      <c r="T18" s="80"/>
      <c r="U18" s="60"/>
      <c r="V18" s="60"/>
      <c r="W18" s="60"/>
      <c r="X18" s="60"/>
    </row>
    <row r="19" spans="1:24" ht="12.75">
      <c r="A19" s="9" t="s">
        <v>149</v>
      </c>
      <c r="B19" s="14" t="s">
        <v>166</v>
      </c>
      <c r="C19" s="82">
        <v>456058</v>
      </c>
      <c r="D19" s="82">
        <v>785000</v>
      </c>
      <c r="E19" s="84">
        <f t="shared" si="0"/>
        <v>-328942</v>
      </c>
      <c r="F19" s="26">
        <f t="shared" si="2"/>
        <v>0.5809656050955414</v>
      </c>
      <c r="G19" s="30">
        <f t="shared" si="1"/>
        <v>0.026779200714202988</v>
      </c>
      <c r="H19" s="28"/>
      <c r="I19" s="28"/>
      <c r="J19" s="28"/>
      <c r="K19" s="28"/>
      <c r="L19" s="28"/>
      <c r="M19" s="28"/>
      <c r="N19" s="28"/>
      <c r="P19" s="59"/>
      <c r="Q19" s="59"/>
      <c r="R19" s="137"/>
      <c r="S19" s="80"/>
      <c r="T19" s="80"/>
      <c r="U19" s="60"/>
      <c r="V19" s="60"/>
      <c r="W19" s="60"/>
      <c r="X19" s="60"/>
    </row>
    <row r="20" spans="1:24" ht="12.75">
      <c r="A20" s="9" t="s">
        <v>41</v>
      </c>
      <c r="B20" s="14" t="s">
        <v>167</v>
      </c>
      <c r="C20" s="82">
        <v>158724</v>
      </c>
      <c r="D20" s="82">
        <v>200100</v>
      </c>
      <c r="E20" s="84">
        <f t="shared" si="0"/>
        <v>-41376</v>
      </c>
      <c r="F20" s="26">
        <f t="shared" si="2"/>
        <v>0.793223388305847</v>
      </c>
      <c r="G20" s="30">
        <f t="shared" si="1"/>
        <v>0.006826137659760532</v>
      </c>
      <c r="H20" s="28"/>
      <c r="I20" s="28"/>
      <c r="J20" s="28"/>
      <c r="K20" s="28"/>
      <c r="L20" s="28"/>
      <c r="M20" s="28"/>
      <c r="N20" s="28"/>
      <c r="P20" s="59"/>
      <c r="Q20" s="59"/>
      <c r="R20" s="137"/>
      <c r="S20" s="80"/>
      <c r="T20" s="80"/>
      <c r="U20" s="60"/>
      <c r="V20" s="60"/>
      <c r="W20" s="60"/>
      <c r="X20" s="60"/>
    </row>
    <row r="21" spans="1:24" ht="12.75">
      <c r="A21" s="9" t="s">
        <v>42</v>
      </c>
      <c r="B21" s="14" t="s">
        <v>168</v>
      </c>
      <c r="C21" s="82">
        <v>1517543</v>
      </c>
      <c r="D21" s="82">
        <v>332150</v>
      </c>
      <c r="E21" s="84">
        <f t="shared" si="0"/>
        <v>1185393</v>
      </c>
      <c r="F21" s="26">
        <f t="shared" si="2"/>
        <v>4.568848411862111</v>
      </c>
      <c r="G21" s="30">
        <f t="shared" si="1"/>
        <v>0.011330842697098754</v>
      </c>
      <c r="H21" s="28"/>
      <c r="I21" s="28"/>
      <c r="J21" s="28"/>
      <c r="K21" s="28"/>
      <c r="L21" s="28"/>
      <c r="M21" s="28"/>
      <c r="N21" s="28"/>
      <c r="P21" s="59"/>
      <c r="Q21" s="59"/>
      <c r="R21" s="137"/>
      <c r="S21" s="80"/>
      <c r="T21" s="80"/>
      <c r="U21" s="60"/>
      <c r="V21" s="60"/>
      <c r="W21" s="60"/>
      <c r="X21" s="60"/>
    </row>
    <row r="22" spans="1:24" ht="12.75">
      <c r="A22" s="9" t="s">
        <v>43</v>
      </c>
      <c r="B22" s="14" t="s">
        <v>169</v>
      </c>
      <c r="C22" s="82">
        <v>968162</v>
      </c>
      <c r="D22" s="82">
        <v>1030080</v>
      </c>
      <c r="E22" s="84">
        <f t="shared" si="0"/>
        <v>-61918</v>
      </c>
      <c r="F22" s="26">
        <f t="shared" si="2"/>
        <v>0.9398901056228642</v>
      </c>
      <c r="G22" s="30">
        <f t="shared" si="1"/>
        <v>0.03513976951807161</v>
      </c>
      <c r="H22" s="28"/>
      <c r="I22" s="28"/>
      <c r="J22" s="28"/>
      <c r="K22" s="28"/>
      <c r="L22" s="28"/>
      <c r="M22" s="28"/>
      <c r="N22" s="28"/>
      <c r="P22" s="59"/>
      <c r="Q22" s="59"/>
      <c r="R22" s="137"/>
      <c r="S22" s="80"/>
      <c r="T22" s="80"/>
      <c r="U22" s="60"/>
      <c r="V22" s="60"/>
      <c r="W22" s="60"/>
      <c r="X22" s="60"/>
    </row>
    <row r="23" spans="1:24" ht="12.75">
      <c r="A23" s="9" t="s">
        <v>44</v>
      </c>
      <c r="B23" s="14" t="s">
        <v>170</v>
      </c>
      <c r="C23" s="82">
        <v>400865</v>
      </c>
      <c r="D23" s="82">
        <v>650000</v>
      </c>
      <c r="E23" s="84">
        <f t="shared" si="0"/>
        <v>-249135</v>
      </c>
      <c r="F23" s="26">
        <f t="shared" si="2"/>
        <v>0.6167153846153847</v>
      </c>
      <c r="G23" s="30">
        <f t="shared" si="1"/>
        <v>0.022173860463989736</v>
      </c>
      <c r="H23" s="28"/>
      <c r="I23" s="28"/>
      <c r="J23" s="28"/>
      <c r="K23" s="28"/>
      <c r="L23" s="28"/>
      <c r="M23" s="28"/>
      <c r="N23" s="28"/>
      <c r="P23" s="59"/>
      <c r="Q23" s="59"/>
      <c r="R23" s="137"/>
      <c r="S23" s="80"/>
      <c r="T23" s="80"/>
      <c r="U23" s="60"/>
      <c r="V23" s="60"/>
      <c r="W23" s="60"/>
      <c r="X23" s="60"/>
    </row>
    <row r="24" spans="1:24" ht="12.75">
      <c r="A24" s="9" t="s">
        <v>151</v>
      </c>
      <c r="B24" s="14" t="s">
        <v>87</v>
      </c>
      <c r="C24" s="82">
        <v>618848</v>
      </c>
      <c r="D24" s="82">
        <v>542412</v>
      </c>
      <c r="E24" s="84">
        <f t="shared" si="0"/>
        <v>76436</v>
      </c>
      <c r="F24" s="26">
        <f t="shared" si="2"/>
        <v>1.140918711237952</v>
      </c>
      <c r="G24" s="30">
        <f t="shared" si="1"/>
        <v>0.018503643079990154</v>
      </c>
      <c r="H24" s="28"/>
      <c r="I24" s="28"/>
      <c r="J24" s="28"/>
      <c r="K24" s="28"/>
      <c r="L24" s="28"/>
      <c r="M24" s="28"/>
      <c r="N24" s="28"/>
      <c r="P24" s="59"/>
      <c r="Q24" s="59"/>
      <c r="R24" s="137"/>
      <c r="S24" s="80"/>
      <c r="T24" s="80"/>
      <c r="U24" s="60"/>
      <c r="V24" s="60"/>
      <c r="W24" s="60"/>
      <c r="X24" s="60"/>
    </row>
    <row r="25" spans="1:24" ht="12.75">
      <c r="A25" s="9" t="s">
        <v>150</v>
      </c>
      <c r="B25" s="14" t="s">
        <v>171</v>
      </c>
      <c r="C25" s="82">
        <v>551455</v>
      </c>
      <c r="D25" s="82">
        <v>937917</v>
      </c>
      <c r="E25" s="84">
        <f t="shared" si="0"/>
        <v>-386462</v>
      </c>
      <c r="F25" s="26">
        <f t="shared" si="2"/>
        <v>0.5879571433293138</v>
      </c>
      <c r="G25" s="30">
        <f t="shared" si="1"/>
        <v>0.03199575489969825</v>
      </c>
      <c r="H25" s="28"/>
      <c r="I25" s="28"/>
      <c r="J25" s="28"/>
      <c r="K25" s="28"/>
      <c r="L25" s="28"/>
      <c r="M25" s="28"/>
      <c r="N25" s="28"/>
      <c r="P25" s="59"/>
      <c r="Q25" s="59"/>
      <c r="R25" s="137"/>
      <c r="S25" s="80"/>
      <c r="T25" s="80"/>
      <c r="U25" s="60"/>
      <c r="V25" s="60"/>
      <c r="W25" s="60"/>
      <c r="X25" s="60"/>
    </row>
    <row r="26" spans="1:24" ht="12.75">
      <c r="A26" s="9" t="s">
        <v>152</v>
      </c>
      <c r="B26" s="14" t="s">
        <v>172</v>
      </c>
      <c r="C26" s="82">
        <v>136935</v>
      </c>
      <c r="D26" s="82">
        <v>131221</v>
      </c>
      <c r="E26" s="84">
        <f t="shared" si="0"/>
        <v>5714</v>
      </c>
      <c r="F26" s="26">
        <f t="shared" si="2"/>
        <v>1.0435448594356087</v>
      </c>
      <c r="G26" s="30">
        <f t="shared" si="1"/>
        <v>0.004476424836838765</v>
      </c>
      <c r="H26" s="28"/>
      <c r="I26" s="28"/>
      <c r="J26" s="28"/>
      <c r="K26" s="28"/>
      <c r="L26" s="28"/>
      <c r="M26" s="28"/>
      <c r="N26" s="28"/>
      <c r="P26" s="59"/>
      <c r="Q26" s="59"/>
      <c r="R26" s="137"/>
      <c r="S26" s="80"/>
      <c r="T26" s="80"/>
      <c r="U26" s="60"/>
      <c r="V26" s="60"/>
      <c r="W26" s="60"/>
      <c r="X26" s="60"/>
    </row>
    <row r="27" spans="1:24" ht="12.75">
      <c r="A27" s="9" t="s">
        <v>153</v>
      </c>
      <c r="B27" s="14" t="s">
        <v>173</v>
      </c>
      <c r="C27" s="82">
        <v>305610</v>
      </c>
      <c r="D27" s="82">
        <v>140000</v>
      </c>
      <c r="E27" s="84">
        <f t="shared" si="0"/>
        <v>165610</v>
      </c>
      <c r="F27" s="26">
        <f t="shared" si="2"/>
        <v>2.1829285714285716</v>
      </c>
      <c r="G27" s="30">
        <f t="shared" si="1"/>
        <v>0.004775908407628558</v>
      </c>
      <c r="H27" s="28"/>
      <c r="I27" s="28"/>
      <c r="J27" s="28"/>
      <c r="K27" s="28"/>
      <c r="L27" s="28"/>
      <c r="M27" s="28"/>
      <c r="N27" s="28"/>
      <c r="P27" s="59"/>
      <c r="Q27" s="59"/>
      <c r="R27" s="137"/>
      <c r="S27" s="80"/>
      <c r="T27" s="80"/>
      <c r="U27" s="60"/>
      <c r="V27" s="60"/>
      <c r="W27" s="60"/>
      <c r="X27" s="60"/>
    </row>
    <row r="28" spans="1:24" ht="12.75">
      <c r="A28" s="9" t="s">
        <v>154</v>
      </c>
      <c r="B28" s="81" t="s">
        <v>174</v>
      </c>
      <c r="C28" s="82">
        <v>165138</v>
      </c>
      <c r="D28" s="82">
        <v>245000</v>
      </c>
      <c r="E28" s="84">
        <f t="shared" si="0"/>
        <v>-79862</v>
      </c>
      <c r="F28" s="26">
        <f t="shared" si="2"/>
        <v>0.6740326530612245</v>
      </c>
      <c r="G28" s="30">
        <f t="shared" si="1"/>
        <v>0.008357839713349977</v>
      </c>
      <c r="H28" s="28"/>
      <c r="I28" s="28"/>
      <c r="J28" s="28"/>
      <c r="K28" s="28"/>
      <c r="L28" s="28"/>
      <c r="M28" s="28"/>
      <c r="N28" s="28"/>
      <c r="P28" s="59"/>
      <c r="U28" s="60"/>
      <c r="V28" s="60"/>
      <c r="W28" s="60"/>
      <c r="X28" s="60"/>
    </row>
    <row r="29" spans="1:24" ht="12.75">
      <c r="A29" s="9" t="s">
        <v>155</v>
      </c>
      <c r="B29" s="81" t="s">
        <v>89</v>
      </c>
      <c r="C29" s="82">
        <v>93664</v>
      </c>
      <c r="D29" s="82">
        <v>150000</v>
      </c>
      <c r="E29" s="84">
        <f t="shared" si="0"/>
        <v>-56336</v>
      </c>
      <c r="F29" s="26">
        <f t="shared" si="2"/>
        <v>0.6244266666666667</v>
      </c>
      <c r="G29" s="30">
        <f t="shared" si="1"/>
        <v>0.00511704472245917</v>
      </c>
      <c r="H29" s="28"/>
      <c r="I29" s="28"/>
      <c r="J29" s="28"/>
      <c r="K29" s="28"/>
      <c r="L29" s="28"/>
      <c r="M29" s="28"/>
      <c r="N29" s="28"/>
      <c r="P29" s="59"/>
      <c r="U29" s="60"/>
      <c r="V29" s="60"/>
      <c r="W29" s="60"/>
      <c r="X29" s="60"/>
    </row>
    <row r="30" spans="1:24" ht="12.75">
      <c r="A30" s="9" t="s">
        <v>156</v>
      </c>
      <c r="B30" s="81" t="s">
        <v>90</v>
      </c>
      <c r="C30" s="82">
        <v>584522</v>
      </c>
      <c r="D30" s="82">
        <v>552000</v>
      </c>
      <c r="E30" s="84">
        <f t="shared" si="0"/>
        <v>32522</v>
      </c>
      <c r="F30" s="26">
        <f t="shared" si="2"/>
        <v>1.0589166666666667</v>
      </c>
      <c r="G30" s="30">
        <f t="shared" si="1"/>
        <v>0.018830724578649746</v>
      </c>
      <c r="H30" s="28"/>
      <c r="I30" s="28"/>
      <c r="J30" s="28"/>
      <c r="K30" s="28"/>
      <c r="L30" s="28"/>
      <c r="M30" s="28"/>
      <c r="N30" s="28"/>
      <c r="P30" s="59"/>
      <c r="U30" s="60"/>
      <c r="V30" s="60"/>
      <c r="W30" s="60"/>
      <c r="X30" s="60"/>
    </row>
    <row r="31" spans="1:24" ht="12.75">
      <c r="A31" s="9" t="s">
        <v>157</v>
      </c>
      <c r="B31" s="81" t="s">
        <v>91</v>
      </c>
      <c r="C31" s="82">
        <v>567056</v>
      </c>
      <c r="D31" s="82">
        <v>305000</v>
      </c>
      <c r="E31" s="84">
        <f t="shared" si="0"/>
        <v>262056</v>
      </c>
      <c r="F31" s="26">
        <f t="shared" si="2"/>
        <v>1.8592</v>
      </c>
      <c r="G31" s="30">
        <f t="shared" si="1"/>
        <v>0.010404657602333646</v>
      </c>
      <c r="H31" s="28"/>
      <c r="I31" s="28"/>
      <c r="J31" s="28"/>
      <c r="K31" s="28"/>
      <c r="L31" s="28"/>
      <c r="M31" s="28"/>
      <c r="N31" s="28"/>
      <c r="P31" s="59"/>
      <c r="U31" s="60"/>
      <c r="V31" s="60"/>
      <c r="W31" s="60"/>
      <c r="X31" s="60"/>
    </row>
    <row r="32" spans="1:24" ht="12.75" customHeight="1">
      <c r="A32" s="9" t="s">
        <v>158</v>
      </c>
      <c r="B32" s="81" t="s">
        <v>175</v>
      </c>
      <c r="C32" s="82">
        <v>2311469</v>
      </c>
      <c r="D32" s="82">
        <v>1454875</v>
      </c>
      <c r="E32" s="84">
        <f t="shared" si="0"/>
        <v>856594</v>
      </c>
      <c r="F32" s="26">
        <f t="shared" si="2"/>
        <v>1.5887749806684424</v>
      </c>
      <c r="G32" s="30">
        <f t="shared" si="1"/>
        <v>0.04963106960391857</v>
      </c>
      <c r="H32" s="28"/>
      <c r="I32" s="28"/>
      <c r="J32" s="28"/>
      <c r="K32" s="28"/>
      <c r="L32" s="28"/>
      <c r="M32" s="28"/>
      <c r="N32" s="28"/>
      <c r="P32" s="7"/>
      <c r="U32" s="7"/>
      <c r="V32" s="7"/>
      <c r="W32" s="7"/>
      <c r="X32" s="7"/>
    </row>
    <row r="33" spans="1:14" ht="12.75">
      <c r="A33" s="9" t="s">
        <v>159</v>
      </c>
      <c r="B33" s="14" t="s">
        <v>176</v>
      </c>
      <c r="C33" s="82">
        <v>0</v>
      </c>
      <c r="D33" s="82">
        <v>0</v>
      </c>
      <c r="E33" s="84">
        <f t="shared" si="0"/>
        <v>0</v>
      </c>
      <c r="F33" s="26"/>
      <c r="G33" s="30">
        <f t="shared" si="1"/>
        <v>0</v>
      </c>
      <c r="H33" s="28"/>
      <c r="I33" s="28"/>
      <c r="J33" s="28"/>
      <c r="K33" s="28"/>
      <c r="L33" s="28"/>
      <c r="M33" s="28"/>
      <c r="N33" s="28"/>
    </row>
    <row r="34" spans="1:14" ht="12.75">
      <c r="A34" s="17" t="s">
        <v>160</v>
      </c>
      <c r="B34" s="23" t="s">
        <v>177</v>
      </c>
      <c r="C34" s="82">
        <v>449091</v>
      </c>
      <c r="D34" s="83">
        <v>42020</v>
      </c>
      <c r="E34" s="84">
        <f t="shared" si="0"/>
        <v>407071</v>
      </c>
      <c r="F34" s="62">
        <f t="shared" si="2"/>
        <v>10.687553545930509</v>
      </c>
      <c r="G34" s="62">
        <f t="shared" si="1"/>
        <v>0.0014334547949182287</v>
      </c>
      <c r="H34" s="28"/>
      <c r="I34" s="28"/>
      <c r="J34" s="28"/>
      <c r="K34" s="28"/>
      <c r="L34" s="28"/>
      <c r="M34" s="28"/>
      <c r="N34" s="28"/>
    </row>
    <row r="35" spans="1:14" ht="12.75">
      <c r="A35" s="24"/>
      <c r="B35" s="25" t="s">
        <v>31</v>
      </c>
      <c r="C35" s="34">
        <f>SUM(C15:C34)</f>
        <v>17892807</v>
      </c>
      <c r="D35" s="34">
        <f>SUM(D15:D34)</f>
        <v>13699775</v>
      </c>
      <c r="E35" s="34">
        <f>SUM(E15:E34)</f>
        <v>4193032</v>
      </c>
      <c r="F35" s="32">
        <f>C35/D35</f>
        <v>1.306065756554396</v>
      </c>
      <c r="G35" s="35"/>
      <c r="H35" s="28"/>
      <c r="I35" s="28"/>
      <c r="J35" s="28"/>
      <c r="K35" s="28"/>
      <c r="L35" s="28"/>
      <c r="M35" s="28"/>
      <c r="N35" s="28"/>
    </row>
    <row r="36" spans="1:14" ht="12.75">
      <c r="A36" s="24"/>
      <c r="B36" s="25" t="s">
        <v>161</v>
      </c>
      <c r="C36" s="34">
        <f>C15</f>
        <v>2452788</v>
      </c>
      <c r="D36" s="34">
        <f>D15</f>
        <v>2000000</v>
      </c>
      <c r="E36" s="34">
        <f>E15</f>
        <v>452788</v>
      </c>
      <c r="F36" s="35"/>
      <c r="G36" s="35"/>
      <c r="H36" s="28"/>
      <c r="I36" s="28"/>
      <c r="J36" s="28"/>
      <c r="K36" s="28"/>
      <c r="L36" s="28"/>
      <c r="M36" s="28"/>
      <c r="N36" s="28"/>
    </row>
    <row r="37" spans="1:14" ht="12.75">
      <c r="A37" s="24"/>
      <c r="B37" s="25" t="s">
        <v>162</v>
      </c>
      <c r="C37" s="34">
        <f>C35-C36</f>
        <v>15440019</v>
      </c>
      <c r="D37" s="34">
        <f>D35-D36</f>
        <v>11699775</v>
      </c>
      <c r="E37" s="34">
        <f>E35-E36</f>
        <v>3740244</v>
      </c>
      <c r="F37" s="36">
        <f>C37/D37</f>
        <v>1.319685122149785</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2015</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162"/>
      <c r="B52" s="163"/>
      <c r="C52" s="163"/>
      <c r="D52" s="163"/>
      <c r="E52" s="163"/>
      <c r="F52" s="163"/>
      <c r="G52" s="163"/>
      <c r="H52" s="163" t="s">
        <v>8</v>
      </c>
      <c r="I52" s="163" t="s">
        <v>8</v>
      </c>
      <c r="J52" s="163"/>
      <c r="K52" s="163" t="s">
        <v>9</v>
      </c>
      <c r="L52" s="163" t="s">
        <v>9</v>
      </c>
      <c r="M52" s="163"/>
      <c r="N52" s="164"/>
    </row>
    <row r="53" spans="1:14" ht="12.75">
      <c r="A53" s="165"/>
      <c r="B53" s="15"/>
      <c r="C53" s="15"/>
      <c r="D53" s="15" t="s">
        <v>12</v>
      </c>
      <c r="E53" s="15"/>
      <c r="F53" s="15"/>
      <c r="G53" s="15" t="s">
        <v>13</v>
      </c>
      <c r="H53" s="15" t="s">
        <v>14</v>
      </c>
      <c r="I53" s="15" t="s">
        <v>15</v>
      </c>
      <c r="J53" s="15"/>
      <c r="K53" s="15" t="s">
        <v>16</v>
      </c>
      <c r="L53" s="15" t="s">
        <v>16</v>
      </c>
      <c r="M53" s="15" t="s">
        <v>9</v>
      </c>
      <c r="N53" s="166" t="s">
        <v>9</v>
      </c>
    </row>
    <row r="54" spans="1:14" ht="12.75">
      <c r="A54" s="165"/>
      <c r="B54" s="15"/>
      <c r="C54" s="15" t="s">
        <v>12</v>
      </c>
      <c r="D54" s="15" t="s">
        <v>16</v>
      </c>
      <c r="E54" s="15" t="s">
        <v>22</v>
      </c>
      <c r="F54" s="15" t="s">
        <v>22</v>
      </c>
      <c r="G54" s="15" t="s">
        <v>23</v>
      </c>
      <c r="H54" s="15" t="s">
        <v>24</v>
      </c>
      <c r="I54" s="15" t="s">
        <v>24</v>
      </c>
      <c r="J54" s="15"/>
      <c r="K54" s="15" t="s">
        <v>15</v>
      </c>
      <c r="L54" s="15" t="s">
        <v>15</v>
      </c>
      <c r="M54" s="15" t="s">
        <v>14</v>
      </c>
      <c r="N54" s="166" t="s">
        <v>14</v>
      </c>
    </row>
    <row r="55" spans="1:14" ht="12.75">
      <c r="A55" s="167" t="s">
        <v>25</v>
      </c>
      <c r="B55" s="20" t="s">
        <v>26</v>
      </c>
      <c r="C55" s="125" t="s">
        <v>14</v>
      </c>
      <c r="D55" s="20" t="s">
        <v>15</v>
      </c>
      <c r="E55" s="20" t="s">
        <v>27</v>
      </c>
      <c r="F55" s="20" t="s">
        <v>13</v>
      </c>
      <c r="G55" s="20" t="s">
        <v>15</v>
      </c>
      <c r="H55" s="20" t="s">
        <v>28</v>
      </c>
      <c r="I55" s="20" t="s">
        <v>28</v>
      </c>
      <c r="J55" s="20" t="s">
        <v>22</v>
      </c>
      <c r="K55" s="20" t="s">
        <v>29</v>
      </c>
      <c r="L55" s="20" t="s">
        <v>30</v>
      </c>
      <c r="M55" s="20" t="s">
        <v>29</v>
      </c>
      <c r="N55" s="168" t="s">
        <v>30</v>
      </c>
    </row>
    <row r="56" spans="1:14" ht="12.75">
      <c r="A56" s="169"/>
      <c r="B56" s="51" t="s">
        <v>17</v>
      </c>
      <c r="C56" s="52"/>
      <c r="D56" s="52"/>
      <c r="E56" s="52"/>
      <c r="F56" s="53"/>
      <c r="G56" s="53"/>
      <c r="H56" s="54"/>
      <c r="I56" s="54"/>
      <c r="J56" s="54"/>
      <c r="K56" s="54"/>
      <c r="L56" s="54"/>
      <c r="M56" s="54"/>
      <c r="N56" s="170"/>
    </row>
    <row r="57" spans="1:14" ht="12.75">
      <c r="A57" s="159" t="s">
        <v>274</v>
      </c>
      <c r="B57" s="182" t="s">
        <v>227</v>
      </c>
      <c r="C57" s="180">
        <v>-2903</v>
      </c>
      <c r="D57" s="84">
        <v>0</v>
      </c>
      <c r="E57" s="85">
        <f aca="true" t="shared" si="3" ref="E57:E77">C57-D57</f>
        <v>-2903</v>
      </c>
      <c r="F57" s="30"/>
      <c r="G57" s="87">
        <f>D57/(D$35+D$78)</f>
        <v>0</v>
      </c>
      <c r="H57" s="29"/>
      <c r="I57" s="29"/>
      <c r="J57" s="38">
        <f aca="true" t="shared" si="4" ref="J57:J77">H57-I57</f>
        <v>0</v>
      </c>
      <c r="K57" s="40">
        <v>40179</v>
      </c>
      <c r="L57" s="101">
        <v>42004</v>
      </c>
      <c r="M57" s="101">
        <v>40452</v>
      </c>
      <c r="N57" s="172">
        <v>41773</v>
      </c>
    </row>
    <row r="58" spans="1:14" ht="12.75">
      <c r="A58" s="159" t="s">
        <v>292</v>
      </c>
      <c r="B58" s="183" t="s">
        <v>293</v>
      </c>
      <c r="C58" s="181">
        <v>2450776</v>
      </c>
      <c r="D58" s="84">
        <v>1009593</v>
      </c>
      <c r="E58" s="85">
        <f t="shared" si="3"/>
        <v>1441183</v>
      </c>
      <c r="F58" s="30">
        <f aca="true" t="shared" si="5" ref="F57:F77">C58/D58</f>
        <v>2.4274890970916</v>
      </c>
      <c r="G58" s="87">
        <f>D58/(D$35+D$78)</f>
        <v>0.034440883549878135</v>
      </c>
      <c r="H58" s="29"/>
      <c r="I58" s="29"/>
      <c r="J58" s="38">
        <f t="shared" si="4"/>
        <v>0</v>
      </c>
      <c r="K58" s="40">
        <v>40909</v>
      </c>
      <c r="L58" s="40">
        <v>42735</v>
      </c>
      <c r="M58" s="102">
        <v>42087</v>
      </c>
      <c r="N58" s="172"/>
    </row>
    <row r="59" spans="1:14" ht="12.75">
      <c r="A59" s="159" t="s">
        <v>320</v>
      </c>
      <c r="B59" s="183" t="s">
        <v>321</v>
      </c>
      <c r="C59" s="181">
        <v>727565</v>
      </c>
      <c r="D59" s="84">
        <v>0</v>
      </c>
      <c r="E59" s="85">
        <f>C59-D59</f>
        <v>727565</v>
      </c>
      <c r="F59" s="30"/>
      <c r="G59" s="87">
        <f>D59/(D$35+D$78)</f>
        <v>0</v>
      </c>
      <c r="H59" s="29"/>
      <c r="I59" s="29"/>
      <c r="J59" s="38"/>
      <c r="K59" s="40">
        <v>42373</v>
      </c>
      <c r="L59" s="40">
        <v>43098</v>
      </c>
      <c r="M59" s="102">
        <v>42062</v>
      </c>
      <c r="N59" s="172"/>
    </row>
    <row r="60" spans="1:14" ht="12.75">
      <c r="A60" s="159" t="s">
        <v>294</v>
      </c>
      <c r="B60" s="183" t="s">
        <v>295</v>
      </c>
      <c r="C60" s="181">
        <v>964373</v>
      </c>
      <c r="D60" s="84">
        <v>0</v>
      </c>
      <c r="E60" s="85">
        <f t="shared" si="3"/>
        <v>964373</v>
      </c>
      <c r="F60" s="30"/>
      <c r="G60" s="87">
        <f aca="true" t="shared" si="6" ref="G60:G72">D60/(D$35+D$78)</f>
        <v>0</v>
      </c>
      <c r="H60" s="29"/>
      <c r="I60" s="29"/>
      <c r="J60" s="38">
        <f t="shared" si="4"/>
        <v>0</v>
      </c>
      <c r="K60" s="40">
        <v>41641</v>
      </c>
      <c r="L60" s="40">
        <v>42369</v>
      </c>
      <c r="M60" s="40">
        <v>41845</v>
      </c>
      <c r="N60" s="171"/>
    </row>
    <row r="61" spans="1:14" ht="12.75">
      <c r="A61" s="159" t="s">
        <v>322</v>
      </c>
      <c r="B61" s="183" t="s">
        <v>323</v>
      </c>
      <c r="C61" s="181">
        <v>496064</v>
      </c>
      <c r="D61" s="84">
        <v>0</v>
      </c>
      <c r="E61" s="85">
        <f t="shared" si="3"/>
        <v>496064</v>
      </c>
      <c r="F61" s="30"/>
      <c r="G61" s="87">
        <f t="shared" si="6"/>
        <v>0</v>
      </c>
      <c r="H61" s="29"/>
      <c r="I61" s="29"/>
      <c r="J61" s="38">
        <f t="shared" si="4"/>
        <v>0</v>
      </c>
      <c r="K61" s="40">
        <v>42178</v>
      </c>
      <c r="L61" s="40">
        <v>42426</v>
      </c>
      <c r="M61" s="40">
        <v>42181</v>
      </c>
      <c r="N61" s="171"/>
    </row>
    <row r="62" spans="1:14" ht="12.75">
      <c r="A62" s="159" t="s">
        <v>280</v>
      </c>
      <c r="B62" s="183" t="s">
        <v>281</v>
      </c>
      <c r="C62" s="181">
        <v>10539887</v>
      </c>
      <c r="D62" s="84">
        <v>11925000</v>
      </c>
      <c r="E62" s="85">
        <f t="shared" si="3"/>
        <v>-1385113</v>
      </c>
      <c r="F62" s="30">
        <f t="shared" si="5"/>
        <v>0.883847966457023</v>
      </c>
      <c r="G62" s="30">
        <f t="shared" si="6"/>
        <v>0.406805055435504</v>
      </c>
      <c r="H62" s="29"/>
      <c r="I62" s="29"/>
      <c r="J62" s="38">
        <f t="shared" si="4"/>
        <v>0</v>
      </c>
      <c r="K62" s="40">
        <v>41275</v>
      </c>
      <c r="L62" s="40">
        <v>42735</v>
      </c>
      <c r="M62" s="40">
        <v>42036</v>
      </c>
      <c r="N62" s="171"/>
    </row>
    <row r="63" spans="1:14" ht="12.75">
      <c r="A63" s="159" t="s">
        <v>282</v>
      </c>
      <c r="B63" s="183" t="s">
        <v>283</v>
      </c>
      <c r="C63" s="181">
        <v>460667</v>
      </c>
      <c r="D63" s="84">
        <v>0</v>
      </c>
      <c r="E63" s="85">
        <f t="shared" si="3"/>
        <v>460667</v>
      </c>
      <c r="F63" s="30"/>
      <c r="G63" s="30">
        <f t="shared" si="6"/>
        <v>0</v>
      </c>
      <c r="H63" s="29"/>
      <c r="I63" s="29"/>
      <c r="J63" s="38">
        <f t="shared" si="4"/>
        <v>0</v>
      </c>
      <c r="K63" s="40">
        <v>41275</v>
      </c>
      <c r="L63" s="40">
        <v>42004</v>
      </c>
      <c r="M63" s="40">
        <v>41877</v>
      </c>
      <c r="N63" s="171"/>
    </row>
    <row r="64" spans="1:14" ht="12.75">
      <c r="A64" s="159" t="s">
        <v>325</v>
      </c>
      <c r="B64" s="183" t="s">
        <v>324</v>
      </c>
      <c r="C64" s="181">
        <v>0</v>
      </c>
      <c r="D64" s="84">
        <v>1000000</v>
      </c>
      <c r="E64" s="85">
        <f t="shared" si="3"/>
        <v>-1000000</v>
      </c>
      <c r="F64" s="30">
        <f t="shared" si="5"/>
        <v>0</v>
      </c>
      <c r="G64" s="30">
        <f t="shared" si="6"/>
        <v>0.03411363148306113</v>
      </c>
      <c r="H64" s="29"/>
      <c r="I64" s="29"/>
      <c r="J64" s="38">
        <f t="shared" si="4"/>
        <v>0</v>
      </c>
      <c r="K64" s="40">
        <v>42219</v>
      </c>
      <c r="L64" s="40">
        <v>42369</v>
      </c>
      <c r="M64" s="40"/>
      <c r="N64" s="171"/>
    </row>
    <row r="65" spans="1:14" ht="12.75">
      <c r="A65" s="159" t="s">
        <v>326</v>
      </c>
      <c r="B65" s="183" t="s">
        <v>327</v>
      </c>
      <c r="C65" s="181">
        <v>0</v>
      </c>
      <c r="D65" s="84">
        <v>400000</v>
      </c>
      <c r="E65" s="85">
        <f t="shared" si="3"/>
        <v>-400000</v>
      </c>
      <c r="F65" s="30">
        <f t="shared" si="5"/>
        <v>0</v>
      </c>
      <c r="G65" s="30">
        <f t="shared" si="6"/>
        <v>0.013645452593224453</v>
      </c>
      <c r="H65" s="29"/>
      <c r="I65" s="29"/>
      <c r="J65" s="38">
        <f t="shared" si="4"/>
        <v>0</v>
      </c>
      <c r="K65" s="40">
        <v>42006</v>
      </c>
      <c r="L65" s="40">
        <v>42734</v>
      </c>
      <c r="M65" s="40"/>
      <c r="N65" s="171"/>
    </row>
    <row r="66" spans="1:14" ht="12.75">
      <c r="A66" s="159" t="s">
        <v>299</v>
      </c>
      <c r="B66" s="183" t="s">
        <v>300</v>
      </c>
      <c r="C66" s="181">
        <v>2506</v>
      </c>
      <c r="D66" s="84">
        <v>0</v>
      </c>
      <c r="E66" s="85">
        <f t="shared" si="3"/>
        <v>2506</v>
      </c>
      <c r="F66" s="30"/>
      <c r="G66" s="30">
        <f t="shared" si="6"/>
        <v>0</v>
      </c>
      <c r="H66" s="29"/>
      <c r="I66" s="29"/>
      <c r="J66" s="38">
        <f t="shared" si="4"/>
        <v>0</v>
      </c>
      <c r="K66" s="40">
        <v>41869</v>
      </c>
      <c r="L66" s="46">
        <v>41957</v>
      </c>
      <c r="M66" s="46">
        <v>41877</v>
      </c>
      <c r="N66" s="171">
        <v>42004</v>
      </c>
    </row>
    <row r="67" spans="1:14" ht="12.75">
      <c r="A67" s="159" t="s">
        <v>301</v>
      </c>
      <c r="B67" s="183" t="s">
        <v>302</v>
      </c>
      <c r="C67" s="181">
        <v>191174</v>
      </c>
      <c r="D67" s="84">
        <v>0</v>
      </c>
      <c r="E67" s="85">
        <f t="shared" si="3"/>
        <v>191174</v>
      </c>
      <c r="F67" s="30"/>
      <c r="G67" s="30">
        <f t="shared" si="6"/>
        <v>0</v>
      </c>
      <c r="H67" s="29"/>
      <c r="I67" s="29"/>
      <c r="J67" s="38">
        <f t="shared" si="4"/>
        <v>0</v>
      </c>
      <c r="K67" s="40">
        <v>41911</v>
      </c>
      <c r="L67" s="46">
        <v>42062</v>
      </c>
      <c r="M67" s="46">
        <v>41912</v>
      </c>
      <c r="N67" s="171"/>
    </row>
    <row r="68" spans="1:14" ht="12.75">
      <c r="A68" s="159" t="s">
        <v>303</v>
      </c>
      <c r="B68" s="183" t="s">
        <v>304</v>
      </c>
      <c r="C68" s="181">
        <v>18809</v>
      </c>
      <c r="D68" s="84">
        <v>0</v>
      </c>
      <c r="E68" s="85">
        <f t="shared" si="3"/>
        <v>18809</v>
      </c>
      <c r="F68" s="30"/>
      <c r="G68" s="30">
        <f t="shared" si="6"/>
        <v>0</v>
      </c>
      <c r="H68" s="29">
        <v>352752.28</v>
      </c>
      <c r="I68" s="29">
        <v>327458.11</v>
      </c>
      <c r="J68" s="38">
        <f t="shared" si="4"/>
        <v>25294.170000000042</v>
      </c>
      <c r="K68" s="40">
        <v>41939</v>
      </c>
      <c r="L68" s="46">
        <v>42034</v>
      </c>
      <c r="M68" s="46">
        <v>41939</v>
      </c>
      <c r="N68" s="171">
        <v>42132</v>
      </c>
    </row>
    <row r="69" spans="1:14" ht="12.75">
      <c r="A69" s="159" t="s">
        <v>305</v>
      </c>
      <c r="B69" s="183" t="s">
        <v>306</v>
      </c>
      <c r="C69" s="181">
        <v>31242</v>
      </c>
      <c r="D69" s="84">
        <v>0</v>
      </c>
      <c r="E69" s="85">
        <f t="shared" si="3"/>
        <v>31242</v>
      </c>
      <c r="F69" s="30"/>
      <c r="G69" s="30">
        <f t="shared" si="6"/>
        <v>0</v>
      </c>
      <c r="H69" s="29"/>
      <c r="I69" s="29"/>
      <c r="J69" s="38">
        <f t="shared" si="4"/>
        <v>0</v>
      </c>
      <c r="K69" s="40">
        <v>41927</v>
      </c>
      <c r="L69" s="46">
        <v>42004</v>
      </c>
      <c r="M69" s="46">
        <v>41939</v>
      </c>
      <c r="N69" s="171">
        <v>42004</v>
      </c>
    </row>
    <row r="70" spans="1:14" ht="12.75">
      <c r="A70" s="159" t="s">
        <v>328</v>
      </c>
      <c r="B70" s="183" t="s">
        <v>329</v>
      </c>
      <c r="C70" s="181">
        <v>521564</v>
      </c>
      <c r="D70" s="84">
        <v>0</v>
      </c>
      <c r="E70" s="85">
        <f t="shared" si="3"/>
        <v>521564</v>
      </c>
      <c r="F70" s="30"/>
      <c r="G70" s="30">
        <f t="shared" si="6"/>
        <v>0</v>
      </c>
      <c r="H70" s="29"/>
      <c r="I70" s="29"/>
      <c r="J70" s="38">
        <f t="shared" si="4"/>
        <v>0</v>
      </c>
      <c r="K70" s="40">
        <v>42186</v>
      </c>
      <c r="L70" s="46">
        <v>42339</v>
      </c>
      <c r="M70" s="46">
        <v>42247</v>
      </c>
      <c r="N70" s="171"/>
    </row>
    <row r="71" spans="1:14" ht="12.75">
      <c r="A71" s="159" t="s">
        <v>330</v>
      </c>
      <c r="B71" s="183" t="s">
        <v>331</v>
      </c>
      <c r="C71" s="181">
        <v>601163</v>
      </c>
      <c r="D71" s="84">
        <v>0</v>
      </c>
      <c r="E71" s="85">
        <f t="shared" si="3"/>
        <v>601163</v>
      </c>
      <c r="F71" s="30"/>
      <c r="G71" s="30">
        <f t="shared" si="6"/>
        <v>0</v>
      </c>
      <c r="H71" s="29"/>
      <c r="I71" s="29"/>
      <c r="J71" s="38">
        <f t="shared" si="4"/>
        <v>0</v>
      </c>
      <c r="K71" s="40">
        <v>42240</v>
      </c>
      <c r="L71" s="46">
        <v>42489</v>
      </c>
      <c r="M71" s="46">
        <v>42247</v>
      </c>
      <c r="N71" s="171"/>
    </row>
    <row r="72" spans="1:14" ht="12.75">
      <c r="A72" s="157" t="s">
        <v>332</v>
      </c>
      <c r="B72" s="112" t="s">
        <v>333</v>
      </c>
      <c r="C72" s="84">
        <v>66400</v>
      </c>
      <c r="D72" s="84">
        <v>0</v>
      </c>
      <c r="E72" s="85">
        <f t="shared" si="3"/>
        <v>66400</v>
      </c>
      <c r="F72" s="30"/>
      <c r="G72" s="30">
        <f t="shared" si="6"/>
        <v>0</v>
      </c>
      <c r="H72" s="29"/>
      <c r="I72" s="29"/>
      <c r="J72" s="38">
        <f t="shared" si="4"/>
        <v>0</v>
      </c>
      <c r="K72" s="40">
        <v>42306</v>
      </c>
      <c r="L72" s="40">
        <v>43070</v>
      </c>
      <c r="M72" s="40"/>
      <c r="N72" s="171"/>
    </row>
    <row r="73" spans="1:14" ht="12.75">
      <c r="A73" s="116" t="s">
        <v>334</v>
      </c>
      <c r="B73" s="112" t="s">
        <v>335</v>
      </c>
      <c r="C73" s="84">
        <v>5740</v>
      </c>
      <c r="D73" s="84"/>
      <c r="E73" s="85">
        <f>C73-D73</f>
        <v>5740</v>
      </c>
      <c r="F73" s="30"/>
      <c r="G73" s="87">
        <f>D73/(D$35+D$78)</f>
        <v>0</v>
      </c>
      <c r="H73" s="29"/>
      <c r="I73" s="29"/>
      <c r="J73" s="38">
        <f t="shared" si="4"/>
        <v>0</v>
      </c>
      <c r="K73" s="40">
        <v>42306</v>
      </c>
      <c r="L73" s="40">
        <v>42492</v>
      </c>
      <c r="M73" s="40">
        <v>42307</v>
      </c>
      <c r="N73" s="171"/>
    </row>
    <row r="74" spans="1:14" ht="12.75">
      <c r="A74" s="116" t="s">
        <v>266</v>
      </c>
      <c r="B74" s="112" t="s">
        <v>239</v>
      </c>
      <c r="C74" s="84">
        <v>49119</v>
      </c>
      <c r="D74" s="84"/>
      <c r="E74" s="85">
        <f>C74-D74</f>
        <v>49119</v>
      </c>
      <c r="F74" s="30"/>
      <c r="G74" s="87">
        <f>D74/(D$35+D$78)</f>
        <v>0</v>
      </c>
      <c r="H74" s="29"/>
      <c r="I74" s="29"/>
      <c r="J74" s="38">
        <f t="shared" si="4"/>
        <v>0</v>
      </c>
      <c r="K74" s="40">
        <v>40575</v>
      </c>
      <c r="L74" s="46">
        <v>41698</v>
      </c>
      <c r="M74" s="46">
        <v>41352</v>
      </c>
      <c r="N74" s="171">
        <v>41766</v>
      </c>
    </row>
    <row r="75" spans="1:14" ht="12.75">
      <c r="A75" s="116" t="s">
        <v>286</v>
      </c>
      <c r="B75" s="112" t="s">
        <v>241</v>
      </c>
      <c r="C75" s="84">
        <v>-228820</v>
      </c>
      <c r="D75" s="84"/>
      <c r="E75" s="85">
        <f t="shared" si="3"/>
        <v>-228820</v>
      </c>
      <c r="F75" s="30"/>
      <c r="G75" s="30">
        <f>D75/(D$35+D$78)</f>
        <v>0</v>
      </c>
      <c r="H75" s="29"/>
      <c r="I75" s="29"/>
      <c r="J75" s="38">
        <f t="shared" si="4"/>
        <v>0</v>
      </c>
      <c r="K75" s="40">
        <v>40787</v>
      </c>
      <c r="L75" s="40">
        <v>41974</v>
      </c>
      <c r="M75" s="40">
        <v>40817</v>
      </c>
      <c r="N75" s="171">
        <v>42004</v>
      </c>
    </row>
    <row r="76" spans="1:14" ht="12.75">
      <c r="A76" s="116" t="s">
        <v>309</v>
      </c>
      <c r="B76" s="112" t="s">
        <v>310</v>
      </c>
      <c r="C76" s="84">
        <v>1690479</v>
      </c>
      <c r="D76" s="84">
        <v>0</v>
      </c>
      <c r="E76" s="85">
        <f t="shared" si="3"/>
        <v>1690479</v>
      </c>
      <c r="F76" s="30"/>
      <c r="G76" s="30"/>
      <c r="H76" s="29"/>
      <c r="I76" s="29"/>
      <c r="J76" s="38">
        <f t="shared" si="4"/>
        <v>0</v>
      </c>
      <c r="K76" s="101" t="s">
        <v>137</v>
      </c>
      <c r="L76" s="101" t="s">
        <v>137</v>
      </c>
      <c r="M76" s="199" t="s">
        <v>137</v>
      </c>
      <c r="N76" s="200" t="s">
        <v>137</v>
      </c>
    </row>
    <row r="77" spans="1:14" ht="12.75">
      <c r="A77" s="174" t="s">
        <v>336</v>
      </c>
      <c r="B77" s="175" t="s">
        <v>236</v>
      </c>
      <c r="C77" s="176">
        <v>0</v>
      </c>
      <c r="D77" s="176">
        <v>1279427</v>
      </c>
      <c r="E77" s="177">
        <f t="shared" si="3"/>
        <v>-1279427</v>
      </c>
      <c r="F77" s="62">
        <f t="shared" si="5"/>
        <v>0</v>
      </c>
      <c r="G77" s="62">
        <f>D77/(D$35+D$78)</f>
        <v>0.04364590118747846</v>
      </c>
      <c r="H77" s="74"/>
      <c r="I77" s="74"/>
      <c r="J77" s="178">
        <f t="shared" si="4"/>
        <v>0</v>
      </c>
      <c r="K77" s="128">
        <v>41640</v>
      </c>
      <c r="L77" s="128">
        <v>41974</v>
      </c>
      <c r="M77" s="201" t="s">
        <v>137</v>
      </c>
      <c r="N77" s="202" t="s">
        <v>137</v>
      </c>
    </row>
    <row r="78" spans="3:14" ht="12">
      <c r="C78" s="161">
        <f>SUM(C56:C77)</f>
        <v>18585805</v>
      </c>
      <c r="D78" s="31">
        <f>SUM(D56:D77)</f>
        <v>15614020</v>
      </c>
      <c r="E78" s="31">
        <f>SUM(E56:E77)</f>
        <v>2971785</v>
      </c>
      <c r="F78" s="33">
        <f>C78/D78</f>
        <v>1.1903279872832238</v>
      </c>
      <c r="G78" s="35"/>
      <c r="H78" s="28"/>
      <c r="I78" s="28"/>
      <c r="J78" s="28"/>
      <c r="K78" s="28"/>
      <c r="L78" s="28"/>
      <c r="M78" s="28"/>
      <c r="N78" s="28"/>
    </row>
    <row r="80" spans="3:6" ht="12">
      <c r="C80" s="122"/>
      <c r="D80" s="122"/>
      <c r="E80" s="122"/>
      <c r="F80" s="73"/>
    </row>
    <row r="81" ht="12">
      <c r="C81" s="126"/>
    </row>
    <row r="83" ht="12">
      <c r="C83" s="124"/>
    </row>
    <row r="85" ht="12">
      <c r="C85" s="124"/>
    </row>
  </sheetData>
  <sheetProtection/>
  <mergeCells count="15">
    <mergeCell ref="A42:N42"/>
    <mergeCell ref="A43:N43"/>
    <mergeCell ref="A44:N44"/>
    <mergeCell ref="S15:S16"/>
    <mergeCell ref="T15:T16"/>
    <mergeCell ref="U15:U16"/>
    <mergeCell ref="V15:V16"/>
    <mergeCell ref="W15:W16"/>
    <mergeCell ref="X15:X16"/>
    <mergeCell ref="A1:N1"/>
    <mergeCell ref="A2:N2"/>
    <mergeCell ref="A3:N3"/>
    <mergeCell ref="P15:P16"/>
    <mergeCell ref="Q15:Q16"/>
    <mergeCell ref="R15:R16"/>
  </mergeCells>
  <printOptions/>
  <pageMargins left="0.7" right="0.7" top="0.75" bottom="0.75" header="0.3" footer="0.3"/>
  <pageSetup horizontalDpi="600" verticalDpi="600" orientation="landscape" scale="67" r:id="rId1"/>
</worksheet>
</file>

<file path=xl/worksheets/sheet10.xml><?xml version="1.0" encoding="utf-8"?>
<worksheet xmlns="http://schemas.openxmlformats.org/spreadsheetml/2006/main" xmlns:r="http://schemas.openxmlformats.org/officeDocument/2006/relationships">
  <dimension ref="A1:Z85"/>
  <sheetViews>
    <sheetView tabSelected="1" view="pageBreakPreview" zoomScaleSheetLayoutView="100" zoomScalePageLayoutView="0" workbookViewId="0" topLeftCell="A13">
      <selection activeCell="F76" activeCellId="15" sqref="F57 F59 F60 F61 F63 F66 F67 F68 F69 F70 F71 F72 F73 F74 F75 F76"/>
    </sheetView>
  </sheetViews>
  <sheetFormatPr defaultColWidth="9.83203125" defaultRowHeight="12"/>
  <cols>
    <col min="1" max="1" width="8.66015625" style="1" customWidth="1"/>
    <col min="2" max="2" width="62.16015625" style="1" customWidth="1"/>
    <col min="3" max="3" width="13.66015625" style="1" customWidth="1"/>
    <col min="4" max="5" width="12.660156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7.83203125" style="1" customWidth="1"/>
    <col min="17" max="17" width="57.5" style="1" customWidth="1"/>
    <col min="18" max="18" width="72" style="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2006</v>
      </c>
      <c r="W4" s="2"/>
    </row>
    <row r="5" spans="1:12" ht="12">
      <c r="A5" s="2" t="s">
        <v>2</v>
      </c>
      <c r="L5" s="2" t="s">
        <v>73</v>
      </c>
    </row>
    <row r="6" spans="1:16" ht="15.75">
      <c r="A6" s="2" t="s">
        <v>3</v>
      </c>
      <c r="L6" s="2"/>
      <c r="P6" s="5" t="s">
        <v>55</v>
      </c>
    </row>
    <row r="7" spans="12:21" ht="19.5">
      <c r="L7" s="2" t="s">
        <v>4</v>
      </c>
      <c r="P7" s="6"/>
      <c r="U7" s="5" t="s">
        <v>77</v>
      </c>
    </row>
    <row r="8" spans="12:13" ht="12">
      <c r="L8" s="4" t="s">
        <v>312</v>
      </c>
      <c r="M8" s="4"/>
    </row>
    <row r="9" spans="17:24" ht="12.75">
      <c r="Q9" s="7"/>
      <c r="R9" s="7"/>
      <c r="S9" s="7"/>
      <c r="T9" s="8" t="s">
        <v>5</v>
      </c>
      <c r="U9" s="7"/>
      <c r="V9" s="7"/>
      <c r="W9" s="7"/>
      <c r="X9" s="7"/>
    </row>
    <row r="10" spans="17:24" ht="12.75">
      <c r="Q10" s="7"/>
      <c r="R10" s="7"/>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7"/>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6" t="s">
        <v>18</v>
      </c>
      <c r="S12" s="17" t="s">
        <v>19</v>
      </c>
      <c r="T12" s="17" t="s">
        <v>19</v>
      </c>
      <c r="U12" s="16" t="s">
        <v>20</v>
      </c>
      <c r="V12" s="16" t="s">
        <v>21</v>
      </c>
      <c r="W12" s="16" t="s">
        <v>20</v>
      </c>
      <c r="X12" s="16"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94" t="s">
        <v>36</v>
      </c>
      <c r="Q13" s="64" t="s">
        <v>60</v>
      </c>
      <c r="R13" s="18" t="s">
        <v>143</v>
      </c>
      <c r="S13" s="19">
        <v>657269</v>
      </c>
      <c r="T13" s="19">
        <v>350000</v>
      </c>
      <c r="U13" s="47">
        <v>35827</v>
      </c>
      <c r="V13" s="47">
        <v>36404</v>
      </c>
      <c r="W13" s="47">
        <v>36192</v>
      </c>
      <c r="X13" s="47">
        <v>39052</v>
      </c>
      <c r="Y13" s="78"/>
      <c r="Z13" s="78"/>
    </row>
    <row r="14" spans="1:24"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7" t="s">
        <v>106</v>
      </c>
      <c r="Q14" s="70" t="s">
        <v>107</v>
      </c>
      <c r="R14" s="21" t="s">
        <v>144</v>
      </c>
      <c r="S14" s="22">
        <v>1309064</v>
      </c>
      <c r="T14" s="22">
        <v>1800000</v>
      </c>
      <c r="U14" s="48">
        <v>38443</v>
      </c>
      <c r="V14" s="48">
        <v>39417</v>
      </c>
      <c r="W14" s="48">
        <v>38565</v>
      </c>
      <c r="X14" s="48">
        <v>39052</v>
      </c>
    </row>
    <row r="15" spans="1:24" ht="12.75">
      <c r="A15" s="9">
        <v>80</v>
      </c>
      <c r="B15" s="14" t="s">
        <v>79</v>
      </c>
      <c r="C15" s="82">
        <f>6287549.86+199140.03</f>
        <v>6486689.890000001</v>
      </c>
      <c r="D15" s="82">
        <v>4500000</v>
      </c>
      <c r="E15" s="84">
        <f aca="true" t="shared" si="0" ref="E15:E32">C15-D15</f>
        <v>1986689.8900000006</v>
      </c>
      <c r="F15" s="26">
        <f aca="true" t="shared" si="1" ref="F15:F33">C15/D15</f>
        <v>1.4414866422222223</v>
      </c>
      <c r="G15" s="27">
        <f aca="true" t="shared" si="2" ref="G15:G32">D15/(D$33+D$85)</f>
        <v>0.3009336969504048</v>
      </c>
      <c r="H15" s="28"/>
      <c r="I15" s="28"/>
      <c r="J15" s="28"/>
      <c r="K15" s="28"/>
      <c r="L15" s="28"/>
      <c r="M15" s="28"/>
      <c r="N15" s="28"/>
      <c r="P15" s="76" t="s">
        <v>112</v>
      </c>
      <c r="Q15" s="70" t="s">
        <v>138</v>
      </c>
      <c r="R15" s="21" t="s">
        <v>145</v>
      </c>
      <c r="S15" s="19">
        <v>191379</v>
      </c>
      <c r="T15" s="19">
        <v>350000</v>
      </c>
      <c r="U15" s="48">
        <v>38384</v>
      </c>
      <c r="V15" s="48">
        <v>38626</v>
      </c>
      <c r="W15" s="48">
        <v>38565</v>
      </c>
      <c r="X15" s="48">
        <v>38718</v>
      </c>
    </row>
    <row r="16" spans="1:24" ht="12.75">
      <c r="A16" s="9">
        <v>81</v>
      </c>
      <c r="B16" s="14" t="s">
        <v>80</v>
      </c>
      <c r="C16" s="82">
        <f>1437375.75+688775.24</f>
        <v>2126150.99</v>
      </c>
      <c r="D16" s="82">
        <v>650000</v>
      </c>
      <c r="E16" s="84">
        <f t="shared" si="0"/>
        <v>1476150.9900000002</v>
      </c>
      <c r="F16" s="26">
        <f t="shared" si="1"/>
        <v>3.2710015230769236</v>
      </c>
      <c r="G16" s="30">
        <f t="shared" si="2"/>
        <v>0.04346820067061403</v>
      </c>
      <c r="H16" s="28"/>
      <c r="I16" s="28"/>
      <c r="J16" s="28"/>
      <c r="K16" s="28"/>
      <c r="L16" s="28"/>
      <c r="M16" s="28"/>
      <c r="N16" s="28"/>
      <c r="P16" s="75" t="s">
        <v>118</v>
      </c>
      <c r="Q16" s="93" t="s">
        <v>120</v>
      </c>
      <c r="R16" s="56" t="s">
        <v>146</v>
      </c>
      <c r="S16" s="57">
        <v>462866</v>
      </c>
      <c r="T16" s="57">
        <v>350000</v>
      </c>
      <c r="U16" s="58">
        <v>38718</v>
      </c>
      <c r="V16" s="58">
        <v>39052</v>
      </c>
      <c r="W16" s="58">
        <v>38718</v>
      </c>
      <c r="X16" s="58">
        <v>39052</v>
      </c>
    </row>
    <row r="17" spans="1:24" ht="12.75">
      <c r="A17" s="9">
        <v>82</v>
      </c>
      <c r="B17" s="14" t="s">
        <v>81</v>
      </c>
      <c r="C17" s="82">
        <f>378955.55+272553</f>
        <v>651508.55</v>
      </c>
      <c r="D17" s="82">
        <v>460000</v>
      </c>
      <c r="E17" s="84">
        <f t="shared" si="0"/>
        <v>191508.55000000005</v>
      </c>
      <c r="F17" s="26">
        <f t="shared" si="1"/>
        <v>1.4163229347826087</v>
      </c>
      <c r="G17" s="30">
        <f t="shared" si="2"/>
        <v>0.030762111243819158</v>
      </c>
      <c r="H17" s="28"/>
      <c r="I17" s="28"/>
      <c r="J17" s="28"/>
      <c r="K17" s="28"/>
      <c r="L17" s="28"/>
      <c r="M17" s="28"/>
      <c r="N17" s="28"/>
      <c r="P17" s="59"/>
      <c r="Q17" s="17" t="s">
        <v>32</v>
      </c>
      <c r="R17" s="55"/>
      <c r="S17" s="55">
        <f>SUM(S13:S16)</f>
        <v>2620578</v>
      </c>
      <c r="T17" s="55">
        <f>SUM(T13:T16)</f>
        <v>2850000</v>
      </c>
      <c r="U17" s="60"/>
      <c r="V17" s="60"/>
      <c r="W17" s="60"/>
      <c r="X17" s="60"/>
    </row>
    <row r="18" spans="1:24" ht="12.75">
      <c r="A18" s="9">
        <v>83</v>
      </c>
      <c r="B18" s="14" t="s">
        <v>82</v>
      </c>
      <c r="C18" s="82">
        <f>98169+71633.09+6928</f>
        <v>176730.09</v>
      </c>
      <c r="D18" s="82">
        <v>26000</v>
      </c>
      <c r="E18" s="84">
        <f t="shared" si="0"/>
        <v>150730.09</v>
      </c>
      <c r="F18" s="26">
        <f t="shared" si="1"/>
        <v>6.797311153846154</v>
      </c>
      <c r="G18" s="30">
        <f t="shared" si="2"/>
        <v>0.001738728026824561</v>
      </c>
      <c r="H18" s="28"/>
      <c r="I18" s="28"/>
      <c r="J18" s="28"/>
      <c r="K18" s="28"/>
      <c r="L18" s="28"/>
      <c r="M18" s="28"/>
      <c r="N18" s="28"/>
      <c r="P18" s="59"/>
      <c r="Q18" s="59"/>
      <c r="R18" s="80"/>
      <c r="S18" s="80"/>
      <c r="T18" s="80"/>
      <c r="U18" s="60"/>
      <c r="V18" s="60"/>
      <c r="W18" s="60"/>
      <c r="X18" s="60"/>
    </row>
    <row r="19" spans="1:24" ht="12.75">
      <c r="A19" s="9">
        <v>84</v>
      </c>
      <c r="B19" s="14" t="s">
        <v>83</v>
      </c>
      <c r="C19" s="82">
        <f>469908.16+22660</f>
        <v>492568.16</v>
      </c>
      <c r="D19" s="82">
        <v>506000</v>
      </c>
      <c r="E19" s="84">
        <f t="shared" si="0"/>
        <v>-13431.840000000026</v>
      </c>
      <c r="F19" s="26">
        <f t="shared" si="1"/>
        <v>0.973454861660079</v>
      </c>
      <c r="G19" s="30">
        <f t="shared" si="2"/>
        <v>0.03383832236820107</v>
      </c>
      <c r="H19" s="28"/>
      <c r="I19" s="28"/>
      <c r="J19" s="28"/>
      <c r="K19" s="28"/>
      <c r="L19" s="28"/>
      <c r="M19" s="28"/>
      <c r="N19" s="28"/>
      <c r="P19" s="59"/>
      <c r="Q19" s="59"/>
      <c r="R19" s="80"/>
      <c r="S19" s="80"/>
      <c r="T19" s="80"/>
      <c r="U19" s="60"/>
      <c r="V19" s="60"/>
      <c r="W19" s="60"/>
      <c r="X19" s="60"/>
    </row>
    <row r="20" spans="1:24" ht="12.75">
      <c r="A20" s="9">
        <v>85</v>
      </c>
      <c r="B20" s="14" t="s">
        <v>84</v>
      </c>
      <c r="C20" s="82">
        <f>741829.92+23223.05+103018.07</f>
        <v>868071.04</v>
      </c>
      <c r="D20" s="82">
        <v>525000</v>
      </c>
      <c r="E20" s="84">
        <f t="shared" si="0"/>
        <v>343071.04000000004</v>
      </c>
      <c r="F20" s="26">
        <f t="shared" si="1"/>
        <v>1.6534686476190477</v>
      </c>
      <c r="G20" s="30">
        <f t="shared" si="2"/>
        <v>0.03510893131088056</v>
      </c>
      <c r="H20" s="28"/>
      <c r="I20" s="28"/>
      <c r="J20" s="28"/>
      <c r="K20" s="28"/>
      <c r="L20" s="28"/>
      <c r="M20" s="28"/>
      <c r="N20" s="28"/>
      <c r="P20" s="59"/>
      <c r="Q20" s="59"/>
      <c r="R20" s="80"/>
      <c r="S20" s="80"/>
      <c r="T20" s="80"/>
      <c r="U20" s="60"/>
      <c r="V20" s="60"/>
      <c r="W20" s="60"/>
      <c r="X20" s="60"/>
    </row>
    <row r="21" spans="1:24" ht="12.75">
      <c r="A21" s="9">
        <v>86</v>
      </c>
      <c r="B21" s="14" t="s">
        <v>85</v>
      </c>
      <c r="C21" s="82">
        <f>1286540.31+40037.38</f>
        <v>1326577.69</v>
      </c>
      <c r="D21" s="82">
        <v>1180100</v>
      </c>
      <c r="E21" s="84">
        <f t="shared" si="0"/>
        <v>146477.68999999994</v>
      </c>
      <c r="F21" s="26">
        <f t="shared" si="1"/>
        <v>1.1241231166850267</v>
      </c>
      <c r="G21" s="30">
        <f t="shared" si="2"/>
        <v>0.07891819017137171</v>
      </c>
      <c r="H21" s="28"/>
      <c r="I21" s="28"/>
      <c r="J21" s="28"/>
      <c r="K21" s="28"/>
      <c r="L21" s="28"/>
      <c r="M21" s="28"/>
      <c r="N21" s="28"/>
      <c r="P21" s="59"/>
      <c r="Q21" s="59"/>
      <c r="R21" s="80"/>
      <c r="S21" s="80"/>
      <c r="T21" s="80"/>
      <c r="U21" s="60"/>
      <c r="V21" s="60"/>
      <c r="W21" s="60"/>
      <c r="X21" s="60"/>
    </row>
    <row r="22" spans="1:24" ht="12.75">
      <c r="A22" s="9">
        <v>87</v>
      </c>
      <c r="B22" s="14" t="s">
        <v>86</v>
      </c>
      <c r="C22" s="82">
        <f>1171315.36+2352.63+123909.02</f>
        <v>1297577.01</v>
      </c>
      <c r="D22" s="82">
        <v>600000</v>
      </c>
      <c r="E22" s="84">
        <f t="shared" si="0"/>
        <v>697577.01</v>
      </c>
      <c r="F22" s="26">
        <f t="shared" si="1"/>
        <v>2.16262835</v>
      </c>
      <c r="G22" s="30">
        <f t="shared" si="2"/>
        <v>0.040124492926720635</v>
      </c>
      <c r="H22" s="28"/>
      <c r="I22" s="28"/>
      <c r="J22" s="28"/>
      <c r="K22" s="28"/>
      <c r="L22" s="28"/>
      <c r="M22" s="28"/>
      <c r="N22" s="28"/>
      <c r="P22" s="59"/>
      <c r="Q22" s="59"/>
      <c r="R22" s="80"/>
      <c r="S22" s="80"/>
      <c r="T22" s="80"/>
      <c r="U22" s="60"/>
      <c r="V22" s="60"/>
      <c r="W22" s="60"/>
      <c r="X22" s="60"/>
    </row>
    <row r="23" spans="1:24" ht="12.75">
      <c r="A23" s="9">
        <v>88</v>
      </c>
      <c r="B23" s="14" t="s">
        <v>87</v>
      </c>
      <c r="C23" s="82">
        <f>1612482.04-62007.02+1036.33</f>
        <v>1551511.35</v>
      </c>
      <c r="D23" s="82">
        <v>1118900</v>
      </c>
      <c r="E23" s="84">
        <f t="shared" si="0"/>
        <v>432611.3500000001</v>
      </c>
      <c r="F23" s="26">
        <f t="shared" si="1"/>
        <v>1.386639869514702</v>
      </c>
      <c r="G23" s="30">
        <f t="shared" si="2"/>
        <v>0.07482549189284621</v>
      </c>
      <c r="H23" s="28"/>
      <c r="I23" s="28"/>
      <c r="J23" s="28"/>
      <c r="K23" s="28"/>
      <c r="L23" s="28"/>
      <c r="M23" s="28"/>
      <c r="N23" s="28"/>
      <c r="P23" s="59"/>
      <c r="Q23" s="59"/>
      <c r="R23" s="80"/>
      <c r="S23" s="80"/>
      <c r="T23" s="80"/>
      <c r="U23" s="60"/>
      <c r="V23" s="60"/>
      <c r="W23" s="60"/>
      <c r="X23" s="60"/>
    </row>
    <row r="24" spans="1:24" ht="12.75">
      <c r="A24" s="9">
        <v>89</v>
      </c>
      <c r="B24" s="14" t="s">
        <v>88</v>
      </c>
      <c r="C24" s="82">
        <f>139665.48+6644.4</f>
        <v>146309.88</v>
      </c>
      <c r="D24" s="82">
        <v>100000</v>
      </c>
      <c r="E24" s="84">
        <f t="shared" si="0"/>
        <v>46309.880000000005</v>
      </c>
      <c r="F24" s="26">
        <f t="shared" si="1"/>
        <v>1.4630988</v>
      </c>
      <c r="G24" s="30">
        <f t="shared" si="2"/>
        <v>0.006687415487786773</v>
      </c>
      <c r="H24" s="28"/>
      <c r="I24" s="28"/>
      <c r="J24" s="28"/>
      <c r="K24" s="28"/>
      <c r="L24" s="28"/>
      <c r="M24" s="28"/>
      <c r="N24" s="28"/>
      <c r="P24" s="59"/>
      <c r="Q24" s="59"/>
      <c r="R24" s="80"/>
      <c r="S24" s="80"/>
      <c r="T24" s="80"/>
      <c r="U24" s="60"/>
      <c r="V24" s="60"/>
      <c r="W24" s="60"/>
      <c r="X24" s="60"/>
    </row>
    <row r="25" spans="1:24" ht="12.75">
      <c r="A25" s="9">
        <v>90</v>
      </c>
      <c r="B25" s="14" t="s">
        <v>89</v>
      </c>
      <c r="C25" s="82">
        <f>79420.18+4518.29-4510.6</f>
        <v>79427.86999999998</v>
      </c>
      <c r="D25" s="82">
        <v>54000</v>
      </c>
      <c r="E25" s="84">
        <f t="shared" si="0"/>
        <v>25427.86999999998</v>
      </c>
      <c r="F25" s="26">
        <f t="shared" si="1"/>
        <v>1.470886481481481</v>
      </c>
      <c r="G25" s="30">
        <f t="shared" si="2"/>
        <v>0.0036112043634048577</v>
      </c>
      <c r="H25" s="28"/>
      <c r="I25" s="28"/>
      <c r="J25" s="28"/>
      <c r="K25" s="28"/>
      <c r="L25" s="28"/>
      <c r="M25" s="28"/>
      <c r="N25" s="28"/>
      <c r="P25" s="59"/>
      <c r="Q25" s="59"/>
      <c r="R25" s="80"/>
      <c r="S25" s="80"/>
      <c r="T25" s="80"/>
      <c r="U25" s="60"/>
      <c r="V25" s="60"/>
      <c r="W25" s="60"/>
      <c r="X25" s="60"/>
    </row>
    <row r="26" spans="1:24" ht="12.75">
      <c r="A26" s="9">
        <v>91</v>
      </c>
      <c r="B26" s="14" t="s">
        <v>90</v>
      </c>
      <c r="C26" s="82">
        <f>626122.22+68642.5</f>
        <v>694764.72</v>
      </c>
      <c r="D26" s="82">
        <v>0</v>
      </c>
      <c r="E26" s="84">
        <f t="shared" si="0"/>
        <v>694764.72</v>
      </c>
      <c r="F26" s="26"/>
      <c r="G26" s="30">
        <f t="shared" si="2"/>
        <v>0</v>
      </c>
      <c r="H26" s="28"/>
      <c r="I26" s="28"/>
      <c r="J26" s="28"/>
      <c r="K26" s="28"/>
      <c r="L26" s="28"/>
      <c r="M26" s="28"/>
      <c r="N26" s="28"/>
      <c r="P26" s="59"/>
      <c r="Q26" s="59"/>
      <c r="R26" s="80"/>
      <c r="S26" s="80"/>
      <c r="T26" s="80"/>
      <c r="U26" s="60"/>
      <c r="V26" s="60"/>
      <c r="W26" s="60"/>
      <c r="X26" s="60"/>
    </row>
    <row r="27" spans="1:24" ht="12.75">
      <c r="A27" s="9">
        <v>92</v>
      </c>
      <c r="B27" s="14" t="s">
        <v>91</v>
      </c>
      <c r="C27" s="82">
        <f>581936.74+5015.01+3880.27</f>
        <v>590832.02</v>
      </c>
      <c r="D27" s="82">
        <v>150000</v>
      </c>
      <c r="E27" s="84">
        <f t="shared" si="0"/>
        <v>440832.02</v>
      </c>
      <c r="F27" s="26">
        <f t="shared" si="1"/>
        <v>3.9388801333333334</v>
      </c>
      <c r="G27" s="30">
        <f t="shared" si="2"/>
        <v>0.010031123231680159</v>
      </c>
      <c r="H27" s="28"/>
      <c r="I27" s="28"/>
      <c r="J27" s="28"/>
      <c r="K27" s="28"/>
      <c r="L27" s="28"/>
      <c r="M27" s="28"/>
      <c r="N27" s="28"/>
      <c r="P27" s="59"/>
      <c r="Q27" s="59"/>
      <c r="R27" s="80"/>
      <c r="S27" s="80"/>
      <c r="T27" s="80"/>
      <c r="U27" s="60"/>
      <c r="V27" s="60"/>
      <c r="W27" s="60"/>
      <c r="X27" s="60"/>
    </row>
    <row r="28" spans="1:24" ht="12.75">
      <c r="A28" s="9">
        <v>93</v>
      </c>
      <c r="B28" s="81" t="s">
        <v>133</v>
      </c>
      <c r="C28" s="82">
        <f>788512.96+56783.92</f>
        <v>845296.88</v>
      </c>
      <c r="D28" s="82">
        <v>225000</v>
      </c>
      <c r="E28" s="84">
        <f t="shared" si="0"/>
        <v>620296.88</v>
      </c>
      <c r="F28" s="26">
        <f t="shared" si="1"/>
        <v>3.7568750222222222</v>
      </c>
      <c r="G28" s="30">
        <f t="shared" si="2"/>
        <v>0.01504668484752024</v>
      </c>
      <c r="H28" s="28"/>
      <c r="I28" s="28"/>
      <c r="J28" s="28"/>
      <c r="K28" s="28"/>
      <c r="L28" s="28"/>
      <c r="M28" s="28"/>
      <c r="N28" s="28"/>
      <c r="P28" s="59"/>
      <c r="U28" s="60"/>
      <c r="V28" s="60"/>
      <c r="W28" s="60"/>
      <c r="X28" s="60"/>
    </row>
    <row r="29" spans="1:24" ht="12.75">
      <c r="A29" s="9">
        <v>94</v>
      </c>
      <c r="B29" s="81" t="s">
        <v>134</v>
      </c>
      <c r="C29" s="82">
        <f>163159.23+27898.67+5060.28</f>
        <v>196118.18000000002</v>
      </c>
      <c r="D29" s="82">
        <v>50000</v>
      </c>
      <c r="E29" s="84">
        <f t="shared" si="0"/>
        <v>146118.18000000002</v>
      </c>
      <c r="F29" s="26">
        <f t="shared" si="1"/>
        <v>3.9223636000000006</v>
      </c>
      <c r="G29" s="30">
        <f t="shared" si="2"/>
        <v>0.0033437077438933866</v>
      </c>
      <c r="H29" s="28"/>
      <c r="I29" s="28"/>
      <c r="J29" s="28"/>
      <c r="K29" s="28"/>
      <c r="L29" s="28"/>
      <c r="M29" s="28"/>
      <c r="N29" s="28"/>
      <c r="P29" s="59"/>
      <c r="U29" s="60"/>
      <c r="V29" s="60"/>
      <c r="W29" s="60"/>
      <c r="X29" s="60"/>
    </row>
    <row r="30" spans="1:24" ht="12.75" customHeight="1">
      <c r="A30" s="9">
        <v>95</v>
      </c>
      <c r="B30" s="88" t="s">
        <v>135</v>
      </c>
      <c r="C30" s="82">
        <v>7020</v>
      </c>
      <c r="D30" s="82">
        <v>0</v>
      </c>
      <c r="E30" s="84">
        <f t="shared" si="0"/>
        <v>7020</v>
      </c>
      <c r="F30" s="26"/>
      <c r="G30" s="30">
        <f t="shared" si="2"/>
        <v>0</v>
      </c>
      <c r="H30" s="28"/>
      <c r="I30" s="28"/>
      <c r="J30" s="28"/>
      <c r="K30" s="28"/>
      <c r="L30" s="28"/>
      <c r="M30" s="28"/>
      <c r="N30" s="28"/>
      <c r="P30" s="7"/>
      <c r="U30" s="7"/>
      <c r="V30" s="7"/>
      <c r="W30" s="7"/>
      <c r="X30" s="7"/>
    </row>
    <row r="31" spans="1:14" ht="12.75">
      <c r="A31" s="9">
        <v>96</v>
      </c>
      <c r="B31" s="14" t="s">
        <v>92</v>
      </c>
      <c r="C31" s="82">
        <v>0</v>
      </c>
      <c r="D31" s="82">
        <v>0</v>
      </c>
      <c r="E31" s="84">
        <f t="shared" si="0"/>
        <v>0</v>
      </c>
      <c r="F31" s="26"/>
      <c r="G31" s="30">
        <f t="shared" si="2"/>
        <v>0</v>
      </c>
      <c r="H31" s="28"/>
      <c r="I31" s="28"/>
      <c r="J31" s="28"/>
      <c r="K31" s="28"/>
      <c r="L31" s="28"/>
      <c r="M31" s="28"/>
      <c r="N31" s="28"/>
    </row>
    <row r="32" spans="1:14" ht="12.75">
      <c r="A32" s="17">
        <v>97</v>
      </c>
      <c r="B32" s="23" t="s">
        <v>93</v>
      </c>
      <c r="C32" s="83">
        <v>65926</v>
      </c>
      <c r="D32" s="83">
        <v>300000</v>
      </c>
      <c r="E32" s="84">
        <f t="shared" si="0"/>
        <v>-234074</v>
      </c>
      <c r="F32" s="62">
        <f t="shared" si="1"/>
        <v>0.21975333333333333</v>
      </c>
      <c r="G32" s="62">
        <f t="shared" si="2"/>
        <v>0.020062246463360318</v>
      </c>
      <c r="H32" s="28"/>
      <c r="I32" s="28"/>
      <c r="J32" s="28"/>
      <c r="K32" s="28"/>
      <c r="L32" s="28"/>
      <c r="M32" s="28"/>
      <c r="N32" s="28"/>
    </row>
    <row r="33" spans="1:14" ht="12.75">
      <c r="A33" s="24"/>
      <c r="B33" s="25" t="s">
        <v>31</v>
      </c>
      <c r="C33" s="34">
        <f>SUM(C15:C32)</f>
        <v>17603080.32</v>
      </c>
      <c r="D33" s="34">
        <f>SUM(D15:D32)</f>
        <v>10445000</v>
      </c>
      <c r="E33" s="34">
        <f>SUM(E15:E32)</f>
        <v>7158080.319999999</v>
      </c>
      <c r="F33" s="32">
        <f t="shared" si="1"/>
        <v>1.6853116629966491</v>
      </c>
      <c r="G33" s="35"/>
      <c r="H33" s="28"/>
      <c r="I33" s="28"/>
      <c r="J33" s="28"/>
      <c r="K33" s="28"/>
      <c r="L33" s="28"/>
      <c r="M33" s="28"/>
      <c r="N33" s="28"/>
    </row>
    <row r="34" spans="1:14" ht="12.75">
      <c r="A34" s="24"/>
      <c r="B34" s="25" t="s">
        <v>94</v>
      </c>
      <c r="C34" s="34">
        <f>C15</f>
        <v>6486689.890000001</v>
      </c>
      <c r="D34" s="34">
        <f>D15</f>
        <v>4500000</v>
      </c>
      <c r="E34" s="34">
        <f>E15</f>
        <v>1986689.8900000006</v>
      </c>
      <c r="F34" s="35"/>
      <c r="G34" s="35"/>
      <c r="H34" s="28"/>
      <c r="I34" s="28"/>
      <c r="J34" s="28"/>
      <c r="K34" s="28"/>
      <c r="L34" s="28"/>
      <c r="M34" s="28"/>
      <c r="N34" s="28"/>
    </row>
    <row r="35" spans="1:14" ht="12.75">
      <c r="A35" s="24"/>
      <c r="B35" s="25" t="s">
        <v>95</v>
      </c>
      <c r="C35" s="34">
        <f>C33-C34</f>
        <v>11116390.43</v>
      </c>
      <c r="D35" s="34">
        <f>D33-D34</f>
        <v>5945000</v>
      </c>
      <c r="E35" s="34">
        <f>E33-E34</f>
        <v>5171390.429999999</v>
      </c>
      <c r="F35" s="36">
        <f>C35/D35</f>
        <v>1.8698722338099243</v>
      </c>
      <c r="G35" s="35"/>
      <c r="H35" s="28"/>
      <c r="I35" s="28"/>
      <c r="J35" s="28"/>
      <c r="K35" s="28"/>
      <c r="L35" s="28"/>
      <c r="M35" s="28"/>
      <c r="N35" s="28"/>
    </row>
    <row r="36" spans="1:14" ht="12.75">
      <c r="A36" s="24"/>
      <c r="B36" s="89"/>
      <c r="C36" s="90"/>
      <c r="D36" s="90"/>
      <c r="E36" s="90"/>
      <c r="F36" s="73"/>
      <c r="G36" s="35"/>
      <c r="H36" s="28"/>
      <c r="I36" s="28"/>
      <c r="J36" s="28"/>
      <c r="K36" s="28"/>
      <c r="L36" s="28"/>
      <c r="M36" s="28"/>
      <c r="N36" s="28"/>
    </row>
    <row r="37" spans="1:14" ht="12.75">
      <c r="A37" s="24"/>
      <c r="B37" s="89"/>
      <c r="C37" s="90"/>
      <c r="D37" s="90"/>
      <c r="E37" s="90"/>
      <c r="F37" s="73"/>
      <c r="G37" s="35"/>
      <c r="H37" s="28"/>
      <c r="I37" s="28"/>
      <c r="J37" s="28"/>
      <c r="K37" s="28"/>
      <c r="L37" s="28"/>
      <c r="M37" s="28"/>
      <c r="N37" s="28"/>
    </row>
    <row r="38" spans="1:14" ht="15.75" customHeight="1">
      <c r="A38" s="24"/>
      <c r="B38" s="89"/>
      <c r="C38" s="90"/>
      <c r="D38" s="90"/>
      <c r="E38" s="90"/>
      <c r="F38" s="73"/>
      <c r="G38" s="35"/>
      <c r="H38" s="28"/>
      <c r="I38" s="28"/>
      <c r="J38" s="28"/>
      <c r="K38" s="28"/>
      <c r="L38" s="28"/>
      <c r="M38" s="28"/>
      <c r="N38" s="28"/>
    </row>
    <row r="39" spans="1:14" ht="15.75" customHeight="1">
      <c r="A39" s="24"/>
      <c r="B39" s="89"/>
      <c r="C39" s="90"/>
      <c r="D39" s="90"/>
      <c r="E39" s="90"/>
      <c r="F39" s="73"/>
      <c r="G39" s="35"/>
      <c r="H39" s="28"/>
      <c r="I39" s="28"/>
      <c r="J39" s="28"/>
      <c r="K39" s="28"/>
      <c r="L39" s="28"/>
      <c r="M39" s="28"/>
      <c r="N39" s="28"/>
    </row>
    <row r="40" spans="1:14" ht="15.75" customHeight="1">
      <c r="A40" s="212" t="s">
        <v>71</v>
      </c>
      <c r="B40" s="212"/>
      <c r="C40" s="212"/>
      <c r="D40" s="212"/>
      <c r="E40" s="212"/>
      <c r="F40" s="212"/>
      <c r="G40" s="212"/>
      <c r="H40" s="212"/>
      <c r="I40" s="212"/>
      <c r="J40" s="212"/>
      <c r="K40" s="212"/>
      <c r="L40" s="212"/>
      <c r="M40" s="212"/>
      <c r="N40" s="212"/>
    </row>
    <row r="41" spans="1:14" ht="15.75" customHeight="1">
      <c r="A41" s="212" t="str">
        <f>A2</f>
        <v>Case No. 2015-00418</v>
      </c>
      <c r="B41" s="212"/>
      <c r="C41" s="212"/>
      <c r="D41" s="212"/>
      <c r="E41" s="212"/>
      <c r="F41" s="212"/>
      <c r="G41" s="212"/>
      <c r="H41" s="212"/>
      <c r="I41" s="212"/>
      <c r="J41" s="212"/>
      <c r="K41" s="212"/>
      <c r="L41" s="212"/>
      <c r="M41" s="212"/>
      <c r="N41" s="212"/>
    </row>
    <row r="42" spans="1:14" ht="15.75" customHeight="1">
      <c r="A42" s="212" t="s">
        <v>74</v>
      </c>
      <c r="B42" s="212"/>
      <c r="C42" s="212"/>
      <c r="D42" s="212"/>
      <c r="E42" s="212"/>
      <c r="F42" s="212"/>
      <c r="G42" s="212"/>
      <c r="H42" s="212"/>
      <c r="I42" s="212"/>
      <c r="J42" s="212"/>
      <c r="K42" s="212"/>
      <c r="L42" s="212"/>
      <c r="M42" s="212"/>
      <c r="N42" s="212"/>
    </row>
    <row r="43" spans="4:5" ht="15.75" customHeight="1">
      <c r="D43" s="3" t="s">
        <v>1</v>
      </c>
      <c r="E43" s="99">
        <v>2006</v>
      </c>
    </row>
    <row r="44" spans="1:12" ht="15.75" customHeight="1">
      <c r="A44" s="2" t="s">
        <v>2</v>
      </c>
      <c r="L44" s="2" t="s">
        <v>73</v>
      </c>
    </row>
    <row r="45" spans="1:12" ht="15.75" customHeight="1">
      <c r="A45" s="2" t="s">
        <v>3</v>
      </c>
      <c r="L45" s="2"/>
    </row>
    <row r="46" ht="15.75" customHeight="1">
      <c r="L46" s="2" t="s">
        <v>4</v>
      </c>
    </row>
    <row r="47" spans="12:13" ht="15.75" customHeight="1">
      <c r="L47" s="4" t="s">
        <v>312</v>
      </c>
      <c r="M47" s="4"/>
    </row>
    <row r="48" ht="15.75" customHeight="1"/>
    <row r="49" ht="15.75" customHeight="1"/>
    <row r="50" spans="1:14" ht="15.75" customHeight="1">
      <c r="A50" s="8"/>
      <c r="B50" s="12"/>
      <c r="C50" s="12"/>
      <c r="D50" s="12"/>
      <c r="E50" s="12"/>
      <c r="F50" s="12"/>
      <c r="G50" s="12"/>
      <c r="H50" s="12" t="s">
        <v>8</v>
      </c>
      <c r="I50" s="12" t="s">
        <v>8</v>
      </c>
      <c r="J50" s="12"/>
      <c r="K50" s="12" t="s">
        <v>9</v>
      </c>
      <c r="L50" s="12" t="s">
        <v>9</v>
      </c>
      <c r="M50" s="12"/>
      <c r="N50" s="12"/>
    </row>
    <row r="51" spans="1:14" ht="12.75">
      <c r="A51" s="9"/>
      <c r="B51" s="15"/>
      <c r="C51" s="15"/>
      <c r="D51" s="15" t="s">
        <v>12</v>
      </c>
      <c r="E51" s="15"/>
      <c r="F51" s="15"/>
      <c r="G51" s="15" t="s">
        <v>13</v>
      </c>
      <c r="H51" s="15" t="s">
        <v>14</v>
      </c>
      <c r="I51" s="15" t="s">
        <v>15</v>
      </c>
      <c r="J51" s="15"/>
      <c r="K51" s="15" t="s">
        <v>16</v>
      </c>
      <c r="L51" s="15" t="s">
        <v>16</v>
      </c>
      <c r="M51" s="15" t="s">
        <v>9</v>
      </c>
      <c r="N51" s="15" t="s">
        <v>9</v>
      </c>
    </row>
    <row r="52" spans="1:14" ht="12.75">
      <c r="A52" s="9"/>
      <c r="B52" s="15"/>
      <c r="C52" s="15" t="s">
        <v>12</v>
      </c>
      <c r="D52" s="15" t="s">
        <v>16</v>
      </c>
      <c r="E52" s="15" t="s">
        <v>22</v>
      </c>
      <c r="F52" s="15" t="s">
        <v>22</v>
      </c>
      <c r="G52" s="15" t="s">
        <v>23</v>
      </c>
      <c r="H52" s="15" t="s">
        <v>24</v>
      </c>
      <c r="I52" s="15" t="s">
        <v>24</v>
      </c>
      <c r="J52" s="15"/>
      <c r="K52" s="15" t="s">
        <v>15</v>
      </c>
      <c r="L52" s="15" t="s">
        <v>15</v>
      </c>
      <c r="M52" s="15" t="s">
        <v>14</v>
      </c>
      <c r="N52" s="15" t="s">
        <v>14</v>
      </c>
    </row>
    <row r="53" spans="1:14" ht="12.75">
      <c r="A53" s="17" t="s">
        <v>25</v>
      </c>
      <c r="B53" s="20" t="s">
        <v>26</v>
      </c>
      <c r="C53" s="20" t="s">
        <v>14</v>
      </c>
      <c r="D53" s="20" t="s">
        <v>15</v>
      </c>
      <c r="E53" s="20" t="s">
        <v>27</v>
      </c>
      <c r="F53" s="20" t="s">
        <v>13</v>
      </c>
      <c r="G53" s="20" t="s">
        <v>15</v>
      </c>
      <c r="H53" s="20" t="s">
        <v>28</v>
      </c>
      <c r="I53" s="20" t="s">
        <v>28</v>
      </c>
      <c r="J53" s="20" t="s">
        <v>22</v>
      </c>
      <c r="K53" s="20" t="s">
        <v>29</v>
      </c>
      <c r="L53" s="20" t="s">
        <v>30</v>
      </c>
      <c r="M53" s="20" t="s">
        <v>29</v>
      </c>
      <c r="N53" s="20" t="s">
        <v>30</v>
      </c>
    </row>
    <row r="54" spans="1:14" ht="12.75">
      <c r="A54" s="50"/>
      <c r="B54" s="51" t="s">
        <v>17</v>
      </c>
      <c r="C54" s="52"/>
      <c r="D54" s="52"/>
      <c r="E54" s="52"/>
      <c r="F54" s="53"/>
      <c r="G54" s="53"/>
      <c r="H54" s="54"/>
      <c r="I54" s="54"/>
      <c r="J54" s="54"/>
      <c r="K54" s="54"/>
      <c r="L54" s="54"/>
      <c r="M54" s="54"/>
      <c r="N54" s="54"/>
    </row>
    <row r="55" spans="1:14" ht="12.75">
      <c r="A55" s="66" t="s">
        <v>46</v>
      </c>
      <c r="B55" s="64" t="s">
        <v>51</v>
      </c>
      <c r="C55" s="84">
        <v>-731.77</v>
      </c>
      <c r="D55" s="84">
        <v>0</v>
      </c>
      <c r="E55" s="85">
        <f aca="true" t="shared" si="3" ref="E55:E71">C55-D55</f>
        <v>-731.77</v>
      </c>
      <c r="F55" s="30"/>
      <c r="G55" s="30">
        <f aca="true" t="shared" si="4" ref="G55:G83">D55/(D$33+D$85)</f>
        <v>0</v>
      </c>
      <c r="H55" s="29"/>
      <c r="I55" s="29"/>
      <c r="J55" s="38">
        <f aca="true" t="shared" si="5" ref="J55:J63">H55-I55</f>
        <v>0</v>
      </c>
      <c r="K55" s="40">
        <v>36951</v>
      </c>
      <c r="L55" s="40">
        <v>37956</v>
      </c>
      <c r="M55" s="40">
        <v>36923</v>
      </c>
      <c r="N55" s="46">
        <v>38200</v>
      </c>
    </row>
    <row r="56" spans="1:14" ht="12.75">
      <c r="A56" s="66" t="s">
        <v>47</v>
      </c>
      <c r="B56" s="64" t="s">
        <v>52</v>
      </c>
      <c r="C56" s="84">
        <v>9468.33</v>
      </c>
      <c r="D56" s="84">
        <v>0</v>
      </c>
      <c r="E56" s="85">
        <f t="shared" si="3"/>
        <v>9468.33</v>
      </c>
      <c r="F56" s="30"/>
      <c r="G56" s="30">
        <f t="shared" si="4"/>
        <v>0</v>
      </c>
      <c r="H56" s="29"/>
      <c r="I56" s="29"/>
      <c r="J56" s="38">
        <f t="shared" si="5"/>
        <v>0</v>
      </c>
      <c r="K56" s="40">
        <v>36892</v>
      </c>
      <c r="L56" s="40">
        <v>37742</v>
      </c>
      <c r="M56" s="40">
        <v>37500</v>
      </c>
      <c r="N56" s="46">
        <v>38687</v>
      </c>
    </row>
    <row r="57" spans="1:14" ht="12.75">
      <c r="A57" s="66" t="s">
        <v>48</v>
      </c>
      <c r="B57" s="64" t="s">
        <v>53</v>
      </c>
      <c r="C57" s="84">
        <v>209887.82</v>
      </c>
      <c r="D57" s="84">
        <v>0</v>
      </c>
      <c r="E57" s="85">
        <f t="shared" si="3"/>
        <v>209887.82</v>
      </c>
      <c r="F57" s="30"/>
      <c r="G57" s="30">
        <f t="shared" si="4"/>
        <v>0</v>
      </c>
      <c r="H57" s="29"/>
      <c r="I57" s="29"/>
      <c r="J57" s="38">
        <f t="shared" si="5"/>
        <v>0</v>
      </c>
      <c r="K57" s="40">
        <v>36892</v>
      </c>
      <c r="L57" s="40">
        <v>38322</v>
      </c>
      <c r="M57" s="40">
        <v>36923</v>
      </c>
      <c r="N57" s="46">
        <v>38687</v>
      </c>
    </row>
    <row r="58" spans="1:14" ht="12.75">
      <c r="A58" s="66" t="s">
        <v>49</v>
      </c>
      <c r="B58" s="64" t="s">
        <v>54</v>
      </c>
      <c r="C58" s="84">
        <v>215782</v>
      </c>
      <c r="D58" s="84">
        <v>0</v>
      </c>
      <c r="E58" s="85">
        <f t="shared" si="3"/>
        <v>215782</v>
      </c>
      <c r="F58" s="30"/>
      <c r="G58" s="87">
        <f t="shared" si="4"/>
        <v>0</v>
      </c>
      <c r="H58" s="29"/>
      <c r="I58" s="29"/>
      <c r="J58" s="38">
        <f t="shared" si="5"/>
        <v>0</v>
      </c>
      <c r="K58" s="40">
        <v>36892</v>
      </c>
      <c r="L58" s="40">
        <v>37226</v>
      </c>
      <c r="M58" s="40">
        <v>36892</v>
      </c>
      <c r="N58" s="46">
        <v>37316</v>
      </c>
    </row>
    <row r="59" spans="1:14" ht="12.75">
      <c r="A59" s="69" t="s">
        <v>56</v>
      </c>
      <c r="B59" s="70" t="s">
        <v>62</v>
      </c>
      <c r="C59" s="84">
        <v>9770.67</v>
      </c>
      <c r="D59" s="84">
        <v>0</v>
      </c>
      <c r="E59" s="85">
        <f t="shared" si="3"/>
        <v>9770.67</v>
      </c>
      <c r="F59" s="30"/>
      <c r="G59" s="49">
        <f t="shared" si="4"/>
        <v>0</v>
      </c>
      <c r="H59" s="29"/>
      <c r="I59" s="29"/>
      <c r="J59" s="38">
        <f t="shared" si="5"/>
        <v>0</v>
      </c>
      <c r="K59" s="42">
        <v>37347</v>
      </c>
      <c r="L59" s="40">
        <v>37956</v>
      </c>
      <c r="M59" s="40">
        <v>37316</v>
      </c>
      <c r="N59" s="46"/>
    </row>
    <row r="60" spans="1:14" ht="12.75">
      <c r="A60" s="72" t="s">
        <v>57</v>
      </c>
      <c r="B60" s="70" t="s">
        <v>72</v>
      </c>
      <c r="C60" s="84">
        <v>219992.39</v>
      </c>
      <c r="D60" s="84">
        <v>0</v>
      </c>
      <c r="E60" s="85">
        <f t="shared" si="3"/>
        <v>219992.39</v>
      </c>
      <c r="F60" s="30"/>
      <c r="G60" s="49">
        <f t="shared" si="4"/>
        <v>0</v>
      </c>
      <c r="H60" s="29"/>
      <c r="I60" s="29"/>
      <c r="J60" s="38">
        <f t="shared" si="5"/>
        <v>0</v>
      </c>
      <c r="K60" s="40">
        <v>37257</v>
      </c>
      <c r="L60" s="40">
        <v>37591</v>
      </c>
      <c r="M60" s="40">
        <v>37257</v>
      </c>
      <c r="N60" s="46">
        <v>37561</v>
      </c>
    </row>
    <row r="61" spans="1:14" ht="12.75">
      <c r="A61" s="69" t="s">
        <v>59</v>
      </c>
      <c r="B61" s="70" t="s">
        <v>68</v>
      </c>
      <c r="C61" s="84">
        <v>436623.84</v>
      </c>
      <c r="D61" s="84">
        <v>180000</v>
      </c>
      <c r="E61" s="85">
        <f t="shared" si="3"/>
        <v>256623.84000000003</v>
      </c>
      <c r="F61" s="30">
        <f>C61/D61</f>
        <v>2.425688</v>
      </c>
      <c r="G61" s="49">
        <f t="shared" si="4"/>
        <v>0.012037347878016191</v>
      </c>
      <c r="H61" s="29"/>
      <c r="I61" s="29"/>
      <c r="J61" s="38">
        <f t="shared" si="5"/>
        <v>0</v>
      </c>
      <c r="K61" s="42">
        <v>37347</v>
      </c>
      <c r="L61" s="40">
        <v>37956</v>
      </c>
      <c r="M61" s="40">
        <v>37043</v>
      </c>
      <c r="N61" s="46"/>
    </row>
    <row r="62" spans="1:14" ht="12.75">
      <c r="A62" s="69" t="s">
        <v>63</v>
      </c>
      <c r="B62" s="70" t="s">
        <v>69</v>
      </c>
      <c r="C62" s="84">
        <v>270296.5</v>
      </c>
      <c r="D62" s="84">
        <v>0</v>
      </c>
      <c r="E62" s="85">
        <f t="shared" si="3"/>
        <v>270296.5</v>
      </c>
      <c r="F62" s="30"/>
      <c r="G62" s="49">
        <f t="shared" si="4"/>
        <v>0</v>
      </c>
      <c r="H62" s="29"/>
      <c r="I62" s="29"/>
      <c r="J62" s="38">
        <f t="shared" si="5"/>
        <v>0</v>
      </c>
      <c r="K62" s="40">
        <v>37742</v>
      </c>
      <c r="L62" s="40">
        <v>38687</v>
      </c>
      <c r="M62" s="40">
        <v>37803</v>
      </c>
      <c r="N62" s="46">
        <v>38687</v>
      </c>
    </row>
    <row r="63" spans="1:14" ht="12.75">
      <c r="A63" s="69" t="s">
        <v>64</v>
      </c>
      <c r="B63" s="70" t="s">
        <v>54</v>
      </c>
      <c r="C63" s="84">
        <v>30.76</v>
      </c>
      <c r="D63" s="84">
        <v>0</v>
      </c>
      <c r="E63" s="85">
        <f t="shared" si="3"/>
        <v>30.76</v>
      </c>
      <c r="F63" s="30"/>
      <c r="G63" s="49">
        <f t="shared" si="4"/>
        <v>0</v>
      </c>
      <c r="H63" s="29"/>
      <c r="I63" s="29"/>
      <c r="J63" s="38">
        <f t="shared" si="5"/>
        <v>0</v>
      </c>
      <c r="K63" s="40">
        <v>37622</v>
      </c>
      <c r="L63" s="40">
        <v>37956</v>
      </c>
      <c r="M63" s="40">
        <v>37622</v>
      </c>
      <c r="N63" s="46">
        <v>37895</v>
      </c>
    </row>
    <row r="64" spans="1:14" ht="12.75">
      <c r="A64" s="69" t="s">
        <v>65</v>
      </c>
      <c r="B64" s="70" t="s">
        <v>70</v>
      </c>
      <c r="C64" s="84">
        <v>20805.37</v>
      </c>
      <c r="D64" s="84">
        <v>0</v>
      </c>
      <c r="E64" s="85">
        <f t="shared" si="3"/>
        <v>20805.37</v>
      </c>
      <c r="F64" s="30"/>
      <c r="G64" s="49">
        <f t="shared" si="4"/>
        <v>0</v>
      </c>
      <c r="H64" s="29"/>
      <c r="I64" s="29"/>
      <c r="J64" s="38">
        <f aca="true" t="shared" si="6" ref="J64:J83">H64-I64</f>
        <v>0</v>
      </c>
      <c r="K64" s="40">
        <v>37622</v>
      </c>
      <c r="L64" s="40">
        <v>38169</v>
      </c>
      <c r="M64" s="40">
        <v>37773</v>
      </c>
      <c r="N64" s="46">
        <v>38687</v>
      </c>
    </row>
    <row r="65" spans="1:14" ht="12.75">
      <c r="A65" s="72" t="s">
        <v>98</v>
      </c>
      <c r="B65" s="70" t="s">
        <v>101</v>
      </c>
      <c r="C65" s="84">
        <f>379725.73+99125.12</f>
        <v>478850.85</v>
      </c>
      <c r="D65" s="84">
        <v>530000</v>
      </c>
      <c r="E65" s="84">
        <f t="shared" si="3"/>
        <v>-51149.15000000002</v>
      </c>
      <c r="F65" s="30">
        <f>C65/D65</f>
        <v>0.9034921698113207</v>
      </c>
      <c r="G65" s="87">
        <f t="shared" si="4"/>
        <v>0.0354433020852699</v>
      </c>
      <c r="H65" s="29"/>
      <c r="I65" s="29"/>
      <c r="J65" s="38">
        <f t="shared" si="6"/>
        <v>0</v>
      </c>
      <c r="K65" s="40">
        <v>37987</v>
      </c>
      <c r="L65" s="40" t="s">
        <v>137</v>
      </c>
      <c r="M65" s="40" t="s">
        <v>137</v>
      </c>
      <c r="N65" s="46" t="s">
        <v>137</v>
      </c>
    </row>
    <row r="66" spans="1:14" ht="12.75">
      <c r="A66" s="72" t="s">
        <v>99</v>
      </c>
      <c r="B66" s="70" t="s">
        <v>100</v>
      </c>
      <c r="C66" s="84">
        <v>543523.25</v>
      </c>
      <c r="D66" s="84">
        <v>170000</v>
      </c>
      <c r="E66" s="84">
        <f t="shared" si="3"/>
        <v>373523.25</v>
      </c>
      <c r="F66" s="30">
        <f>C66/D66</f>
        <v>3.197195588235294</v>
      </c>
      <c r="G66" s="87">
        <f t="shared" si="4"/>
        <v>0.011368606329237514</v>
      </c>
      <c r="H66" s="29"/>
      <c r="I66" s="98"/>
      <c r="J66" s="38">
        <f t="shared" si="6"/>
        <v>0</v>
      </c>
      <c r="K66" s="40">
        <v>38261</v>
      </c>
      <c r="L66" s="40">
        <v>39417</v>
      </c>
      <c r="M66" s="40">
        <v>38261</v>
      </c>
      <c r="N66" s="46"/>
    </row>
    <row r="67" spans="1:14" ht="12.75">
      <c r="A67" s="72" t="s">
        <v>97</v>
      </c>
      <c r="B67" s="70" t="s">
        <v>96</v>
      </c>
      <c r="C67" s="84">
        <v>-208706.93</v>
      </c>
      <c r="D67" s="84">
        <v>700000</v>
      </c>
      <c r="E67" s="84">
        <f t="shared" si="3"/>
        <v>-908706.9299999999</v>
      </c>
      <c r="F67" s="30">
        <f>C67/D67</f>
        <v>-0.2981527571428571</v>
      </c>
      <c r="G67" s="87">
        <f t="shared" si="4"/>
        <v>0.046811908414507414</v>
      </c>
      <c r="H67" s="29">
        <v>632906</v>
      </c>
      <c r="I67" s="29">
        <v>1190593</v>
      </c>
      <c r="J67" s="38">
        <f t="shared" si="6"/>
        <v>-557687</v>
      </c>
      <c r="K67" s="40">
        <v>37987</v>
      </c>
      <c r="L67" s="40">
        <v>38322</v>
      </c>
      <c r="M67" s="40">
        <v>37987</v>
      </c>
      <c r="N67" s="46">
        <v>38718</v>
      </c>
    </row>
    <row r="68" spans="1:14" ht="12.75">
      <c r="A68" s="72" t="s">
        <v>108</v>
      </c>
      <c r="B68" s="70" t="s">
        <v>102</v>
      </c>
      <c r="C68" s="84">
        <v>0</v>
      </c>
      <c r="D68" s="84">
        <v>750000</v>
      </c>
      <c r="E68" s="84">
        <f t="shared" si="3"/>
        <v>-750000</v>
      </c>
      <c r="F68" s="30">
        <f>C68/D68</f>
        <v>0</v>
      </c>
      <c r="G68" s="87">
        <f t="shared" si="4"/>
        <v>0.0501556161584008</v>
      </c>
      <c r="H68" s="29"/>
      <c r="I68" s="29"/>
      <c r="J68" s="38">
        <f t="shared" si="6"/>
        <v>0</v>
      </c>
      <c r="K68" s="40">
        <v>38534</v>
      </c>
      <c r="L68" s="40">
        <v>39417</v>
      </c>
      <c r="M68" s="40"/>
      <c r="N68" s="46"/>
    </row>
    <row r="69" spans="1:14" ht="12.75">
      <c r="A69" s="72" t="s">
        <v>106</v>
      </c>
      <c r="B69" s="70" t="s">
        <v>107</v>
      </c>
      <c r="C69" s="84">
        <v>799571.91</v>
      </c>
      <c r="D69" s="84">
        <v>800000</v>
      </c>
      <c r="E69" s="84">
        <f t="shared" si="3"/>
        <v>-428.0899999999674</v>
      </c>
      <c r="F69" s="30">
        <f>C69/D69</f>
        <v>0.9994648875000001</v>
      </c>
      <c r="G69" s="87">
        <f t="shared" si="4"/>
        <v>0.053499323902294185</v>
      </c>
      <c r="H69" s="29">
        <v>1309064</v>
      </c>
      <c r="I69" s="29">
        <v>1800000</v>
      </c>
      <c r="J69" s="38">
        <f t="shared" si="6"/>
        <v>-490936</v>
      </c>
      <c r="K69" s="40">
        <v>38443</v>
      </c>
      <c r="L69" s="40">
        <v>39417</v>
      </c>
      <c r="M69" s="40">
        <v>38565</v>
      </c>
      <c r="N69" s="46">
        <v>39052</v>
      </c>
    </row>
    <row r="70" spans="1:14" ht="12.75">
      <c r="A70" s="72" t="s">
        <v>112</v>
      </c>
      <c r="B70" s="70" t="s">
        <v>138</v>
      </c>
      <c r="C70" s="84">
        <v>-8512.91</v>
      </c>
      <c r="D70" s="84">
        <v>0</v>
      </c>
      <c r="E70" s="84">
        <f>C70-D70</f>
        <v>-8512.91</v>
      </c>
      <c r="F70" s="30"/>
      <c r="G70" s="87">
        <f t="shared" si="4"/>
        <v>0</v>
      </c>
      <c r="H70" s="29">
        <v>191379</v>
      </c>
      <c r="I70" s="29">
        <v>350000</v>
      </c>
      <c r="J70" s="38">
        <f t="shared" si="6"/>
        <v>-158621</v>
      </c>
      <c r="K70" s="40">
        <v>38384</v>
      </c>
      <c r="L70" s="40">
        <v>38626</v>
      </c>
      <c r="M70" s="40">
        <v>38565</v>
      </c>
      <c r="N70" s="46">
        <v>38718</v>
      </c>
    </row>
    <row r="71" spans="1:14" ht="12.75">
      <c r="A71" s="72" t="s">
        <v>104</v>
      </c>
      <c r="B71" s="70" t="s">
        <v>105</v>
      </c>
      <c r="C71" s="84">
        <v>339611.53</v>
      </c>
      <c r="D71" s="84">
        <v>725000</v>
      </c>
      <c r="E71" s="84">
        <f t="shared" si="3"/>
        <v>-385388.47</v>
      </c>
      <c r="F71" s="30">
        <f>C71/D71</f>
        <v>0.4684296965517242</v>
      </c>
      <c r="G71" s="87">
        <f t="shared" si="4"/>
        <v>0.0484837622864541</v>
      </c>
      <c r="H71" s="29"/>
      <c r="I71" s="29"/>
      <c r="J71" s="38">
        <f t="shared" si="6"/>
        <v>0</v>
      </c>
      <c r="K71" s="40">
        <v>38443</v>
      </c>
      <c r="L71" s="40">
        <v>39052</v>
      </c>
      <c r="M71" s="40">
        <v>38443</v>
      </c>
      <c r="N71" s="46"/>
    </row>
    <row r="72" spans="1:14" ht="12.75">
      <c r="A72" s="72" t="s">
        <v>114</v>
      </c>
      <c r="B72" s="70" t="s">
        <v>115</v>
      </c>
      <c r="C72" s="84">
        <v>314092.75</v>
      </c>
      <c r="D72" s="84">
        <v>0</v>
      </c>
      <c r="E72" s="84">
        <f aca="true" t="shared" si="7" ref="E72:E83">C72-D72</f>
        <v>314092.75</v>
      </c>
      <c r="F72" s="30"/>
      <c r="G72" s="87">
        <f t="shared" si="4"/>
        <v>0</v>
      </c>
      <c r="H72" s="29"/>
      <c r="I72" s="29"/>
      <c r="J72" s="38">
        <f t="shared" si="6"/>
        <v>0</v>
      </c>
      <c r="K72" s="40">
        <v>38443</v>
      </c>
      <c r="L72" s="40">
        <v>39783</v>
      </c>
      <c r="M72" s="40">
        <v>38443</v>
      </c>
      <c r="N72" s="46"/>
    </row>
    <row r="73" spans="1:14" ht="12.75">
      <c r="A73" s="72" t="s">
        <v>131</v>
      </c>
      <c r="B73" s="70" t="s">
        <v>132</v>
      </c>
      <c r="C73" s="84">
        <v>276984</v>
      </c>
      <c r="D73" s="84">
        <v>228460</v>
      </c>
      <c r="E73" s="84">
        <f t="shared" si="7"/>
        <v>48524</v>
      </c>
      <c r="F73" s="30">
        <f>C73/D73</f>
        <v>1.212396043070997</v>
      </c>
      <c r="G73" s="87">
        <f t="shared" si="4"/>
        <v>0.015278069423397662</v>
      </c>
      <c r="H73" s="29"/>
      <c r="I73" s="29"/>
      <c r="J73" s="38">
        <f t="shared" si="6"/>
        <v>0</v>
      </c>
      <c r="K73" s="40">
        <v>38687</v>
      </c>
      <c r="L73" s="40">
        <v>39022</v>
      </c>
      <c r="M73" s="40">
        <v>38869</v>
      </c>
      <c r="N73" s="46"/>
    </row>
    <row r="74" spans="1:14" ht="12.75">
      <c r="A74" s="72" t="s">
        <v>116</v>
      </c>
      <c r="B74" s="70" t="s">
        <v>117</v>
      </c>
      <c r="C74" s="84">
        <v>944837.33</v>
      </c>
      <c r="D74" s="84">
        <v>25000</v>
      </c>
      <c r="E74" s="84">
        <f t="shared" si="7"/>
        <v>919837.33</v>
      </c>
      <c r="F74" s="30">
        <f>C74/D74</f>
        <v>37.7934932</v>
      </c>
      <c r="G74" s="87">
        <f t="shared" si="4"/>
        <v>0.0016718538719466933</v>
      </c>
      <c r="H74" s="29"/>
      <c r="I74" s="29"/>
      <c r="J74" s="38">
        <f t="shared" si="6"/>
        <v>0</v>
      </c>
      <c r="K74" s="40">
        <v>38687</v>
      </c>
      <c r="L74" s="40">
        <v>39264</v>
      </c>
      <c r="M74" s="40">
        <v>38687</v>
      </c>
      <c r="N74" s="46"/>
    </row>
    <row r="75" spans="1:14" ht="12.75">
      <c r="A75" s="72" t="s">
        <v>118</v>
      </c>
      <c r="B75" s="70" t="s">
        <v>120</v>
      </c>
      <c r="C75" s="84">
        <v>380264.17</v>
      </c>
      <c r="D75" s="84">
        <v>350000</v>
      </c>
      <c r="E75" s="84">
        <f t="shared" si="7"/>
        <v>30264.169999999984</v>
      </c>
      <c r="F75" s="30">
        <f>C75/D75</f>
        <v>1.086469057142857</v>
      </c>
      <c r="G75" s="87">
        <f t="shared" si="4"/>
        <v>0.023405954207253707</v>
      </c>
      <c r="H75" s="29">
        <v>462866</v>
      </c>
      <c r="I75" s="29">
        <v>350000</v>
      </c>
      <c r="J75" s="38">
        <f t="shared" si="6"/>
        <v>112866</v>
      </c>
      <c r="K75" s="40">
        <v>38718</v>
      </c>
      <c r="L75" s="40">
        <v>39052</v>
      </c>
      <c r="M75" s="40">
        <v>38718</v>
      </c>
      <c r="N75" s="46">
        <v>39052</v>
      </c>
    </row>
    <row r="76" spans="1:14" ht="12.75">
      <c r="A76" s="72" t="s">
        <v>119</v>
      </c>
      <c r="B76" s="70" t="s">
        <v>121</v>
      </c>
      <c r="C76" s="84">
        <v>23300</v>
      </c>
      <c r="D76" s="84">
        <v>50000</v>
      </c>
      <c r="E76" s="84">
        <f t="shared" si="7"/>
        <v>-26700</v>
      </c>
      <c r="F76" s="30">
        <f>C76/D76</f>
        <v>0.466</v>
      </c>
      <c r="G76" s="87">
        <f t="shared" si="4"/>
        <v>0.0033437077438933866</v>
      </c>
      <c r="H76" s="29"/>
      <c r="I76" s="29"/>
      <c r="J76" s="38">
        <f t="shared" si="6"/>
        <v>0</v>
      </c>
      <c r="K76" s="40">
        <v>38777</v>
      </c>
      <c r="L76" s="40">
        <v>39326</v>
      </c>
      <c r="M76" s="40">
        <v>38930</v>
      </c>
      <c r="N76" s="46"/>
    </row>
    <row r="77" spans="1:14" ht="12.75">
      <c r="A77" s="72" t="s">
        <v>130</v>
      </c>
      <c r="B77" s="70" t="s">
        <v>136</v>
      </c>
      <c r="C77" s="84">
        <v>447523.83</v>
      </c>
      <c r="D77" s="84">
        <v>0</v>
      </c>
      <c r="E77" s="84">
        <f t="shared" si="7"/>
        <v>447523.83</v>
      </c>
      <c r="F77" s="30"/>
      <c r="G77" s="87">
        <f t="shared" si="4"/>
        <v>0</v>
      </c>
      <c r="H77" s="29"/>
      <c r="I77" s="29"/>
      <c r="J77" s="38">
        <f t="shared" si="6"/>
        <v>0</v>
      </c>
      <c r="K77" s="40">
        <v>38749</v>
      </c>
      <c r="L77" s="40">
        <v>39052</v>
      </c>
      <c r="M77" s="40">
        <v>38808</v>
      </c>
      <c r="N77" s="46"/>
    </row>
    <row r="78" spans="1:14" ht="12.75">
      <c r="A78" s="72" t="s">
        <v>122</v>
      </c>
      <c r="B78" s="70" t="s">
        <v>123</v>
      </c>
      <c r="C78" s="84">
        <v>249694.67</v>
      </c>
      <c r="D78" s="84">
        <v>0</v>
      </c>
      <c r="E78" s="84">
        <f t="shared" si="7"/>
        <v>249694.67</v>
      </c>
      <c r="F78" s="30"/>
      <c r="G78" s="87">
        <f t="shared" si="4"/>
        <v>0</v>
      </c>
      <c r="H78" s="29"/>
      <c r="I78" s="29"/>
      <c r="J78" s="38">
        <f t="shared" si="6"/>
        <v>0</v>
      </c>
      <c r="K78" s="40">
        <v>38718</v>
      </c>
      <c r="L78" s="40">
        <v>39022</v>
      </c>
      <c r="M78" s="40">
        <v>38777</v>
      </c>
      <c r="N78" s="46"/>
    </row>
    <row r="79" spans="1:14" ht="12.75">
      <c r="A79" s="72" t="s">
        <v>124</v>
      </c>
      <c r="B79" s="70" t="s">
        <v>127</v>
      </c>
      <c r="C79" s="84">
        <v>57400</v>
      </c>
      <c r="D79" s="84">
        <v>0</v>
      </c>
      <c r="E79" s="84">
        <f t="shared" si="7"/>
        <v>57400</v>
      </c>
      <c r="F79" s="30"/>
      <c r="G79" s="87">
        <f t="shared" si="4"/>
        <v>0</v>
      </c>
      <c r="H79" s="29"/>
      <c r="I79" s="29"/>
      <c r="J79" s="38">
        <f t="shared" si="6"/>
        <v>0</v>
      </c>
      <c r="K79" s="40">
        <v>38749</v>
      </c>
      <c r="L79" s="40">
        <v>39052</v>
      </c>
      <c r="M79" s="40">
        <v>38777</v>
      </c>
      <c r="N79" s="46"/>
    </row>
    <row r="80" spans="1:14" ht="12.75">
      <c r="A80" s="72" t="s">
        <v>125</v>
      </c>
      <c r="B80" s="70" t="s">
        <v>128</v>
      </c>
      <c r="C80" s="84">
        <v>1676933.11</v>
      </c>
      <c r="D80" s="84">
        <v>0</v>
      </c>
      <c r="E80" s="84">
        <f t="shared" si="7"/>
        <v>1676933.11</v>
      </c>
      <c r="F80" s="30"/>
      <c r="G80" s="87">
        <f t="shared" si="4"/>
        <v>0</v>
      </c>
      <c r="H80" s="29"/>
      <c r="I80" s="29"/>
      <c r="J80" s="38">
        <f t="shared" si="6"/>
        <v>0</v>
      </c>
      <c r="K80" s="40">
        <v>38838</v>
      </c>
      <c r="L80" s="40">
        <v>40513</v>
      </c>
      <c r="M80" s="40">
        <v>38838</v>
      </c>
      <c r="N80" s="46"/>
    </row>
    <row r="81" spans="1:14" ht="12.75">
      <c r="A81" s="72" t="s">
        <v>126</v>
      </c>
      <c r="B81" s="70" t="s">
        <v>129</v>
      </c>
      <c r="C81" s="84">
        <v>47.71</v>
      </c>
      <c r="D81" s="84">
        <v>0</v>
      </c>
      <c r="E81" s="84">
        <f t="shared" si="7"/>
        <v>47.71</v>
      </c>
      <c r="F81" s="30"/>
      <c r="G81" s="87">
        <f t="shared" si="4"/>
        <v>0</v>
      </c>
      <c r="H81" s="29"/>
      <c r="I81" s="29"/>
      <c r="J81" s="38">
        <f t="shared" si="6"/>
        <v>0</v>
      </c>
      <c r="K81" s="40">
        <v>38718</v>
      </c>
      <c r="L81" s="40">
        <v>39173</v>
      </c>
      <c r="M81" s="40">
        <v>38899</v>
      </c>
      <c r="N81" s="46"/>
    </row>
    <row r="82" spans="1:14" ht="12.75">
      <c r="A82" s="63" t="s">
        <v>33</v>
      </c>
      <c r="B82" s="64" t="s">
        <v>45</v>
      </c>
      <c r="C82" s="84">
        <v>37268.77</v>
      </c>
      <c r="D82" s="84">
        <v>0</v>
      </c>
      <c r="E82" s="85">
        <f t="shared" si="7"/>
        <v>37268.77</v>
      </c>
      <c r="F82" s="30"/>
      <c r="G82" s="30">
        <f t="shared" si="4"/>
        <v>0</v>
      </c>
      <c r="H82" s="29"/>
      <c r="I82" s="29"/>
      <c r="J82" s="38">
        <f t="shared" si="6"/>
        <v>0</v>
      </c>
      <c r="K82" s="40">
        <v>33786</v>
      </c>
      <c r="L82" s="40">
        <v>35400</v>
      </c>
      <c r="M82" s="40">
        <v>33848</v>
      </c>
      <c r="N82" s="41"/>
    </row>
    <row r="83" spans="1:14" ht="12.75">
      <c r="A83" s="65" t="s">
        <v>36</v>
      </c>
      <c r="B83" s="64" t="s">
        <v>60</v>
      </c>
      <c r="C83" s="84">
        <v>15839.97</v>
      </c>
      <c r="D83" s="84">
        <v>0</v>
      </c>
      <c r="E83" s="85">
        <f t="shared" si="7"/>
        <v>15839.97</v>
      </c>
      <c r="F83" s="30"/>
      <c r="G83" s="30">
        <f t="shared" si="4"/>
        <v>0</v>
      </c>
      <c r="H83" s="29">
        <v>657269</v>
      </c>
      <c r="I83" s="29">
        <v>350000</v>
      </c>
      <c r="J83" s="38">
        <f t="shared" si="6"/>
        <v>307269</v>
      </c>
      <c r="K83" s="40">
        <v>35827</v>
      </c>
      <c r="L83" s="40">
        <v>36404</v>
      </c>
      <c r="M83" s="40">
        <v>36192</v>
      </c>
      <c r="N83" s="46">
        <v>39052</v>
      </c>
    </row>
    <row r="84" spans="1:14" ht="12.75">
      <c r="A84" s="71"/>
      <c r="B84" s="67"/>
      <c r="C84" s="86"/>
      <c r="D84" s="86"/>
      <c r="E84" s="84"/>
      <c r="F84" s="30"/>
      <c r="G84" s="33"/>
      <c r="H84" s="31"/>
      <c r="I84" s="31"/>
      <c r="J84" s="39"/>
      <c r="K84" s="43"/>
      <c r="L84" s="43"/>
      <c r="M84" s="43"/>
      <c r="N84" s="44"/>
    </row>
    <row r="85" spans="3:14" ht="12">
      <c r="C85" s="68">
        <f>SUM(C54:C84)</f>
        <v>7760449.92</v>
      </c>
      <c r="D85" s="34">
        <f>SUM(D54:D84)</f>
        <v>4508460</v>
      </c>
      <c r="E85" s="34">
        <f>SUM(E54:E84)</f>
        <v>3251989.920000001</v>
      </c>
      <c r="F85" s="36">
        <f>C85/D85</f>
        <v>1.7213083669368254</v>
      </c>
      <c r="G85" s="35"/>
      <c r="H85" s="28"/>
      <c r="I85" s="28"/>
      <c r="J85" s="28"/>
      <c r="K85" s="28"/>
      <c r="L85" s="28"/>
      <c r="M85" s="28"/>
      <c r="N85" s="28"/>
    </row>
  </sheetData>
  <sheetProtection/>
  <mergeCells count="6">
    <mergeCell ref="A41:N41"/>
    <mergeCell ref="A42:N42"/>
    <mergeCell ref="A1:N1"/>
    <mergeCell ref="A2:N2"/>
    <mergeCell ref="A3:N3"/>
    <mergeCell ref="A40:N40"/>
  </mergeCells>
  <printOptions horizontalCentered="1"/>
  <pageMargins left="0.25" right="0.58" top="0.38" bottom="0.31" header="0" footer="0"/>
  <pageSetup horizontalDpi="600" verticalDpi="600" orientation="landscape" scale="75" r:id="rId1"/>
  <rowBreaks count="2" manualBreakCount="2">
    <brk id="39" max="23" man="1"/>
    <brk id="87" max="255"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dimension ref="A1:Z80"/>
  <sheetViews>
    <sheetView tabSelected="1" view="pageBreakPreview" zoomScaleSheetLayoutView="100" zoomScalePageLayoutView="0" workbookViewId="0" topLeftCell="F10">
      <selection activeCell="F76" activeCellId="15" sqref="F57 F59 F60 F61 F63 F66 F67 F68 F69 F70 F71 F72 F73 F74 F75 F76"/>
    </sheetView>
  </sheetViews>
  <sheetFormatPr defaultColWidth="9.83203125" defaultRowHeight="12"/>
  <cols>
    <col min="1" max="1" width="8.66015625" style="1" customWidth="1"/>
    <col min="2" max="2" width="62.66015625" style="1" customWidth="1"/>
    <col min="3" max="3" width="13.66015625" style="1" customWidth="1"/>
    <col min="4" max="5" width="12.660156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 style="1" customWidth="1"/>
    <col min="16" max="16" width="7.83203125" style="1" customWidth="1"/>
    <col min="17" max="17" width="58.16015625" style="1" customWidth="1"/>
    <col min="18" max="18" width="72.66015625" style="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2005</v>
      </c>
      <c r="W4" s="2"/>
    </row>
    <row r="5" spans="1:12" ht="12">
      <c r="A5" s="2" t="s">
        <v>2</v>
      </c>
      <c r="L5" s="2" t="s">
        <v>73</v>
      </c>
    </row>
    <row r="6" spans="1:16" ht="15.75">
      <c r="A6" s="2" t="s">
        <v>3</v>
      </c>
      <c r="L6" s="2"/>
      <c r="P6" s="5" t="s">
        <v>55</v>
      </c>
    </row>
    <row r="7" spans="12:21" ht="19.5">
      <c r="L7" s="2" t="s">
        <v>4</v>
      </c>
      <c r="P7" s="6"/>
      <c r="U7" s="5" t="s">
        <v>78</v>
      </c>
    </row>
    <row r="8" spans="12:13" ht="12">
      <c r="L8" s="4" t="s">
        <v>312</v>
      </c>
      <c r="M8" s="4"/>
    </row>
    <row r="9" spans="17:24" ht="12.75">
      <c r="Q9" s="7"/>
      <c r="R9" s="7"/>
      <c r="S9" s="7"/>
      <c r="T9" s="8" t="s">
        <v>5</v>
      </c>
      <c r="U9" s="7"/>
      <c r="V9" s="7"/>
      <c r="W9" s="7"/>
      <c r="X9" s="7"/>
    </row>
    <row r="10" spans="17:24" ht="12.75">
      <c r="Q10" s="7"/>
      <c r="R10" s="7"/>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7"/>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6" t="s">
        <v>18</v>
      </c>
      <c r="S12" s="17" t="s">
        <v>19</v>
      </c>
      <c r="T12" s="17" t="s">
        <v>19</v>
      </c>
      <c r="U12" s="16" t="s">
        <v>20</v>
      </c>
      <c r="V12" s="16" t="s">
        <v>21</v>
      </c>
      <c r="W12" s="16" t="s">
        <v>20</v>
      </c>
      <c r="X12" s="16"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94" t="s">
        <v>48</v>
      </c>
      <c r="Q13" s="113" t="s">
        <v>53</v>
      </c>
      <c r="R13" s="18" t="s">
        <v>142</v>
      </c>
      <c r="S13" s="19">
        <v>1755786</v>
      </c>
      <c r="T13" s="19">
        <v>1300000</v>
      </c>
      <c r="U13" s="47">
        <v>36892</v>
      </c>
      <c r="V13" s="47">
        <v>38322</v>
      </c>
      <c r="W13" s="47">
        <v>36923</v>
      </c>
      <c r="X13" s="47">
        <v>38687</v>
      </c>
      <c r="Y13" s="78"/>
      <c r="Z13" s="78"/>
    </row>
    <row r="14" spans="1:24"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7" t="s">
        <v>63</v>
      </c>
      <c r="Q14" s="112" t="s">
        <v>69</v>
      </c>
      <c r="R14" s="21" t="s">
        <v>139</v>
      </c>
      <c r="S14" s="22">
        <v>3744744</v>
      </c>
      <c r="T14" s="22">
        <v>3000000</v>
      </c>
      <c r="U14" s="48">
        <v>37742</v>
      </c>
      <c r="V14" s="48">
        <v>38687</v>
      </c>
      <c r="W14" s="48">
        <v>37803</v>
      </c>
      <c r="X14" s="48">
        <v>38687</v>
      </c>
    </row>
    <row r="15" spans="1:24" ht="12.75">
      <c r="A15" s="9">
        <v>80</v>
      </c>
      <c r="B15" s="14" t="s">
        <v>79</v>
      </c>
      <c r="C15" s="82">
        <f>5548458.19+452007.17</f>
        <v>6000465.36</v>
      </c>
      <c r="D15" s="82">
        <v>4080000</v>
      </c>
      <c r="E15" s="84">
        <f aca="true" t="shared" si="0" ref="E15:E32">C15-D15</f>
        <v>1920465.3600000003</v>
      </c>
      <c r="F15" s="26">
        <f aca="true" t="shared" si="1" ref="F15:F33">C15/D15</f>
        <v>1.470702294117647</v>
      </c>
      <c r="G15" s="27">
        <f aca="true" t="shared" si="2" ref="G15:G32">D15/(D$33+D$80)</f>
        <v>0.2370751205640296</v>
      </c>
      <c r="H15" s="28"/>
      <c r="I15" s="28"/>
      <c r="J15" s="28"/>
      <c r="K15" s="28"/>
      <c r="L15" s="28"/>
      <c r="M15" s="28"/>
      <c r="N15" s="28"/>
      <c r="P15" s="76" t="s">
        <v>65</v>
      </c>
      <c r="Q15" s="112" t="s">
        <v>70</v>
      </c>
      <c r="R15" s="21" t="s">
        <v>140</v>
      </c>
      <c r="S15" s="19">
        <v>999181</v>
      </c>
      <c r="T15" s="19">
        <v>1320000</v>
      </c>
      <c r="U15" s="48">
        <v>37622</v>
      </c>
      <c r="V15" s="48">
        <v>38169</v>
      </c>
      <c r="W15" s="48">
        <v>37773</v>
      </c>
      <c r="X15" s="48">
        <v>38687</v>
      </c>
    </row>
    <row r="16" spans="1:24" ht="12.75">
      <c r="A16" s="9">
        <v>81</v>
      </c>
      <c r="B16" s="14" t="s">
        <v>80</v>
      </c>
      <c r="C16" s="82">
        <f>454472.93+34596.56</f>
        <v>489069.49</v>
      </c>
      <c r="D16" s="82">
        <v>600000</v>
      </c>
      <c r="E16" s="84">
        <f t="shared" si="0"/>
        <v>-110930.51000000001</v>
      </c>
      <c r="F16" s="26">
        <f t="shared" si="1"/>
        <v>0.8151158166666667</v>
      </c>
      <c r="G16" s="30">
        <f t="shared" si="2"/>
        <v>0.03486398831823965</v>
      </c>
      <c r="H16" s="28"/>
      <c r="I16" s="28"/>
      <c r="J16" s="28"/>
      <c r="K16" s="28"/>
      <c r="L16" s="28"/>
      <c r="M16" s="28"/>
      <c r="N16" s="28"/>
      <c r="P16" s="75" t="s">
        <v>47</v>
      </c>
      <c r="Q16" s="114" t="s">
        <v>52</v>
      </c>
      <c r="R16" s="56" t="s">
        <v>141</v>
      </c>
      <c r="S16" s="57">
        <v>675097</v>
      </c>
      <c r="T16" s="95">
        <v>650000</v>
      </c>
      <c r="U16" s="96">
        <v>36892</v>
      </c>
      <c r="V16" s="58">
        <v>37742</v>
      </c>
      <c r="W16" s="58">
        <v>37500</v>
      </c>
      <c r="X16" s="58">
        <v>38687</v>
      </c>
    </row>
    <row r="17" spans="1:24" ht="12.75">
      <c r="A17" s="9">
        <v>82</v>
      </c>
      <c r="B17" s="14" t="s">
        <v>81</v>
      </c>
      <c r="C17" s="82">
        <v>676942.06</v>
      </c>
      <c r="D17" s="82">
        <v>255000</v>
      </c>
      <c r="E17" s="84">
        <f t="shared" si="0"/>
        <v>421942.06000000006</v>
      </c>
      <c r="F17" s="26">
        <f t="shared" si="1"/>
        <v>2.6546747450980392</v>
      </c>
      <c r="G17" s="30">
        <f t="shared" si="2"/>
        <v>0.01481719503525185</v>
      </c>
      <c r="H17" s="28"/>
      <c r="I17" s="28"/>
      <c r="J17" s="28"/>
      <c r="K17" s="28"/>
      <c r="L17" s="28"/>
      <c r="M17" s="28"/>
      <c r="N17" s="28"/>
      <c r="P17" s="59"/>
      <c r="Q17" s="17" t="s">
        <v>32</v>
      </c>
      <c r="R17" s="55"/>
      <c r="S17" s="55">
        <f>SUM(S13:S16)</f>
        <v>7174808</v>
      </c>
      <c r="T17" s="55">
        <f>SUM(T13:T16)</f>
        <v>6270000</v>
      </c>
      <c r="U17" s="60"/>
      <c r="V17" s="60"/>
      <c r="W17" s="60"/>
      <c r="X17" s="60"/>
    </row>
    <row r="18" spans="1:24" ht="12.75">
      <c r="A18" s="9">
        <v>83</v>
      </c>
      <c r="B18" s="14" t="s">
        <v>82</v>
      </c>
      <c r="C18" s="82">
        <v>23369.65</v>
      </c>
      <c r="D18" s="82">
        <v>25500</v>
      </c>
      <c r="E18" s="84">
        <f t="shared" si="0"/>
        <v>-2130.3499999999985</v>
      </c>
      <c r="F18" s="26">
        <f t="shared" si="1"/>
        <v>0.9164568627450981</v>
      </c>
      <c r="G18" s="30">
        <f t="shared" si="2"/>
        <v>0.001481719503525185</v>
      </c>
      <c r="H18" s="28"/>
      <c r="I18" s="28"/>
      <c r="J18" s="28"/>
      <c r="K18" s="28"/>
      <c r="L18" s="28"/>
      <c r="M18" s="28"/>
      <c r="N18" s="28"/>
      <c r="P18" s="59"/>
      <c r="Q18" s="59"/>
      <c r="R18" s="80"/>
      <c r="S18" s="80"/>
      <c r="T18" s="80"/>
      <c r="U18" s="60"/>
      <c r="V18" s="60"/>
      <c r="W18" s="60"/>
      <c r="X18" s="60"/>
    </row>
    <row r="19" spans="1:24" ht="12.75">
      <c r="A19" s="9">
        <v>84</v>
      </c>
      <c r="B19" s="14" t="s">
        <v>83</v>
      </c>
      <c r="C19" s="82">
        <v>547823.42</v>
      </c>
      <c r="D19" s="82">
        <v>300000</v>
      </c>
      <c r="E19" s="84">
        <f t="shared" si="0"/>
        <v>247823.42000000004</v>
      </c>
      <c r="F19" s="26">
        <f t="shared" si="1"/>
        <v>1.8260780666666667</v>
      </c>
      <c r="G19" s="30">
        <f t="shared" si="2"/>
        <v>0.017431994159119824</v>
      </c>
      <c r="H19" s="28"/>
      <c r="I19" s="28"/>
      <c r="J19" s="28"/>
      <c r="K19" s="28"/>
      <c r="L19" s="28"/>
      <c r="M19" s="28"/>
      <c r="N19" s="28"/>
      <c r="P19" s="59"/>
      <c r="Q19" s="59"/>
      <c r="R19" s="80"/>
      <c r="S19" s="80"/>
      <c r="T19" s="80"/>
      <c r="U19" s="60"/>
      <c r="V19" s="60"/>
      <c r="W19" s="60"/>
      <c r="X19" s="60"/>
    </row>
    <row r="20" spans="1:24" ht="12.75">
      <c r="A20" s="9">
        <v>85</v>
      </c>
      <c r="B20" s="14" t="s">
        <v>84</v>
      </c>
      <c r="C20" s="82">
        <f>748960.46-10000</f>
        <v>738960.46</v>
      </c>
      <c r="D20" s="82">
        <v>500000</v>
      </c>
      <c r="E20" s="84">
        <f t="shared" si="0"/>
        <v>238960.45999999996</v>
      </c>
      <c r="F20" s="26">
        <f t="shared" si="1"/>
        <v>1.4779209199999999</v>
      </c>
      <c r="G20" s="30">
        <f t="shared" si="2"/>
        <v>0.029053323598533038</v>
      </c>
      <c r="H20" s="28"/>
      <c r="I20" s="28"/>
      <c r="J20" s="28"/>
      <c r="K20" s="28"/>
      <c r="L20" s="28"/>
      <c r="M20" s="28"/>
      <c r="N20" s="28"/>
      <c r="P20" s="59"/>
      <c r="Q20" s="59"/>
      <c r="R20" s="80"/>
      <c r="S20" s="80"/>
      <c r="T20" s="80"/>
      <c r="U20" s="60"/>
      <c r="V20" s="60"/>
      <c r="W20" s="60"/>
      <c r="X20" s="60"/>
    </row>
    <row r="21" spans="1:24" ht="12.75">
      <c r="A21" s="9">
        <v>86</v>
      </c>
      <c r="B21" s="14" t="s">
        <v>85</v>
      </c>
      <c r="C21" s="82">
        <f>1213384.5+68105.23</f>
        <v>1281489.73</v>
      </c>
      <c r="D21" s="82">
        <v>1157000</v>
      </c>
      <c r="E21" s="84">
        <f t="shared" si="0"/>
        <v>124489.72999999998</v>
      </c>
      <c r="F21" s="26">
        <f t="shared" si="1"/>
        <v>1.1075970008643041</v>
      </c>
      <c r="G21" s="30">
        <f t="shared" si="2"/>
        <v>0.06722939080700545</v>
      </c>
      <c r="H21" s="28"/>
      <c r="I21" s="28"/>
      <c r="J21" s="28"/>
      <c r="K21" s="28"/>
      <c r="L21" s="28"/>
      <c r="M21" s="28"/>
      <c r="N21" s="28"/>
      <c r="P21" s="59"/>
      <c r="Q21" s="59"/>
      <c r="R21" s="80"/>
      <c r="S21" s="80"/>
      <c r="T21" s="80"/>
      <c r="U21" s="60"/>
      <c r="V21" s="60"/>
      <c r="W21" s="60"/>
      <c r="X21" s="60"/>
    </row>
    <row r="22" spans="1:24" ht="12.75">
      <c r="A22" s="9">
        <v>87</v>
      </c>
      <c r="B22" s="14" t="s">
        <v>86</v>
      </c>
      <c r="C22" s="82">
        <f>292823.46+600.53+192501.16</f>
        <v>485925.15</v>
      </c>
      <c r="D22" s="82">
        <v>416800</v>
      </c>
      <c r="E22" s="84">
        <f t="shared" si="0"/>
        <v>69125.15000000002</v>
      </c>
      <c r="F22" s="26">
        <f t="shared" si="1"/>
        <v>1.1658472888675624</v>
      </c>
      <c r="G22" s="30">
        <f t="shared" si="2"/>
        <v>0.024218850551737142</v>
      </c>
      <c r="H22" s="28"/>
      <c r="I22" s="28"/>
      <c r="J22" s="28"/>
      <c r="K22" s="28"/>
      <c r="L22" s="28"/>
      <c r="M22" s="28"/>
      <c r="N22" s="28"/>
      <c r="P22" s="59"/>
      <c r="Q22" s="59"/>
      <c r="R22" s="80"/>
      <c r="S22" s="80"/>
      <c r="T22" s="80"/>
      <c r="U22" s="60"/>
      <c r="V22" s="60"/>
      <c r="W22" s="60"/>
      <c r="X22" s="60"/>
    </row>
    <row r="23" spans="1:24" ht="12.75">
      <c r="A23" s="9">
        <v>88</v>
      </c>
      <c r="B23" s="14" t="s">
        <v>87</v>
      </c>
      <c r="C23" s="82">
        <f>954860.21+109820.37</f>
        <v>1064680.58</v>
      </c>
      <c r="D23" s="82">
        <v>1121500</v>
      </c>
      <c r="E23" s="84">
        <f t="shared" si="0"/>
        <v>-56819.419999999925</v>
      </c>
      <c r="F23" s="26">
        <f t="shared" si="1"/>
        <v>0.9493362282657156</v>
      </c>
      <c r="G23" s="30">
        <f t="shared" si="2"/>
        <v>0.06516660483150961</v>
      </c>
      <c r="H23" s="28"/>
      <c r="I23" s="28"/>
      <c r="J23" s="28"/>
      <c r="K23" s="28"/>
      <c r="L23" s="28"/>
      <c r="M23" s="28"/>
      <c r="N23" s="28"/>
      <c r="P23" s="59"/>
      <c r="Q23" s="59"/>
      <c r="R23" s="80"/>
      <c r="S23" s="80"/>
      <c r="T23" s="80"/>
      <c r="U23" s="60"/>
      <c r="V23" s="60"/>
      <c r="W23" s="60"/>
      <c r="X23" s="60"/>
    </row>
    <row r="24" spans="1:24" ht="12.75">
      <c r="A24" s="9">
        <v>89</v>
      </c>
      <c r="B24" s="14" t="s">
        <v>88</v>
      </c>
      <c r="C24" s="82">
        <v>81510.92</v>
      </c>
      <c r="D24" s="82">
        <v>75500</v>
      </c>
      <c r="E24" s="84">
        <f t="shared" si="0"/>
        <v>6010.919999999998</v>
      </c>
      <c r="F24" s="26">
        <f t="shared" si="1"/>
        <v>1.0796148344370862</v>
      </c>
      <c r="G24" s="30">
        <f t="shared" si="2"/>
        <v>0.004387051863378489</v>
      </c>
      <c r="H24" s="28"/>
      <c r="I24" s="28"/>
      <c r="J24" s="28"/>
      <c r="K24" s="28"/>
      <c r="L24" s="28"/>
      <c r="M24" s="28"/>
      <c r="N24" s="28"/>
      <c r="P24" s="59"/>
      <c r="Q24" s="59"/>
      <c r="R24" s="80"/>
      <c r="S24" s="80"/>
      <c r="T24" s="80"/>
      <c r="U24" s="60"/>
      <c r="V24" s="60"/>
      <c r="W24" s="60"/>
      <c r="X24" s="60"/>
    </row>
    <row r="25" spans="1:24" ht="12.75">
      <c r="A25" s="9">
        <v>90</v>
      </c>
      <c r="B25" s="14" t="s">
        <v>89</v>
      </c>
      <c r="C25" s="82">
        <f>48093.34+45437.76</f>
        <v>93531.1</v>
      </c>
      <c r="D25" s="82">
        <v>55000</v>
      </c>
      <c r="E25" s="84">
        <f t="shared" si="0"/>
        <v>38531.100000000006</v>
      </c>
      <c r="F25" s="26">
        <f t="shared" si="1"/>
        <v>1.7005654545454547</v>
      </c>
      <c r="G25" s="30">
        <f t="shared" si="2"/>
        <v>0.0031958655958386345</v>
      </c>
      <c r="H25" s="28"/>
      <c r="I25" s="28"/>
      <c r="J25" s="28"/>
      <c r="K25" s="28"/>
      <c r="L25" s="28"/>
      <c r="M25" s="28"/>
      <c r="N25" s="28"/>
      <c r="P25" s="59"/>
      <c r="Q25" s="59"/>
      <c r="R25" s="80"/>
      <c r="S25" s="80"/>
      <c r="T25" s="80"/>
      <c r="U25" s="60"/>
      <c r="V25" s="60"/>
      <c r="W25" s="60"/>
      <c r="X25" s="60"/>
    </row>
    <row r="26" spans="1:24" ht="12.75">
      <c r="A26" s="9">
        <v>91</v>
      </c>
      <c r="B26" s="14" t="s">
        <v>90</v>
      </c>
      <c r="C26" s="82">
        <f>5561.1+971.85</f>
        <v>6532.950000000001</v>
      </c>
      <c r="D26" s="82">
        <v>0</v>
      </c>
      <c r="E26" s="84">
        <f t="shared" si="0"/>
        <v>6532.950000000001</v>
      </c>
      <c r="F26" s="26"/>
      <c r="G26" s="30">
        <f t="shared" si="2"/>
        <v>0</v>
      </c>
      <c r="H26" s="28"/>
      <c r="I26" s="28"/>
      <c r="J26" s="28"/>
      <c r="K26" s="28"/>
      <c r="L26" s="28"/>
      <c r="M26" s="28"/>
      <c r="N26" s="28"/>
      <c r="P26" s="59"/>
      <c r="Q26" s="59"/>
      <c r="R26" s="80"/>
      <c r="S26" s="80"/>
      <c r="T26" s="80"/>
      <c r="U26" s="60"/>
      <c r="V26" s="60"/>
      <c r="W26" s="60"/>
      <c r="X26" s="60"/>
    </row>
    <row r="27" spans="1:24" ht="12.75">
      <c r="A27" s="9">
        <v>92</v>
      </c>
      <c r="B27" s="14" t="s">
        <v>91</v>
      </c>
      <c r="C27" s="82">
        <f>197986.81+4128.89</f>
        <v>202115.7</v>
      </c>
      <c r="D27" s="82">
        <v>160000</v>
      </c>
      <c r="E27" s="84">
        <f t="shared" si="0"/>
        <v>42115.70000000001</v>
      </c>
      <c r="F27" s="26">
        <f t="shared" si="1"/>
        <v>1.2632231250000001</v>
      </c>
      <c r="G27" s="30">
        <f t="shared" si="2"/>
        <v>0.009297063551530572</v>
      </c>
      <c r="H27" s="28"/>
      <c r="I27" s="28"/>
      <c r="J27" s="28"/>
      <c r="K27" s="28"/>
      <c r="L27" s="28"/>
      <c r="M27" s="28"/>
      <c r="N27" s="28"/>
      <c r="P27" s="59"/>
      <c r="Q27" s="59"/>
      <c r="R27" s="80"/>
      <c r="S27" s="80"/>
      <c r="T27" s="80"/>
      <c r="U27" s="60"/>
      <c r="V27" s="60"/>
      <c r="W27" s="60"/>
      <c r="X27" s="60"/>
    </row>
    <row r="28" spans="1:24" ht="12.75">
      <c r="A28" s="9">
        <v>93</v>
      </c>
      <c r="B28" s="81" t="s">
        <v>133</v>
      </c>
      <c r="C28" s="82">
        <f>301056.02+343.44+139863.42</f>
        <v>441262.88</v>
      </c>
      <c r="D28" s="82">
        <v>350000</v>
      </c>
      <c r="E28" s="84">
        <f t="shared" si="0"/>
        <v>91262.88</v>
      </c>
      <c r="F28" s="26">
        <f t="shared" si="1"/>
        <v>1.2607510857142856</v>
      </c>
      <c r="G28" s="30">
        <f t="shared" si="2"/>
        <v>0.020337326518973128</v>
      </c>
      <c r="H28" s="28"/>
      <c r="I28" s="28"/>
      <c r="J28" s="28"/>
      <c r="K28" s="28"/>
      <c r="L28" s="28"/>
      <c r="M28" s="28"/>
      <c r="N28" s="28"/>
      <c r="P28" s="59"/>
      <c r="U28" s="60"/>
      <c r="V28" s="60"/>
      <c r="W28" s="60"/>
      <c r="X28" s="60"/>
    </row>
    <row r="29" spans="1:24" ht="12.75">
      <c r="A29" s="9">
        <v>94</v>
      </c>
      <c r="B29" s="81" t="s">
        <v>134</v>
      </c>
      <c r="C29" s="82">
        <v>10170.33</v>
      </c>
      <c r="D29" s="82">
        <v>50000</v>
      </c>
      <c r="E29" s="84">
        <f t="shared" si="0"/>
        <v>-39829.67</v>
      </c>
      <c r="F29" s="26">
        <f t="shared" si="1"/>
        <v>0.2034066</v>
      </c>
      <c r="G29" s="30">
        <f t="shared" si="2"/>
        <v>0.002905332359853304</v>
      </c>
      <c r="H29" s="28"/>
      <c r="I29" s="28"/>
      <c r="J29" s="28"/>
      <c r="K29" s="28"/>
      <c r="L29" s="28"/>
      <c r="M29" s="28"/>
      <c r="N29" s="28"/>
      <c r="P29" s="59"/>
      <c r="U29" s="60"/>
      <c r="V29" s="60"/>
      <c r="W29" s="60"/>
      <c r="X29" s="60"/>
    </row>
    <row r="30" spans="1:24" ht="12.75" customHeight="1">
      <c r="A30" s="9">
        <v>95</v>
      </c>
      <c r="B30" s="88" t="s">
        <v>135</v>
      </c>
      <c r="C30" s="82">
        <v>167211.77</v>
      </c>
      <c r="D30" s="82">
        <v>0</v>
      </c>
      <c r="E30" s="84">
        <f t="shared" si="0"/>
        <v>167211.77</v>
      </c>
      <c r="F30" s="26"/>
      <c r="G30" s="30">
        <f t="shared" si="2"/>
        <v>0</v>
      </c>
      <c r="H30" s="28"/>
      <c r="I30" s="28"/>
      <c r="J30" s="28"/>
      <c r="K30" s="28"/>
      <c r="L30" s="28"/>
      <c r="M30" s="28"/>
      <c r="N30" s="28"/>
      <c r="P30" s="7"/>
      <c r="U30" s="7"/>
      <c r="V30" s="7"/>
      <c r="W30" s="7"/>
      <c r="X30" s="7"/>
    </row>
    <row r="31" spans="1:14" ht="12.75">
      <c r="A31" s="9">
        <v>96</v>
      </c>
      <c r="B31" s="14" t="s">
        <v>92</v>
      </c>
      <c r="C31" s="82">
        <v>0</v>
      </c>
      <c r="D31" s="82">
        <v>0</v>
      </c>
      <c r="E31" s="84">
        <f t="shared" si="0"/>
        <v>0</v>
      </c>
      <c r="F31" s="26"/>
      <c r="G31" s="30">
        <f t="shared" si="2"/>
        <v>0</v>
      </c>
      <c r="H31" s="28"/>
      <c r="I31" s="28"/>
      <c r="J31" s="28"/>
      <c r="K31" s="28"/>
      <c r="L31" s="28"/>
      <c r="M31" s="28"/>
      <c r="N31" s="28"/>
    </row>
    <row r="32" spans="1:14" ht="12.75">
      <c r="A32" s="17">
        <v>97</v>
      </c>
      <c r="B32" s="23" t="s">
        <v>93</v>
      </c>
      <c r="C32" s="83">
        <v>0</v>
      </c>
      <c r="D32" s="83">
        <v>0</v>
      </c>
      <c r="E32" s="84">
        <f t="shared" si="0"/>
        <v>0</v>
      </c>
      <c r="F32" s="62"/>
      <c r="G32" s="62">
        <f t="shared" si="2"/>
        <v>0</v>
      </c>
      <c r="H32" s="28"/>
      <c r="I32" s="28"/>
      <c r="J32" s="28"/>
      <c r="K32" s="28"/>
      <c r="L32" s="28"/>
      <c r="M32" s="28"/>
      <c r="N32" s="28"/>
    </row>
    <row r="33" spans="1:14" ht="12.75">
      <c r="A33" s="24"/>
      <c r="B33" s="25" t="s">
        <v>31</v>
      </c>
      <c r="C33" s="34">
        <f>SUM(C15:C32)</f>
        <v>12311061.55</v>
      </c>
      <c r="D33" s="34">
        <f>SUM(D15:D32)</f>
        <v>9146300</v>
      </c>
      <c r="E33" s="34">
        <f>SUM(E15:E32)</f>
        <v>3164761.5500000003</v>
      </c>
      <c r="F33" s="32">
        <f t="shared" si="1"/>
        <v>1.346015498070258</v>
      </c>
      <c r="G33" s="35"/>
      <c r="H33" s="28"/>
      <c r="I33" s="28"/>
      <c r="J33" s="28"/>
      <c r="K33" s="28"/>
      <c r="L33" s="28"/>
      <c r="M33" s="28"/>
      <c r="N33" s="28"/>
    </row>
    <row r="34" spans="1:14" ht="12.75">
      <c r="A34" s="24"/>
      <c r="B34" s="25" t="s">
        <v>94</v>
      </c>
      <c r="C34" s="34">
        <f>C15</f>
        <v>6000465.36</v>
      </c>
      <c r="D34" s="34">
        <f>D15</f>
        <v>4080000</v>
      </c>
      <c r="E34" s="34">
        <f>E15</f>
        <v>1920465.3600000003</v>
      </c>
      <c r="F34" s="35"/>
      <c r="G34" s="35"/>
      <c r="H34" s="28"/>
      <c r="I34" s="28"/>
      <c r="J34" s="28"/>
      <c r="K34" s="28"/>
      <c r="L34" s="28"/>
      <c r="M34" s="28"/>
      <c r="N34" s="28"/>
    </row>
    <row r="35" spans="1:14" ht="12.75">
      <c r="A35" s="24"/>
      <c r="B35" s="25" t="s">
        <v>95</v>
      </c>
      <c r="C35" s="34">
        <f>C33-C34</f>
        <v>6310596.19</v>
      </c>
      <c r="D35" s="34">
        <f>D33-D34</f>
        <v>5066300</v>
      </c>
      <c r="E35" s="34">
        <f>E33-E34</f>
        <v>1244296.19</v>
      </c>
      <c r="F35" s="36">
        <f>C35/D35</f>
        <v>1.2456025482107258</v>
      </c>
      <c r="G35" s="35"/>
      <c r="H35" s="28"/>
      <c r="I35" s="28"/>
      <c r="J35" s="28"/>
      <c r="K35" s="28"/>
      <c r="L35" s="28"/>
      <c r="M35" s="28"/>
      <c r="N35" s="28"/>
    </row>
    <row r="36" spans="1:14" ht="12.75">
      <c r="A36" s="24"/>
      <c r="B36" s="7"/>
      <c r="C36" s="37"/>
      <c r="D36" s="37"/>
      <c r="E36" s="37"/>
      <c r="F36" s="35"/>
      <c r="G36" s="35"/>
      <c r="H36" s="28"/>
      <c r="I36" s="28"/>
      <c r="J36" s="28"/>
      <c r="K36" s="28"/>
      <c r="L36" s="28"/>
      <c r="M36" s="28"/>
      <c r="N36" s="28"/>
    </row>
    <row r="37" spans="1:14" ht="12.75">
      <c r="A37" s="24"/>
      <c r="B37" s="7"/>
      <c r="C37" s="37"/>
      <c r="D37" s="37"/>
      <c r="E37" s="37"/>
      <c r="F37" s="35"/>
      <c r="G37" s="35"/>
      <c r="H37" s="28"/>
      <c r="I37" s="28"/>
      <c r="J37" s="28"/>
      <c r="K37" s="28"/>
      <c r="L37" s="28"/>
      <c r="M37" s="28"/>
      <c r="N37" s="28"/>
    </row>
    <row r="38" spans="1:14" ht="12.75">
      <c r="A38" s="24"/>
      <c r="B38" s="7"/>
      <c r="C38" s="37"/>
      <c r="D38" s="37"/>
      <c r="E38" s="37"/>
      <c r="F38" s="35"/>
      <c r="G38" s="35"/>
      <c r="H38" s="28"/>
      <c r="I38" s="28"/>
      <c r="J38" s="28"/>
      <c r="K38" s="28"/>
      <c r="L38" s="28"/>
      <c r="M38" s="28"/>
      <c r="N38" s="28"/>
    </row>
    <row r="39" spans="1:14" ht="12.75">
      <c r="A39" s="24"/>
      <c r="B39" s="7"/>
      <c r="C39" s="37"/>
      <c r="D39" s="37"/>
      <c r="E39" s="37"/>
      <c r="F39" s="35"/>
      <c r="G39" s="35"/>
      <c r="H39" s="28"/>
      <c r="I39" s="28"/>
      <c r="J39" s="28"/>
      <c r="K39" s="28"/>
      <c r="L39" s="28"/>
      <c r="M39" s="28"/>
      <c r="N39" s="28"/>
    </row>
    <row r="40" spans="1:14" ht="12">
      <c r="A40" s="212" t="s">
        <v>71</v>
      </c>
      <c r="B40" s="212"/>
      <c r="C40" s="212"/>
      <c r="D40" s="212"/>
      <c r="E40" s="212"/>
      <c r="F40" s="212"/>
      <c r="G40" s="212"/>
      <c r="H40" s="212"/>
      <c r="I40" s="212"/>
      <c r="J40" s="212"/>
      <c r="K40" s="212"/>
      <c r="L40" s="212"/>
      <c r="M40" s="212"/>
      <c r="N40" s="212"/>
    </row>
    <row r="41" spans="1:14" ht="12">
      <c r="A41" s="212" t="str">
        <f>A2</f>
        <v>Case No. 2015-00418</v>
      </c>
      <c r="B41" s="212"/>
      <c r="C41" s="212"/>
      <c r="D41" s="212"/>
      <c r="E41" s="212"/>
      <c r="F41" s="212"/>
      <c r="G41" s="212"/>
      <c r="H41" s="212"/>
      <c r="I41" s="212"/>
      <c r="J41" s="212"/>
      <c r="K41" s="212"/>
      <c r="L41" s="212"/>
      <c r="M41" s="212"/>
      <c r="N41" s="212"/>
    </row>
    <row r="42" spans="1:14" ht="12">
      <c r="A42" s="212" t="s">
        <v>74</v>
      </c>
      <c r="B42" s="212"/>
      <c r="C42" s="212"/>
      <c r="D42" s="212"/>
      <c r="E42" s="212"/>
      <c r="F42" s="212"/>
      <c r="G42" s="212"/>
      <c r="H42" s="212"/>
      <c r="I42" s="212"/>
      <c r="J42" s="212"/>
      <c r="K42" s="212"/>
      <c r="L42" s="212"/>
      <c r="M42" s="212"/>
      <c r="N42" s="212"/>
    </row>
    <row r="43" spans="4:5" ht="12">
      <c r="D43" s="3" t="s">
        <v>1</v>
      </c>
      <c r="E43" s="99">
        <v>2005</v>
      </c>
    </row>
    <row r="44" spans="1:12" ht="12">
      <c r="A44" s="2" t="s">
        <v>2</v>
      </c>
      <c r="L44" s="2" t="s">
        <v>73</v>
      </c>
    </row>
    <row r="45" spans="1:12" ht="12">
      <c r="A45" s="2" t="s">
        <v>3</v>
      </c>
      <c r="L45" s="2"/>
    </row>
    <row r="46" ht="12">
      <c r="L46" s="2" t="s">
        <v>4</v>
      </c>
    </row>
    <row r="47" spans="12:13" ht="12">
      <c r="L47" s="4" t="s">
        <v>312</v>
      </c>
      <c r="M47" s="4"/>
    </row>
    <row r="50" spans="1:14" ht="12.75">
      <c r="A50" s="8"/>
      <c r="B50" s="12"/>
      <c r="C50" s="12"/>
      <c r="D50" s="12"/>
      <c r="E50" s="12"/>
      <c r="F50" s="12"/>
      <c r="G50" s="12"/>
      <c r="H50" s="12" t="s">
        <v>8</v>
      </c>
      <c r="I50" s="12" t="s">
        <v>8</v>
      </c>
      <c r="J50" s="12"/>
      <c r="K50" s="12" t="s">
        <v>9</v>
      </c>
      <c r="L50" s="12" t="s">
        <v>9</v>
      </c>
      <c r="M50" s="12"/>
      <c r="N50" s="12"/>
    </row>
    <row r="51" spans="1:14" ht="12.75">
      <c r="A51" s="9"/>
      <c r="B51" s="15"/>
      <c r="C51" s="15"/>
      <c r="D51" s="15" t="s">
        <v>12</v>
      </c>
      <c r="E51" s="15"/>
      <c r="F51" s="15"/>
      <c r="G51" s="15" t="s">
        <v>13</v>
      </c>
      <c r="H51" s="15" t="s">
        <v>14</v>
      </c>
      <c r="I51" s="15" t="s">
        <v>15</v>
      </c>
      <c r="J51" s="15"/>
      <c r="K51" s="15" t="s">
        <v>16</v>
      </c>
      <c r="L51" s="15" t="s">
        <v>16</v>
      </c>
      <c r="M51" s="15" t="s">
        <v>9</v>
      </c>
      <c r="N51" s="15" t="s">
        <v>9</v>
      </c>
    </row>
    <row r="52" spans="1:14" ht="12.75">
      <c r="A52" s="9"/>
      <c r="B52" s="15"/>
      <c r="C52" s="15" t="s">
        <v>12</v>
      </c>
      <c r="D52" s="15" t="s">
        <v>16</v>
      </c>
      <c r="E52" s="15" t="s">
        <v>22</v>
      </c>
      <c r="F52" s="15" t="s">
        <v>22</v>
      </c>
      <c r="G52" s="15" t="s">
        <v>23</v>
      </c>
      <c r="H52" s="15" t="s">
        <v>24</v>
      </c>
      <c r="I52" s="15" t="s">
        <v>24</v>
      </c>
      <c r="J52" s="15"/>
      <c r="K52" s="15" t="s">
        <v>15</v>
      </c>
      <c r="L52" s="15" t="s">
        <v>15</v>
      </c>
      <c r="M52" s="15" t="s">
        <v>14</v>
      </c>
      <c r="N52" s="15" t="s">
        <v>14</v>
      </c>
    </row>
    <row r="53" spans="1:14" ht="12.75">
      <c r="A53" s="17" t="s">
        <v>25</v>
      </c>
      <c r="B53" s="20" t="s">
        <v>26</v>
      </c>
      <c r="C53" s="20" t="s">
        <v>14</v>
      </c>
      <c r="D53" s="20" t="s">
        <v>15</v>
      </c>
      <c r="E53" s="20" t="s">
        <v>27</v>
      </c>
      <c r="F53" s="20" t="s">
        <v>13</v>
      </c>
      <c r="G53" s="20" t="s">
        <v>15</v>
      </c>
      <c r="H53" s="20" t="s">
        <v>28</v>
      </c>
      <c r="I53" s="20" t="s">
        <v>28</v>
      </c>
      <c r="J53" s="20" t="s">
        <v>22</v>
      </c>
      <c r="K53" s="20" t="s">
        <v>29</v>
      </c>
      <c r="L53" s="20" t="s">
        <v>30</v>
      </c>
      <c r="M53" s="20" t="s">
        <v>29</v>
      </c>
      <c r="N53" s="20" t="s">
        <v>30</v>
      </c>
    </row>
    <row r="54" spans="1:14" ht="12.75">
      <c r="A54" s="50"/>
      <c r="B54" s="51" t="s">
        <v>17</v>
      </c>
      <c r="C54" s="52"/>
      <c r="D54" s="52"/>
      <c r="E54" s="52"/>
      <c r="F54" s="53"/>
      <c r="G54" s="53"/>
      <c r="H54" s="54"/>
      <c r="I54" s="54"/>
      <c r="J54" s="54"/>
      <c r="K54" s="54"/>
      <c r="L54" s="54"/>
      <c r="M54" s="54"/>
      <c r="N54" s="54"/>
    </row>
    <row r="55" spans="1:14" ht="12.75">
      <c r="A55" s="115" t="s">
        <v>46</v>
      </c>
      <c r="B55" s="113" t="s">
        <v>51</v>
      </c>
      <c r="C55" s="84">
        <v>11297.5</v>
      </c>
      <c r="D55" s="84">
        <v>0</v>
      </c>
      <c r="E55" s="85">
        <f aca="true" t="shared" si="3" ref="E55:E66">C55-D55</f>
        <v>11297.5</v>
      </c>
      <c r="F55" s="30"/>
      <c r="G55" s="30">
        <f aca="true" t="shared" si="4" ref="G55:G78">D55/(D$33+D$80)</f>
        <v>0</v>
      </c>
      <c r="H55" s="29"/>
      <c r="I55" s="29"/>
      <c r="J55" s="38">
        <f>H55-I55</f>
        <v>0</v>
      </c>
      <c r="K55" s="91">
        <v>36951</v>
      </c>
      <c r="L55" s="91">
        <v>37956</v>
      </c>
      <c r="M55" s="91">
        <v>36923</v>
      </c>
      <c r="N55" s="46">
        <v>38200</v>
      </c>
    </row>
    <row r="56" spans="1:14" ht="12.75">
      <c r="A56" s="115" t="s">
        <v>47</v>
      </c>
      <c r="B56" s="113" t="s">
        <v>52</v>
      </c>
      <c r="C56" s="84">
        <v>7866.43</v>
      </c>
      <c r="D56" s="84">
        <v>0</v>
      </c>
      <c r="E56" s="85">
        <f t="shared" si="3"/>
        <v>7866.43</v>
      </c>
      <c r="F56" s="30"/>
      <c r="G56" s="30">
        <f t="shared" si="4"/>
        <v>0</v>
      </c>
      <c r="H56" s="29">
        <v>675097</v>
      </c>
      <c r="I56" s="29">
        <v>650000</v>
      </c>
      <c r="J56" s="38">
        <f>H56-I56</f>
        <v>25097</v>
      </c>
      <c r="K56" s="91">
        <v>36892</v>
      </c>
      <c r="L56" s="91">
        <v>37742</v>
      </c>
      <c r="M56" s="91">
        <v>37500</v>
      </c>
      <c r="N56" s="46">
        <v>38687</v>
      </c>
    </row>
    <row r="57" spans="1:14" ht="12.75">
      <c r="A57" s="115" t="s">
        <v>48</v>
      </c>
      <c r="B57" s="113" t="s">
        <v>53</v>
      </c>
      <c r="C57" s="84">
        <v>928000.47</v>
      </c>
      <c r="D57" s="84">
        <v>766600</v>
      </c>
      <c r="E57" s="85">
        <f t="shared" si="3"/>
        <v>161400.46999999997</v>
      </c>
      <c r="F57" s="30">
        <f>C57/D57</f>
        <v>1.2105406600573962</v>
      </c>
      <c r="G57" s="30">
        <f t="shared" si="4"/>
        <v>0.04454455574127086</v>
      </c>
      <c r="H57" s="29">
        <v>1755786</v>
      </c>
      <c r="I57" s="29">
        <v>1300000</v>
      </c>
      <c r="J57" s="38">
        <f aca="true" t="shared" si="5" ref="J57:J78">H57-I57</f>
        <v>455786</v>
      </c>
      <c r="K57" s="91">
        <v>36892</v>
      </c>
      <c r="L57" s="91">
        <v>38322</v>
      </c>
      <c r="M57" s="91">
        <v>36923</v>
      </c>
      <c r="N57" s="46">
        <v>38687</v>
      </c>
    </row>
    <row r="58" spans="1:14" ht="12.75">
      <c r="A58" s="115" t="s">
        <v>50</v>
      </c>
      <c r="B58" s="113" t="s">
        <v>66</v>
      </c>
      <c r="C58" s="84">
        <v>22612.72</v>
      </c>
      <c r="D58" s="84">
        <v>0</v>
      </c>
      <c r="E58" s="85">
        <f t="shared" si="3"/>
        <v>22612.72</v>
      </c>
      <c r="F58" s="30"/>
      <c r="G58" s="49">
        <f t="shared" si="4"/>
        <v>0</v>
      </c>
      <c r="H58" s="29"/>
      <c r="I58" s="29"/>
      <c r="J58" s="38">
        <f t="shared" si="5"/>
        <v>0</v>
      </c>
      <c r="K58" s="79">
        <v>37165</v>
      </c>
      <c r="L58" s="91">
        <v>37742</v>
      </c>
      <c r="M58" s="91">
        <v>37288</v>
      </c>
      <c r="N58" s="46"/>
    </row>
    <row r="59" spans="1:14" ht="12.75">
      <c r="A59" s="116" t="s">
        <v>56</v>
      </c>
      <c r="B59" s="112" t="s">
        <v>62</v>
      </c>
      <c r="C59" s="84">
        <v>9467.02</v>
      </c>
      <c r="D59" s="84">
        <v>0</v>
      </c>
      <c r="E59" s="85">
        <f t="shared" si="3"/>
        <v>9467.02</v>
      </c>
      <c r="F59" s="30"/>
      <c r="G59" s="49">
        <f t="shared" si="4"/>
        <v>0</v>
      </c>
      <c r="H59" s="29"/>
      <c r="I59" s="29"/>
      <c r="J59" s="38">
        <f t="shared" si="5"/>
        <v>0</v>
      </c>
      <c r="K59" s="79">
        <v>37347</v>
      </c>
      <c r="L59" s="91">
        <v>37956</v>
      </c>
      <c r="M59" s="91">
        <v>37316</v>
      </c>
      <c r="N59" s="46"/>
    </row>
    <row r="60" spans="1:14" ht="12.75">
      <c r="A60" s="117" t="s">
        <v>57</v>
      </c>
      <c r="B60" s="112" t="s">
        <v>72</v>
      </c>
      <c r="C60" s="84">
        <v>446.31</v>
      </c>
      <c r="D60" s="84">
        <v>0</v>
      </c>
      <c r="E60" s="85">
        <f t="shared" si="3"/>
        <v>446.31</v>
      </c>
      <c r="F60" s="30"/>
      <c r="G60" s="49">
        <f t="shared" si="4"/>
        <v>0</v>
      </c>
      <c r="H60" s="29"/>
      <c r="I60" s="29"/>
      <c r="J60" s="38">
        <f t="shared" si="5"/>
        <v>0</v>
      </c>
      <c r="K60" s="91">
        <v>37257</v>
      </c>
      <c r="L60" s="91">
        <v>37591</v>
      </c>
      <c r="M60" s="91">
        <v>37257</v>
      </c>
      <c r="N60" s="46">
        <v>37561</v>
      </c>
    </row>
    <row r="61" spans="1:14" ht="12.75">
      <c r="A61" s="116" t="s">
        <v>58</v>
      </c>
      <c r="B61" s="112" t="s">
        <v>67</v>
      </c>
      <c r="C61" s="84">
        <v>11979.81</v>
      </c>
      <c r="D61" s="84">
        <v>0</v>
      </c>
      <c r="E61" s="85">
        <f t="shared" si="3"/>
        <v>11979.81</v>
      </c>
      <c r="F61" s="30"/>
      <c r="G61" s="49">
        <f t="shared" si="4"/>
        <v>0</v>
      </c>
      <c r="H61" s="29"/>
      <c r="I61" s="29"/>
      <c r="J61" s="38">
        <f t="shared" si="5"/>
        <v>0</v>
      </c>
      <c r="K61" s="91">
        <v>37469</v>
      </c>
      <c r="L61" s="91">
        <v>37712</v>
      </c>
      <c r="M61" s="91">
        <v>37956</v>
      </c>
      <c r="N61" s="46"/>
    </row>
    <row r="62" spans="1:14" ht="12.75">
      <c r="A62" s="116" t="s">
        <v>59</v>
      </c>
      <c r="B62" s="112" t="s">
        <v>68</v>
      </c>
      <c r="C62" s="84">
        <v>136001.48</v>
      </c>
      <c r="D62" s="84">
        <v>1500000</v>
      </c>
      <c r="E62" s="85">
        <f t="shared" si="3"/>
        <v>-1363998.52</v>
      </c>
      <c r="F62" s="30">
        <f>C62/D62</f>
        <v>0.09066765333333333</v>
      </c>
      <c r="G62" s="49">
        <f t="shared" si="4"/>
        <v>0.08715997079559912</v>
      </c>
      <c r="H62" s="29"/>
      <c r="I62" s="29"/>
      <c r="J62" s="38">
        <f t="shared" si="5"/>
        <v>0</v>
      </c>
      <c r="K62" s="79">
        <v>37347</v>
      </c>
      <c r="L62" s="91">
        <v>37956</v>
      </c>
      <c r="M62" s="91">
        <v>37043</v>
      </c>
      <c r="N62" s="46"/>
    </row>
    <row r="63" spans="1:14" ht="12.75">
      <c r="A63" s="116" t="s">
        <v>63</v>
      </c>
      <c r="B63" s="112" t="s">
        <v>69</v>
      </c>
      <c r="C63" s="84">
        <v>3032909.37</v>
      </c>
      <c r="D63" s="84">
        <v>2180000</v>
      </c>
      <c r="E63" s="85">
        <f t="shared" si="3"/>
        <v>852909.3700000001</v>
      </c>
      <c r="F63" s="30">
        <f>C63/D63</f>
        <v>1.3912428302752293</v>
      </c>
      <c r="G63" s="49">
        <f t="shared" si="4"/>
        <v>0.12667249088960406</v>
      </c>
      <c r="H63" s="29">
        <v>3744744</v>
      </c>
      <c r="I63" s="29">
        <v>3000000</v>
      </c>
      <c r="J63" s="38">
        <f t="shared" si="5"/>
        <v>744744</v>
      </c>
      <c r="K63" s="91">
        <v>37742</v>
      </c>
      <c r="L63" s="91">
        <v>38687</v>
      </c>
      <c r="M63" s="91">
        <v>37803</v>
      </c>
      <c r="N63" s="46">
        <v>38687</v>
      </c>
    </row>
    <row r="64" spans="1:14" ht="12.75">
      <c r="A64" s="116" t="s">
        <v>64</v>
      </c>
      <c r="B64" s="112" t="s">
        <v>54</v>
      </c>
      <c r="C64" s="84">
        <v>17816.69</v>
      </c>
      <c r="D64" s="84">
        <v>0</v>
      </c>
      <c r="E64" s="85">
        <f t="shared" si="3"/>
        <v>17816.69</v>
      </c>
      <c r="F64" s="30"/>
      <c r="G64" s="49">
        <f t="shared" si="4"/>
        <v>0</v>
      </c>
      <c r="H64" s="29"/>
      <c r="I64" s="29"/>
      <c r="J64" s="38">
        <f t="shared" si="5"/>
        <v>0</v>
      </c>
      <c r="K64" s="91">
        <v>37622</v>
      </c>
      <c r="L64" s="91">
        <v>37956</v>
      </c>
      <c r="M64" s="91">
        <v>37622</v>
      </c>
      <c r="N64" s="46">
        <v>37895</v>
      </c>
    </row>
    <row r="65" spans="1:14" ht="12.75">
      <c r="A65" s="116" t="s">
        <v>65</v>
      </c>
      <c r="B65" s="112" t="s">
        <v>70</v>
      </c>
      <c r="C65" s="84">
        <v>257105.57</v>
      </c>
      <c r="D65" s="84">
        <v>219800</v>
      </c>
      <c r="E65" s="85">
        <f t="shared" si="3"/>
        <v>37305.57000000001</v>
      </c>
      <c r="F65" s="30">
        <f>C65/D65</f>
        <v>1.169725068243858</v>
      </c>
      <c r="G65" s="49">
        <f t="shared" si="4"/>
        <v>0.012771841053915125</v>
      </c>
      <c r="H65" s="29">
        <v>999181</v>
      </c>
      <c r="I65" s="29">
        <v>1320000</v>
      </c>
      <c r="J65" s="38">
        <f t="shared" si="5"/>
        <v>-320819</v>
      </c>
      <c r="K65" s="91">
        <v>37622</v>
      </c>
      <c r="L65" s="91">
        <v>38169</v>
      </c>
      <c r="M65" s="91">
        <v>37773</v>
      </c>
      <c r="N65" s="46">
        <v>38687</v>
      </c>
    </row>
    <row r="66" spans="1:14" ht="12.75">
      <c r="A66" s="117" t="s">
        <v>98</v>
      </c>
      <c r="B66" s="112" t="s">
        <v>54</v>
      </c>
      <c r="C66" s="84">
        <f>1235209.8+36549.96</f>
        <v>1271759.76</v>
      </c>
      <c r="D66" s="84">
        <v>910000</v>
      </c>
      <c r="E66" s="85">
        <f t="shared" si="3"/>
        <v>361759.76</v>
      </c>
      <c r="F66" s="30">
        <f>C66/D66</f>
        <v>1.397538197802198</v>
      </c>
      <c r="G66" s="49">
        <f t="shared" si="4"/>
        <v>0.05287704894933013</v>
      </c>
      <c r="H66" s="29"/>
      <c r="I66" s="29"/>
      <c r="J66" s="38">
        <f t="shared" si="5"/>
        <v>0</v>
      </c>
      <c r="K66" s="91">
        <v>37987</v>
      </c>
      <c r="L66" s="91" t="s">
        <v>137</v>
      </c>
      <c r="M66" s="91" t="s">
        <v>137</v>
      </c>
      <c r="N66" s="46" t="s">
        <v>137</v>
      </c>
    </row>
    <row r="67" spans="1:14" ht="12.75">
      <c r="A67" s="117" t="s">
        <v>99</v>
      </c>
      <c r="B67" s="112" t="s">
        <v>100</v>
      </c>
      <c r="C67" s="84">
        <v>214796.9</v>
      </c>
      <c r="D67" s="84">
        <v>240000</v>
      </c>
      <c r="E67" s="85">
        <f aca="true" t="shared" si="6" ref="E67:E73">C67-D67</f>
        <v>-25203.100000000006</v>
      </c>
      <c r="F67" s="30">
        <f>C67/D67</f>
        <v>0.8949870833333333</v>
      </c>
      <c r="G67" s="49">
        <f t="shared" si="4"/>
        <v>0.013945595327295859</v>
      </c>
      <c r="H67" s="29"/>
      <c r="I67" s="29"/>
      <c r="J67" s="38">
        <f t="shared" si="5"/>
        <v>0</v>
      </c>
      <c r="K67" s="91">
        <v>38261</v>
      </c>
      <c r="L67" s="91">
        <v>39417</v>
      </c>
      <c r="M67" s="91">
        <v>38261</v>
      </c>
      <c r="N67" s="46"/>
    </row>
    <row r="68" spans="1:14" ht="12.75">
      <c r="A68" s="117" t="s">
        <v>97</v>
      </c>
      <c r="B68" s="112" t="s">
        <v>96</v>
      </c>
      <c r="C68" s="84">
        <v>0</v>
      </c>
      <c r="D68" s="84">
        <v>1322035</v>
      </c>
      <c r="E68" s="85">
        <f>C68-D68</f>
        <v>-1322035</v>
      </c>
      <c r="F68" s="30">
        <f>C68/D68</f>
        <v>0</v>
      </c>
      <c r="G68" s="49">
        <f t="shared" si="4"/>
        <v>0.07681902132717325</v>
      </c>
      <c r="H68" s="29"/>
      <c r="I68" s="29"/>
      <c r="J68" s="38">
        <f t="shared" si="5"/>
        <v>0</v>
      </c>
      <c r="K68" s="91">
        <v>37987</v>
      </c>
      <c r="L68" s="91">
        <v>38322</v>
      </c>
      <c r="M68" s="91">
        <v>37987</v>
      </c>
      <c r="N68" s="46">
        <v>38718</v>
      </c>
    </row>
    <row r="69" spans="1:14" ht="12.75">
      <c r="A69" s="117" t="s">
        <v>109</v>
      </c>
      <c r="B69" s="112" t="s">
        <v>110</v>
      </c>
      <c r="C69" s="84">
        <v>1294.28</v>
      </c>
      <c r="D69" s="84">
        <v>0</v>
      </c>
      <c r="E69" s="84">
        <f>C69-D69</f>
        <v>1294.28</v>
      </c>
      <c r="F69" s="30"/>
      <c r="G69" s="49">
        <f t="shared" si="4"/>
        <v>0</v>
      </c>
      <c r="H69" s="29"/>
      <c r="I69" s="29"/>
      <c r="J69" s="38">
        <f t="shared" si="5"/>
        <v>0</v>
      </c>
      <c r="K69" s="91">
        <v>38412</v>
      </c>
      <c r="L69" s="91">
        <v>38534</v>
      </c>
      <c r="M69" s="91">
        <v>38231</v>
      </c>
      <c r="N69" s="46">
        <v>38322</v>
      </c>
    </row>
    <row r="70" spans="1:14" ht="12.75">
      <c r="A70" s="117" t="s">
        <v>108</v>
      </c>
      <c r="B70" s="112" t="s">
        <v>102</v>
      </c>
      <c r="C70" s="84">
        <v>0</v>
      </c>
      <c r="D70" s="84">
        <v>75000</v>
      </c>
      <c r="E70" s="84">
        <f>C70-D70</f>
        <v>-75000</v>
      </c>
      <c r="F70" s="30">
        <f>C70/D70</f>
        <v>0</v>
      </c>
      <c r="G70" s="87">
        <f t="shared" si="4"/>
        <v>0.004357998539779956</v>
      </c>
      <c r="H70" s="29"/>
      <c r="I70" s="29"/>
      <c r="J70" s="38">
        <f t="shared" si="5"/>
        <v>0</v>
      </c>
      <c r="K70" s="91">
        <v>38534</v>
      </c>
      <c r="L70" s="91">
        <v>39417</v>
      </c>
      <c r="M70" s="91"/>
      <c r="N70" s="46"/>
    </row>
    <row r="71" spans="1:14" ht="12.75">
      <c r="A71" s="117" t="s">
        <v>106</v>
      </c>
      <c r="B71" s="112" t="s">
        <v>111</v>
      </c>
      <c r="C71" s="84">
        <v>392914.33</v>
      </c>
      <c r="D71" s="84">
        <v>500000</v>
      </c>
      <c r="E71" s="84">
        <f>C71-D71</f>
        <v>-107085.66999999998</v>
      </c>
      <c r="F71" s="30">
        <f>C71/D71</f>
        <v>0.7858286600000001</v>
      </c>
      <c r="G71" s="49">
        <f t="shared" si="4"/>
        <v>0.029053323598533038</v>
      </c>
      <c r="H71" s="29"/>
      <c r="I71" s="29"/>
      <c r="J71" s="38">
        <f t="shared" si="5"/>
        <v>0</v>
      </c>
      <c r="K71" s="91">
        <v>38443</v>
      </c>
      <c r="L71" s="91">
        <v>39417</v>
      </c>
      <c r="M71" s="91">
        <v>38565</v>
      </c>
      <c r="N71" s="46">
        <v>39052</v>
      </c>
    </row>
    <row r="72" spans="1:14" ht="12.75">
      <c r="A72" s="117" t="s">
        <v>112</v>
      </c>
      <c r="B72" s="112" t="s">
        <v>103</v>
      </c>
      <c r="C72" s="84">
        <v>199892.31</v>
      </c>
      <c r="D72" s="84">
        <v>350000</v>
      </c>
      <c r="E72" s="84">
        <f t="shared" si="6"/>
        <v>-150107.69</v>
      </c>
      <c r="F72" s="30">
        <f>C72/D72</f>
        <v>0.5711208857142857</v>
      </c>
      <c r="G72" s="87">
        <f t="shared" si="4"/>
        <v>0.020337326518973128</v>
      </c>
      <c r="H72" s="29"/>
      <c r="I72" s="29"/>
      <c r="J72" s="38">
        <f t="shared" si="5"/>
        <v>0</v>
      </c>
      <c r="K72" s="91">
        <v>38384</v>
      </c>
      <c r="L72" s="91">
        <v>38626</v>
      </c>
      <c r="M72" s="91">
        <v>38565</v>
      </c>
      <c r="N72" s="46">
        <v>38718</v>
      </c>
    </row>
    <row r="73" spans="1:14" ht="12.75">
      <c r="A73" s="117" t="s">
        <v>104</v>
      </c>
      <c r="B73" s="112" t="s">
        <v>113</v>
      </c>
      <c r="C73" s="84">
        <v>340.85</v>
      </c>
      <c r="D73" s="84">
        <v>0</v>
      </c>
      <c r="E73" s="84">
        <f t="shared" si="6"/>
        <v>340.85</v>
      </c>
      <c r="F73" s="30"/>
      <c r="G73" s="87">
        <f t="shared" si="4"/>
        <v>0</v>
      </c>
      <c r="H73" s="29"/>
      <c r="I73" s="29"/>
      <c r="J73" s="38">
        <f t="shared" si="5"/>
        <v>0</v>
      </c>
      <c r="K73" s="91">
        <v>38443</v>
      </c>
      <c r="L73" s="91">
        <v>39052</v>
      </c>
      <c r="M73" s="91">
        <v>38443</v>
      </c>
      <c r="N73" s="46"/>
    </row>
    <row r="74" spans="1:14" ht="12.75">
      <c r="A74" s="117" t="s">
        <v>114</v>
      </c>
      <c r="B74" s="112" t="s">
        <v>115</v>
      </c>
      <c r="C74" s="84">
        <v>12041.25</v>
      </c>
      <c r="D74" s="84">
        <v>0</v>
      </c>
      <c r="E74" s="84">
        <f>C74-D74</f>
        <v>12041.25</v>
      </c>
      <c r="F74" s="30"/>
      <c r="G74" s="87">
        <f t="shared" si="4"/>
        <v>0</v>
      </c>
      <c r="H74" s="29"/>
      <c r="I74" s="29"/>
      <c r="J74" s="38">
        <f t="shared" si="5"/>
        <v>0</v>
      </c>
      <c r="K74" s="91">
        <v>38443</v>
      </c>
      <c r="L74" s="91">
        <v>39783</v>
      </c>
      <c r="M74" s="91">
        <v>38443</v>
      </c>
      <c r="N74" s="46"/>
    </row>
    <row r="75" spans="1:14" ht="12.75">
      <c r="A75" s="118" t="s">
        <v>33</v>
      </c>
      <c r="B75" s="113" t="s">
        <v>45</v>
      </c>
      <c r="C75" s="84">
        <v>6754.25</v>
      </c>
      <c r="D75" s="84">
        <v>0</v>
      </c>
      <c r="E75" s="85">
        <f>C75-D75</f>
        <v>6754.25</v>
      </c>
      <c r="F75" s="30"/>
      <c r="G75" s="30">
        <f t="shared" si="4"/>
        <v>0</v>
      </c>
      <c r="H75" s="29"/>
      <c r="I75" s="29"/>
      <c r="J75" s="38">
        <f t="shared" si="5"/>
        <v>0</v>
      </c>
      <c r="K75" s="91">
        <v>33786</v>
      </c>
      <c r="L75" s="91">
        <v>35400</v>
      </c>
      <c r="M75" s="91">
        <v>33848</v>
      </c>
      <c r="N75" s="45"/>
    </row>
    <row r="76" spans="1:14" ht="12.75">
      <c r="A76" s="118" t="s">
        <v>34</v>
      </c>
      <c r="B76" s="113" t="s">
        <v>35</v>
      </c>
      <c r="C76" s="84">
        <v>55.57</v>
      </c>
      <c r="D76" s="84">
        <v>0</v>
      </c>
      <c r="E76" s="85">
        <f>C76-D76</f>
        <v>55.57</v>
      </c>
      <c r="F76" s="30"/>
      <c r="G76" s="30">
        <f t="shared" si="4"/>
        <v>0</v>
      </c>
      <c r="H76" s="29"/>
      <c r="I76" s="29"/>
      <c r="J76" s="38">
        <f t="shared" si="5"/>
        <v>0</v>
      </c>
      <c r="K76" s="91">
        <v>35400</v>
      </c>
      <c r="L76" s="91">
        <v>36312</v>
      </c>
      <c r="M76" s="91">
        <v>35370</v>
      </c>
      <c r="N76" s="46">
        <v>37956</v>
      </c>
    </row>
    <row r="77" spans="1:14" ht="12.75">
      <c r="A77" s="119" t="s">
        <v>36</v>
      </c>
      <c r="B77" s="113" t="s">
        <v>60</v>
      </c>
      <c r="C77" s="84">
        <v>31183.95</v>
      </c>
      <c r="D77" s="84">
        <v>0</v>
      </c>
      <c r="E77" s="85">
        <f>C77-D77</f>
        <v>31183.95</v>
      </c>
      <c r="F77" s="30"/>
      <c r="G77" s="30">
        <f t="shared" si="4"/>
        <v>0</v>
      </c>
      <c r="H77" s="29"/>
      <c r="I77" s="29"/>
      <c r="J77" s="38">
        <f t="shared" si="5"/>
        <v>0</v>
      </c>
      <c r="K77" s="91">
        <v>35827</v>
      </c>
      <c r="L77" s="91">
        <v>36404</v>
      </c>
      <c r="M77" s="91">
        <v>36192</v>
      </c>
      <c r="N77" s="46">
        <v>39052</v>
      </c>
    </row>
    <row r="78" spans="1:14" ht="12.75">
      <c r="A78" s="118" t="s">
        <v>37</v>
      </c>
      <c r="B78" s="113" t="s">
        <v>61</v>
      </c>
      <c r="C78" s="84">
        <v>1754.19</v>
      </c>
      <c r="D78" s="84">
        <v>0</v>
      </c>
      <c r="E78" s="85">
        <f>C78-D78</f>
        <v>1754.19</v>
      </c>
      <c r="F78" s="30"/>
      <c r="G78" s="30">
        <f t="shared" si="4"/>
        <v>0</v>
      </c>
      <c r="H78" s="29"/>
      <c r="I78" s="29"/>
      <c r="J78" s="38">
        <f t="shared" si="5"/>
        <v>0</v>
      </c>
      <c r="K78" s="91">
        <v>35886</v>
      </c>
      <c r="L78" s="91">
        <v>36465</v>
      </c>
      <c r="M78" s="91">
        <v>36008</v>
      </c>
      <c r="N78" s="46"/>
    </row>
    <row r="79" spans="1:14" ht="12.75">
      <c r="A79" s="120"/>
      <c r="B79" s="121"/>
      <c r="C79" s="86"/>
      <c r="D79" s="86"/>
      <c r="E79" s="84"/>
      <c r="F79" s="30"/>
      <c r="G79" s="33"/>
      <c r="H79" s="31"/>
      <c r="I79" s="31"/>
      <c r="J79" s="39"/>
      <c r="K79" s="92"/>
      <c r="L79" s="92"/>
      <c r="M79" s="92"/>
      <c r="N79" s="61"/>
    </row>
    <row r="80" spans="3:14" ht="12">
      <c r="C80" s="68">
        <f>SUM(C54:C79)</f>
        <v>6568291.010000001</v>
      </c>
      <c r="D80" s="34">
        <f>SUM(D54:D79)</f>
        <v>8063435</v>
      </c>
      <c r="E80" s="34">
        <f>SUM(E54:E79)</f>
        <v>-1495143.9899999998</v>
      </c>
      <c r="F80" s="36">
        <f>C80/D80</f>
        <v>0.8145772874711584</v>
      </c>
      <c r="G80" s="35"/>
      <c r="H80" s="28"/>
      <c r="I80" s="28"/>
      <c r="J80" s="28"/>
      <c r="K80" s="28"/>
      <c r="L80" s="28"/>
      <c r="M80" s="28"/>
      <c r="N80" s="28"/>
    </row>
  </sheetData>
  <sheetProtection/>
  <mergeCells count="6">
    <mergeCell ref="A41:N41"/>
    <mergeCell ref="A42:N42"/>
    <mergeCell ref="A1:N1"/>
    <mergeCell ref="A2:N2"/>
    <mergeCell ref="A3:N3"/>
    <mergeCell ref="A40:N40"/>
  </mergeCells>
  <printOptions horizontalCentered="1"/>
  <pageMargins left="0.25" right="0.32" top="0.28" bottom="0.25" header="0" footer="0"/>
  <pageSetup horizontalDpi="600" verticalDpi="600" orientation="landscape" scale="75" r:id="rId1"/>
  <rowBreaks count="1" manualBreakCount="1">
    <brk id="39" max="23" man="1"/>
  </rowBreaks>
  <colBreaks count="1" manualBreakCount="1">
    <brk id="14" max="79" man="1"/>
  </colBreaks>
  <customProperties>
    <customPr name="_pios_id" r:id="rId2"/>
  </customProperties>
</worksheet>
</file>

<file path=xl/worksheets/sheet2.xml><?xml version="1.0" encoding="utf-8"?>
<worksheet xmlns="http://schemas.openxmlformats.org/spreadsheetml/2006/main" xmlns:r="http://schemas.openxmlformats.org/officeDocument/2006/relationships">
  <dimension ref="A1:Z85"/>
  <sheetViews>
    <sheetView tabSelected="1" view="pageBreakPreview" zoomScale="90" zoomScaleSheetLayoutView="90" zoomScalePageLayoutView="0" workbookViewId="0" topLeftCell="J1">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12" style="1" customWidth="1"/>
    <col min="17" max="17" width="57.5" style="1" customWidth="1"/>
    <col min="18" max="18" width="84.16015625" style="13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2014</v>
      </c>
      <c r="W4" s="2"/>
    </row>
    <row r="5" spans="1:12" ht="12">
      <c r="A5" s="2" t="s">
        <v>2</v>
      </c>
      <c r="L5" s="2" t="s">
        <v>73</v>
      </c>
    </row>
    <row r="6" spans="1:16" ht="15.75">
      <c r="A6" s="2" t="s">
        <v>3</v>
      </c>
      <c r="L6" s="2"/>
      <c r="P6" s="5" t="s">
        <v>55</v>
      </c>
    </row>
    <row r="7" spans="12:21" ht="19.5">
      <c r="L7" s="2" t="s">
        <v>4</v>
      </c>
      <c r="P7" s="6"/>
      <c r="U7" s="5" t="s">
        <v>256</v>
      </c>
    </row>
    <row r="8" spans="12:13" ht="12">
      <c r="L8" s="4" t="s">
        <v>312</v>
      </c>
      <c r="M8" s="4"/>
    </row>
    <row r="9" spans="17:24" ht="12.75">
      <c r="Q9" s="7"/>
      <c r="R9" s="132"/>
      <c r="S9" s="7"/>
      <c r="T9" s="8" t="s">
        <v>5</v>
      </c>
      <c r="U9" s="7"/>
      <c r="V9" s="7"/>
      <c r="W9" s="7"/>
      <c r="X9" s="7"/>
    </row>
    <row r="10" spans="17:24" ht="12.75">
      <c r="Q10" s="7"/>
      <c r="R10" s="132"/>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132"/>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143"/>
      <c r="Q12" s="8" t="s">
        <v>76</v>
      </c>
      <c r="R12" s="144" t="s">
        <v>18</v>
      </c>
      <c r="S12" s="9" t="s">
        <v>19</v>
      </c>
      <c r="T12" s="9" t="s">
        <v>19</v>
      </c>
      <c r="U12" s="8" t="s">
        <v>20</v>
      </c>
      <c r="V12" s="8" t="s">
        <v>21</v>
      </c>
      <c r="W12" s="8" t="s">
        <v>20</v>
      </c>
      <c r="X12" s="8"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194" t="s">
        <v>274</v>
      </c>
      <c r="Q13" s="193" t="s">
        <v>227</v>
      </c>
      <c r="R13" s="149" t="s">
        <v>316</v>
      </c>
      <c r="S13" s="220">
        <v>2058699.22</v>
      </c>
      <c r="T13" s="220">
        <v>2182564.93</v>
      </c>
      <c r="U13" s="195">
        <v>40179</v>
      </c>
      <c r="V13" s="147">
        <v>42004</v>
      </c>
      <c r="W13" s="147">
        <v>40452</v>
      </c>
      <c r="X13" s="148">
        <v>41773</v>
      </c>
      <c r="Y13" s="78"/>
      <c r="Z13" s="78"/>
    </row>
    <row r="14" spans="1:24" ht="25.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145" t="s">
        <v>284</v>
      </c>
      <c r="Q14" s="193" t="s">
        <v>285</v>
      </c>
      <c r="R14" s="149" t="s">
        <v>313</v>
      </c>
      <c r="S14" s="220">
        <v>311682.03</v>
      </c>
      <c r="T14" s="220">
        <v>450000</v>
      </c>
      <c r="U14" s="147">
        <v>41382</v>
      </c>
      <c r="V14" s="147">
        <v>41639</v>
      </c>
      <c r="W14" s="147">
        <v>41394</v>
      </c>
      <c r="X14" s="148">
        <v>41851</v>
      </c>
    </row>
    <row r="15" spans="1:24" ht="12.75" customHeight="1">
      <c r="A15" s="9" t="s">
        <v>148</v>
      </c>
      <c r="B15" s="14" t="s">
        <v>79</v>
      </c>
      <c r="C15" s="82">
        <v>3214462</v>
      </c>
      <c r="D15" s="82">
        <v>1890900</v>
      </c>
      <c r="E15" s="84">
        <f aca="true" t="shared" si="0" ref="E15:E34">C15-D15</f>
        <v>1323562</v>
      </c>
      <c r="F15" s="26">
        <f>C15/D15</f>
        <v>1.6999640382886456</v>
      </c>
      <c r="G15" s="27">
        <f aca="true" t="shared" si="1" ref="G15:G34">D15/(D$35+D$78)</f>
        <v>0.08825478576499639</v>
      </c>
      <c r="H15" s="28"/>
      <c r="I15" s="28"/>
      <c r="J15" s="28"/>
      <c r="K15" s="28"/>
      <c r="L15" s="28"/>
      <c r="M15" s="28"/>
      <c r="N15" s="28"/>
      <c r="P15" s="145" t="s">
        <v>299</v>
      </c>
      <c r="Q15" s="193" t="s">
        <v>300</v>
      </c>
      <c r="R15" s="149" t="s">
        <v>314</v>
      </c>
      <c r="S15" s="220">
        <v>393806.51</v>
      </c>
      <c r="T15" s="220">
        <v>405875.16</v>
      </c>
      <c r="U15" s="147">
        <v>41869</v>
      </c>
      <c r="V15" s="148">
        <v>41957</v>
      </c>
      <c r="W15" s="148">
        <v>41877</v>
      </c>
      <c r="X15" s="148">
        <v>42004</v>
      </c>
    </row>
    <row r="16" spans="1:24" ht="25.5">
      <c r="A16" s="9" t="s">
        <v>38</v>
      </c>
      <c r="B16" s="14" t="s">
        <v>163</v>
      </c>
      <c r="C16" s="82">
        <v>982178</v>
      </c>
      <c r="D16" s="82">
        <v>449956</v>
      </c>
      <c r="E16" s="84">
        <f t="shared" si="0"/>
        <v>532222</v>
      </c>
      <c r="F16" s="26">
        <f aca="true" t="shared" si="2" ref="F16:F34">C16/D16</f>
        <v>2.1828312101627714</v>
      </c>
      <c r="G16" s="30">
        <f t="shared" si="1"/>
        <v>0.02100098914996812</v>
      </c>
      <c r="H16" s="28"/>
      <c r="I16" s="28"/>
      <c r="J16" s="28"/>
      <c r="K16" s="28"/>
      <c r="L16" s="28"/>
      <c r="M16" s="28"/>
      <c r="N16" s="28"/>
      <c r="P16" s="145" t="s">
        <v>305</v>
      </c>
      <c r="Q16" s="193" t="s">
        <v>306</v>
      </c>
      <c r="R16" s="149" t="s">
        <v>315</v>
      </c>
      <c r="S16" s="220">
        <v>459754.24</v>
      </c>
      <c r="T16" s="220">
        <v>429450.14</v>
      </c>
      <c r="U16" s="147">
        <v>41927</v>
      </c>
      <c r="V16" s="148">
        <v>42004</v>
      </c>
      <c r="W16" s="148">
        <v>41939</v>
      </c>
      <c r="X16" s="148">
        <v>42004</v>
      </c>
    </row>
    <row r="17" spans="1:24" ht="12.75">
      <c r="A17" s="9" t="s">
        <v>39</v>
      </c>
      <c r="B17" s="14" t="s">
        <v>164</v>
      </c>
      <c r="C17" s="82">
        <v>3662352</v>
      </c>
      <c r="D17" s="82">
        <v>5106000</v>
      </c>
      <c r="E17" s="84">
        <f t="shared" si="0"/>
        <v>-1443648</v>
      </c>
      <c r="F17" s="26">
        <f t="shared" si="2"/>
        <v>0.7172643948296122</v>
      </c>
      <c r="G17" s="30">
        <f t="shared" si="1"/>
        <v>0.2383145254196793</v>
      </c>
      <c r="H17" s="28"/>
      <c r="I17" s="28"/>
      <c r="J17" s="28"/>
      <c r="K17" s="28"/>
      <c r="L17" s="28"/>
      <c r="M17" s="28"/>
      <c r="N17" s="28"/>
      <c r="P17" s="190" t="s">
        <v>266</v>
      </c>
      <c r="Q17" s="191" t="s">
        <v>239</v>
      </c>
      <c r="R17" s="192" t="s">
        <v>339</v>
      </c>
      <c r="S17" s="221">
        <v>15308044.28</v>
      </c>
      <c r="T17" s="221">
        <v>14104868</v>
      </c>
      <c r="U17" s="189">
        <v>40575</v>
      </c>
      <c r="V17" s="184">
        <v>41698</v>
      </c>
      <c r="W17" s="184">
        <v>41352</v>
      </c>
      <c r="X17" s="184">
        <v>41766</v>
      </c>
    </row>
    <row r="18" spans="1:24" ht="12.75">
      <c r="A18" s="9" t="s">
        <v>40</v>
      </c>
      <c r="B18" s="14" t="s">
        <v>165</v>
      </c>
      <c r="C18" s="82">
        <v>291349</v>
      </c>
      <c r="D18" s="82">
        <v>275484</v>
      </c>
      <c r="E18" s="84">
        <f t="shared" si="0"/>
        <v>15865</v>
      </c>
      <c r="F18" s="26">
        <f t="shared" si="2"/>
        <v>1.0575895514803038</v>
      </c>
      <c r="G18" s="30">
        <f t="shared" si="1"/>
        <v>0.012857782749846246</v>
      </c>
      <c r="H18" s="28"/>
      <c r="I18" s="28"/>
      <c r="J18" s="28"/>
      <c r="K18" s="28"/>
      <c r="L18" s="28"/>
      <c r="M18" s="28"/>
      <c r="N18" s="28"/>
      <c r="P18" s="186" t="s">
        <v>286</v>
      </c>
      <c r="Q18" s="187" t="s">
        <v>241</v>
      </c>
      <c r="R18" s="190" t="s">
        <v>338</v>
      </c>
      <c r="S18" s="221">
        <v>10683881.88</v>
      </c>
      <c r="T18" s="221">
        <v>11167479</v>
      </c>
      <c r="U18" s="189">
        <v>40179</v>
      </c>
      <c r="V18" s="189">
        <v>41974</v>
      </c>
      <c r="W18" s="189">
        <v>40210</v>
      </c>
      <c r="X18" s="184">
        <v>42004</v>
      </c>
    </row>
    <row r="19" spans="1:24" ht="12.75">
      <c r="A19" s="9" t="s">
        <v>149</v>
      </c>
      <c r="B19" s="14" t="s">
        <v>166</v>
      </c>
      <c r="C19" s="82">
        <v>921918</v>
      </c>
      <c r="D19" s="82">
        <v>515079</v>
      </c>
      <c r="E19" s="84">
        <f t="shared" si="0"/>
        <v>406839</v>
      </c>
      <c r="F19" s="26">
        <f t="shared" si="2"/>
        <v>1.789857478173251</v>
      </c>
      <c r="G19" s="30">
        <f t="shared" si="1"/>
        <v>0.02404050282777967</v>
      </c>
      <c r="H19" s="28"/>
      <c r="I19" s="28"/>
      <c r="J19" s="28"/>
      <c r="K19" s="28"/>
      <c r="L19" s="28"/>
      <c r="M19" s="28"/>
      <c r="N19" s="28"/>
      <c r="P19" s="186" t="s">
        <v>287</v>
      </c>
      <c r="Q19" s="187" t="s">
        <v>242</v>
      </c>
      <c r="R19" s="190" t="s">
        <v>139</v>
      </c>
      <c r="S19" s="221">
        <v>1000691.23</v>
      </c>
      <c r="T19" s="221">
        <v>784479</v>
      </c>
      <c r="U19" s="189">
        <v>40787</v>
      </c>
      <c r="V19" s="189">
        <v>41974</v>
      </c>
      <c r="W19" s="189">
        <v>40817</v>
      </c>
      <c r="X19" s="184">
        <v>42004</v>
      </c>
    </row>
    <row r="20" spans="1:24" ht="12.75">
      <c r="A20" s="9" t="s">
        <v>41</v>
      </c>
      <c r="B20" s="14" t="s">
        <v>167</v>
      </c>
      <c r="C20" s="82">
        <v>201082</v>
      </c>
      <c r="D20" s="82">
        <v>201500</v>
      </c>
      <c r="E20" s="84">
        <f t="shared" si="0"/>
        <v>-418</v>
      </c>
      <c r="F20" s="26">
        <f t="shared" si="2"/>
        <v>0.9979255583126551</v>
      </c>
      <c r="G20" s="30">
        <f t="shared" si="1"/>
        <v>0.009404695822966193</v>
      </c>
      <c r="H20" s="28"/>
      <c r="I20" s="28"/>
      <c r="J20" s="28"/>
      <c r="K20" s="28"/>
      <c r="L20" s="28"/>
      <c r="M20" s="28"/>
      <c r="N20" s="28"/>
      <c r="P20" s="59"/>
      <c r="Q20" s="17" t="s">
        <v>32</v>
      </c>
      <c r="R20" s="136"/>
      <c r="S20" s="55">
        <f>SUM(S13:S18)</f>
        <v>29215868.160000004</v>
      </c>
      <c r="T20" s="55">
        <f>SUM(T13:T18)</f>
        <v>28740237.23</v>
      </c>
      <c r="U20" s="60"/>
      <c r="V20" s="60"/>
      <c r="W20" s="60"/>
      <c r="X20" s="60"/>
    </row>
    <row r="21" spans="1:14" ht="12.75">
      <c r="A21" s="9" t="s">
        <v>42</v>
      </c>
      <c r="B21" s="14" t="s">
        <v>168</v>
      </c>
      <c r="C21" s="82">
        <v>759112</v>
      </c>
      <c r="D21" s="82">
        <v>340764</v>
      </c>
      <c r="E21" s="84">
        <f t="shared" si="0"/>
        <v>418348</v>
      </c>
      <c r="F21" s="26">
        <f t="shared" si="2"/>
        <v>2.2276766325081288</v>
      </c>
      <c r="G21" s="30">
        <f t="shared" si="1"/>
        <v>0.015904624155916883</v>
      </c>
      <c r="H21" s="28"/>
      <c r="I21" s="28"/>
      <c r="J21" s="28"/>
      <c r="K21" s="28"/>
      <c r="L21" s="28"/>
      <c r="M21" s="28"/>
      <c r="N21" s="28"/>
    </row>
    <row r="22" spans="1:24" ht="12.75">
      <c r="A22" s="9" t="s">
        <v>43</v>
      </c>
      <c r="B22" s="14" t="s">
        <v>169</v>
      </c>
      <c r="C22" s="82">
        <v>562611</v>
      </c>
      <c r="D22" s="82">
        <v>1101429</v>
      </c>
      <c r="E22" s="84">
        <f t="shared" si="0"/>
        <v>-538818</v>
      </c>
      <c r="F22" s="26">
        <f t="shared" si="2"/>
        <v>0.5108009685599344</v>
      </c>
      <c r="G22" s="30">
        <f t="shared" si="1"/>
        <v>0.051407467571185264</v>
      </c>
      <c r="H22" s="28"/>
      <c r="I22" s="28"/>
      <c r="J22" s="28"/>
      <c r="K22" s="28"/>
      <c r="L22" s="28"/>
      <c r="M22" s="28"/>
      <c r="N22" s="28"/>
      <c r="P22" s="59"/>
      <c r="Q22" s="59"/>
      <c r="R22" s="137"/>
      <c r="S22" s="80"/>
      <c r="T22" s="80"/>
      <c r="U22" s="60"/>
      <c r="V22" s="60"/>
      <c r="W22" s="60"/>
      <c r="X22" s="60"/>
    </row>
    <row r="23" spans="1:24" ht="12.75">
      <c r="A23" s="9" t="s">
        <v>44</v>
      </c>
      <c r="B23" s="14" t="s">
        <v>170</v>
      </c>
      <c r="C23" s="82">
        <v>397836</v>
      </c>
      <c r="D23" s="82">
        <v>451903</v>
      </c>
      <c r="E23" s="84">
        <f t="shared" si="0"/>
        <v>-54067</v>
      </c>
      <c r="F23" s="26">
        <f t="shared" si="2"/>
        <v>0.8803570677778195</v>
      </c>
      <c r="G23" s="30">
        <f t="shared" si="1"/>
        <v>0.02109186231506646</v>
      </c>
      <c r="H23" s="28"/>
      <c r="I23" s="28"/>
      <c r="J23" s="28"/>
      <c r="K23" s="28"/>
      <c r="L23" s="28"/>
      <c r="M23" s="28"/>
      <c r="N23" s="28"/>
      <c r="P23" s="59"/>
      <c r="Q23" s="59"/>
      <c r="R23" s="137"/>
      <c r="S23" s="80"/>
      <c r="T23" s="80"/>
      <c r="U23" s="60"/>
      <c r="V23" s="60"/>
      <c r="W23" s="60"/>
      <c r="X23" s="60"/>
    </row>
    <row r="24" spans="1:24" ht="12.75">
      <c r="A24" s="9" t="s">
        <v>151</v>
      </c>
      <c r="B24" s="14" t="s">
        <v>87</v>
      </c>
      <c r="C24" s="82">
        <v>313704</v>
      </c>
      <c r="D24" s="82">
        <v>545701</v>
      </c>
      <c r="E24" s="84">
        <f t="shared" si="0"/>
        <v>-231997</v>
      </c>
      <c r="F24" s="26">
        <f t="shared" si="2"/>
        <v>0.5748642571664703</v>
      </c>
      <c r="G24" s="30">
        <f t="shared" si="1"/>
        <v>0.02546973655230012</v>
      </c>
      <c r="H24" s="28"/>
      <c r="I24" s="28"/>
      <c r="J24" s="28"/>
      <c r="K24" s="28"/>
      <c r="L24" s="28"/>
      <c r="M24" s="28"/>
      <c r="N24" s="28"/>
      <c r="P24" s="59"/>
      <c r="Q24" s="59"/>
      <c r="R24" s="137"/>
      <c r="S24" s="80"/>
      <c r="T24" s="80"/>
      <c r="U24" s="60"/>
      <c r="V24" s="60"/>
      <c r="W24" s="60"/>
      <c r="X24" s="60"/>
    </row>
    <row r="25" spans="1:24" ht="12.75">
      <c r="A25" s="9" t="s">
        <v>150</v>
      </c>
      <c r="B25" s="14" t="s">
        <v>171</v>
      </c>
      <c r="C25" s="82">
        <v>802895</v>
      </c>
      <c r="D25" s="82">
        <v>1194748</v>
      </c>
      <c r="E25" s="84">
        <f t="shared" si="0"/>
        <v>-391853</v>
      </c>
      <c r="F25" s="26">
        <f t="shared" si="2"/>
        <v>0.672020375844948</v>
      </c>
      <c r="G25" s="30">
        <f t="shared" si="1"/>
        <v>0.05576298523621445</v>
      </c>
      <c r="H25" s="28"/>
      <c r="I25" s="28"/>
      <c r="J25" s="28"/>
      <c r="K25" s="28"/>
      <c r="L25" s="28"/>
      <c r="M25" s="28"/>
      <c r="N25" s="28"/>
      <c r="P25" s="59"/>
      <c r="Q25" s="59"/>
      <c r="R25" s="137"/>
      <c r="S25" s="80"/>
      <c r="T25" s="80"/>
      <c r="U25" s="60"/>
      <c r="V25" s="60"/>
      <c r="W25" s="60"/>
      <c r="X25" s="60"/>
    </row>
    <row r="26" spans="1:24" ht="12.75">
      <c r="A26" s="9" t="s">
        <v>152</v>
      </c>
      <c r="B26" s="14" t="s">
        <v>172</v>
      </c>
      <c r="C26" s="82">
        <v>287264</v>
      </c>
      <c r="D26" s="82">
        <v>279455</v>
      </c>
      <c r="E26" s="84">
        <f t="shared" si="0"/>
        <v>7809</v>
      </c>
      <c r="F26" s="26">
        <f t="shared" si="2"/>
        <v>1.0279436760838059</v>
      </c>
      <c r="G26" s="30">
        <f t="shared" si="1"/>
        <v>0.013043122934029863</v>
      </c>
      <c r="H26" s="28"/>
      <c r="I26" s="28"/>
      <c r="J26" s="28"/>
      <c r="K26" s="28"/>
      <c r="L26" s="28"/>
      <c r="M26" s="28"/>
      <c r="N26" s="28"/>
      <c r="P26" s="59"/>
      <c r="Q26" s="59"/>
      <c r="R26" s="137"/>
      <c r="S26" s="80"/>
      <c r="T26" s="80"/>
      <c r="U26" s="60"/>
      <c r="V26" s="60"/>
      <c r="W26" s="60"/>
      <c r="X26" s="60"/>
    </row>
    <row r="27" spans="1:24" ht="12.75">
      <c r="A27" s="9" t="s">
        <v>153</v>
      </c>
      <c r="B27" s="14" t="s">
        <v>173</v>
      </c>
      <c r="C27" s="82">
        <v>40279</v>
      </c>
      <c r="D27" s="82">
        <v>131313</v>
      </c>
      <c r="E27" s="84">
        <f t="shared" si="0"/>
        <v>-91034</v>
      </c>
      <c r="F27" s="26">
        <f t="shared" si="2"/>
        <v>0.30674038366346057</v>
      </c>
      <c r="G27" s="30">
        <f t="shared" si="1"/>
        <v>0.006128827903727839</v>
      </c>
      <c r="H27" s="28"/>
      <c r="I27" s="28"/>
      <c r="J27" s="28"/>
      <c r="K27" s="28"/>
      <c r="L27" s="28"/>
      <c r="M27" s="28"/>
      <c r="N27" s="28"/>
      <c r="P27" s="59"/>
      <c r="Q27" s="59"/>
      <c r="R27" s="137"/>
      <c r="S27" s="80"/>
      <c r="T27" s="80"/>
      <c r="U27" s="60"/>
      <c r="V27" s="60"/>
      <c r="W27" s="60"/>
      <c r="X27" s="60"/>
    </row>
    <row r="28" spans="1:24" ht="12.75">
      <c r="A28" s="9" t="s">
        <v>154</v>
      </c>
      <c r="B28" s="81" t="s">
        <v>174</v>
      </c>
      <c r="C28" s="82">
        <v>157258</v>
      </c>
      <c r="D28" s="82">
        <v>157575</v>
      </c>
      <c r="E28" s="84">
        <f t="shared" si="0"/>
        <v>-317</v>
      </c>
      <c r="F28" s="26">
        <f t="shared" si="2"/>
        <v>0.9979882595589402</v>
      </c>
      <c r="G28" s="30">
        <f t="shared" si="1"/>
        <v>0.007354565480416366</v>
      </c>
      <c r="H28" s="28"/>
      <c r="I28" s="28"/>
      <c r="J28" s="28"/>
      <c r="K28" s="28"/>
      <c r="L28" s="28"/>
      <c r="M28" s="28"/>
      <c r="N28" s="28"/>
      <c r="P28" s="59"/>
      <c r="U28" s="60"/>
      <c r="V28" s="60"/>
      <c r="W28" s="60"/>
      <c r="X28" s="60"/>
    </row>
    <row r="29" spans="1:24" ht="12.75">
      <c r="A29" s="9" t="s">
        <v>155</v>
      </c>
      <c r="B29" s="81" t="s">
        <v>89</v>
      </c>
      <c r="C29" s="82">
        <v>207245</v>
      </c>
      <c r="D29" s="82">
        <v>126060</v>
      </c>
      <c r="E29" s="84">
        <f t="shared" si="0"/>
        <v>81185</v>
      </c>
      <c r="F29" s="26">
        <f t="shared" si="2"/>
        <v>1.6440187212438522</v>
      </c>
      <c r="G29" s="30">
        <f t="shared" si="1"/>
        <v>0.005883652384333093</v>
      </c>
      <c r="H29" s="28"/>
      <c r="I29" s="28"/>
      <c r="J29" s="28"/>
      <c r="K29" s="28"/>
      <c r="L29" s="28"/>
      <c r="M29" s="28"/>
      <c r="N29" s="28"/>
      <c r="P29" s="59"/>
      <c r="U29" s="60"/>
      <c r="V29" s="60"/>
      <c r="W29" s="60"/>
      <c r="X29" s="60"/>
    </row>
    <row r="30" spans="1:24" ht="12.75">
      <c r="A30" s="9" t="s">
        <v>156</v>
      </c>
      <c r="B30" s="81" t="s">
        <v>90</v>
      </c>
      <c r="C30" s="82">
        <v>691672</v>
      </c>
      <c r="D30" s="82">
        <v>562018</v>
      </c>
      <c r="E30" s="84">
        <f t="shared" si="0"/>
        <v>129654</v>
      </c>
      <c r="F30" s="26">
        <f t="shared" si="2"/>
        <v>1.2306936788501437</v>
      </c>
      <c r="G30" s="30">
        <f t="shared" si="1"/>
        <v>0.026231306883532573</v>
      </c>
      <c r="H30" s="28"/>
      <c r="I30" s="28"/>
      <c r="J30" s="28"/>
      <c r="K30" s="28"/>
      <c r="L30" s="28"/>
      <c r="M30" s="28"/>
      <c r="N30" s="28"/>
      <c r="P30" s="59"/>
      <c r="U30" s="60"/>
      <c r="V30" s="60"/>
      <c r="W30" s="60"/>
      <c r="X30" s="60"/>
    </row>
    <row r="31" spans="1:24" ht="12.75">
      <c r="A31" s="9" t="s">
        <v>157</v>
      </c>
      <c r="B31" s="81" t="s">
        <v>91</v>
      </c>
      <c r="C31" s="82">
        <v>241065</v>
      </c>
      <c r="D31" s="82">
        <v>303463</v>
      </c>
      <c r="E31" s="84">
        <f t="shared" si="0"/>
        <v>-62398</v>
      </c>
      <c r="F31" s="26">
        <f t="shared" si="2"/>
        <v>0.7943802045059859</v>
      </c>
      <c r="G31" s="30">
        <f t="shared" si="1"/>
        <v>0.014163658603100693</v>
      </c>
      <c r="H31" s="28"/>
      <c r="I31" s="28"/>
      <c r="J31" s="28"/>
      <c r="K31" s="28"/>
      <c r="L31" s="28"/>
      <c r="M31" s="28"/>
      <c r="N31" s="28"/>
      <c r="P31" s="59"/>
      <c r="U31" s="60"/>
      <c r="V31" s="60"/>
      <c r="W31" s="60"/>
      <c r="X31" s="60"/>
    </row>
    <row r="32" spans="1:24" ht="12.75" customHeight="1">
      <c r="A32" s="9" t="s">
        <v>158</v>
      </c>
      <c r="B32" s="81" t="s">
        <v>175</v>
      </c>
      <c r="C32" s="82">
        <v>3162463</v>
      </c>
      <c r="D32" s="82">
        <v>1242000</v>
      </c>
      <c r="E32" s="84">
        <f t="shared" si="0"/>
        <v>1920463</v>
      </c>
      <c r="F32" s="26">
        <f t="shared" si="2"/>
        <v>2.546266505636071</v>
      </c>
      <c r="G32" s="30">
        <f t="shared" si="1"/>
        <v>0.057968398075057125</v>
      </c>
      <c r="H32" s="28"/>
      <c r="I32" s="28"/>
      <c r="J32" s="28"/>
      <c r="K32" s="28"/>
      <c r="L32" s="28"/>
      <c r="M32" s="28"/>
      <c r="N32" s="28"/>
      <c r="P32" s="7"/>
      <c r="U32" s="7"/>
      <c r="V32" s="7"/>
      <c r="W32" s="7"/>
      <c r="X32" s="7"/>
    </row>
    <row r="33" spans="1:14" ht="12.75">
      <c r="A33" s="9" t="s">
        <v>159</v>
      </c>
      <c r="B33" s="14" t="s">
        <v>176</v>
      </c>
      <c r="C33" s="82">
        <v>0</v>
      </c>
      <c r="D33" s="82">
        <v>0</v>
      </c>
      <c r="E33" s="84">
        <f t="shared" si="0"/>
        <v>0</v>
      </c>
      <c r="F33" s="26"/>
      <c r="G33" s="30">
        <f t="shared" si="1"/>
        <v>0</v>
      </c>
      <c r="H33" s="28"/>
      <c r="I33" s="28"/>
      <c r="J33" s="28"/>
      <c r="K33" s="28"/>
      <c r="L33" s="28"/>
      <c r="M33" s="28"/>
      <c r="N33" s="28"/>
    </row>
    <row r="34" spans="1:14" ht="12.75">
      <c r="A34" s="17" t="s">
        <v>160</v>
      </c>
      <c r="B34" s="23" t="s">
        <v>177</v>
      </c>
      <c r="C34" s="82">
        <v>261770</v>
      </c>
      <c r="D34" s="83">
        <v>42020</v>
      </c>
      <c r="E34" s="84">
        <f t="shared" si="0"/>
        <v>219750</v>
      </c>
      <c r="F34" s="62">
        <f t="shared" si="2"/>
        <v>6.229652546406473</v>
      </c>
      <c r="G34" s="62">
        <f t="shared" si="1"/>
        <v>0.0019612174614443644</v>
      </c>
      <c r="H34" s="28"/>
      <c r="I34" s="28"/>
      <c r="J34" s="28"/>
      <c r="K34" s="28"/>
      <c r="L34" s="28"/>
      <c r="M34" s="28"/>
      <c r="N34" s="28"/>
    </row>
    <row r="35" spans="1:14" ht="12.75">
      <c r="A35" s="24"/>
      <c r="B35" s="25" t="s">
        <v>31</v>
      </c>
      <c r="C35" s="34">
        <f>SUM(C15:C34)</f>
        <v>17158515</v>
      </c>
      <c r="D35" s="34">
        <f>SUM(D15:D34)</f>
        <v>14917368</v>
      </c>
      <c r="E35" s="34">
        <f>SUM(E15:E34)</f>
        <v>2241147</v>
      </c>
      <c r="F35" s="32">
        <f>C35/D35</f>
        <v>1.1502374279430527</v>
      </c>
      <c r="G35" s="35"/>
      <c r="H35" s="28"/>
      <c r="I35" s="28"/>
      <c r="J35" s="28"/>
      <c r="K35" s="28"/>
      <c r="L35" s="28"/>
      <c r="M35" s="28"/>
      <c r="N35" s="28"/>
    </row>
    <row r="36" spans="1:14" ht="12.75">
      <c r="A36" s="24"/>
      <c r="B36" s="25" t="s">
        <v>161</v>
      </c>
      <c r="C36" s="34">
        <f>C15</f>
        <v>3214462</v>
      </c>
      <c r="D36" s="34">
        <f>D15</f>
        <v>1890900</v>
      </c>
      <c r="E36" s="34">
        <f>E15</f>
        <v>1323562</v>
      </c>
      <c r="F36" s="35"/>
      <c r="G36" s="35"/>
      <c r="H36" s="28"/>
      <c r="I36" s="28"/>
      <c r="J36" s="28"/>
      <c r="K36" s="28"/>
      <c r="L36" s="28"/>
      <c r="M36" s="28"/>
      <c r="N36" s="28"/>
    </row>
    <row r="37" spans="1:14" ht="12.75">
      <c r="A37" s="24"/>
      <c r="B37" s="25" t="s">
        <v>162</v>
      </c>
      <c r="C37" s="34">
        <f>C35-C36</f>
        <v>13944053</v>
      </c>
      <c r="D37" s="34">
        <f>D35-D36</f>
        <v>13026468</v>
      </c>
      <c r="E37" s="34">
        <f>E35-E36</f>
        <v>917585</v>
      </c>
      <c r="F37" s="36">
        <f>C37/D37</f>
        <v>1.0704400456056085</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2014</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162"/>
      <c r="B52" s="163"/>
      <c r="C52" s="163"/>
      <c r="D52" s="163"/>
      <c r="E52" s="163"/>
      <c r="F52" s="163"/>
      <c r="G52" s="163"/>
      <c r="H52" s="163" t="s">
        <v>8</v>
      </c>
      <c r="I52" s="163" t="s">
        <v>8</v>
      </c>
      <c r="J52" s="163"/>
      <c r="K52" s="163" t="s">
        <v>9</v>
      </c>
      <c r="L52" s="163" t="s">
        <v>9</v>
      </c>
      <c r="M52" s="163"/>
      <c r="N52" s="164"/>
    </row>
    <row r="53" spans="1:14" ht="12.75">
      <c r="A53" s="165"/>
      <c r="B53" s="15"/>
      <c r="C53" s="15"/>
      <c r="D53" s="15" t="s">
        <v>12</v>
      </c>
      <c r="E53" s="15"/>
      <c r="F53" s="15"/>
      <c r="G53" s="15" t="s">
        <v>13</v>
      </c>
      <c r="H53" s="15" t="s">
        <v>14</v>
      </c>
      <c r="I53" s="15" t="s">
        <v>15</v>
      </c>
      <c r="J53" s="15"/>
      <c r="K53" s="15" t="s">
        <v>16</v>
      </c>
      <c r="L53" s="15" t="s">
        <v>16</v>
      </c>
      <c r="M53" s="15" t="s">
        <v>9</v>
      </c>
      <c r="N53" s="166" t="s">
        <v>9</v>
      </c>
    </row>
    <row r="54" spans="1:14" ht="12.75">
      <c r="A54" s="165"/>
      <c r="B54" s="15"/>
      <c r="C54" s="15" t="s">
        <v>12</v>
      </c>
      <c r="D54" s="15" t="s">
        <v>16</v>
      </c>
      <c r="E54" s="15" t="s">
        <v>22</v>
      </c>
      <c r="F54" s="15" t="s">
        <v>22</v>
      </c>
      <c r="G54" s="15" t="s">
        <v>23</v>
      </c>
      <c r="H54" s="15" t="s">
        <v>24</v>
      </c>
      <c r="I54" s="15" t="s">
        <v>24</v>
      </c>
      <c r="J54" s="15"/>
      <c r="K54" s="15" t="s">
        <v>15</v>
      </c>
      <c r="L54" s="15" t="s">
        <v>15</v>
      </c>
      <c r="M54" s="15" t="s">
        <v>14</v>
      </c>
      <c r="N54" s="166" t="s">
        <v>14</v>
      </c>
    </row>
    <row r="55" spans="1:14" ht="12.75">
      <c r="A55" s="167" t="s">
        <v>25</v>
      </c>
      <c r="B55" s="20" t="s">
        <v>26</v>
      </c>
      <c r="C55" s="125" t="s">
        <v>14</v>
      </c>
      <c r="D55" s="20" t="s">
        <v>15</v>
      </c>
      <c r="E55" s="20" t="s">
        <v>27</v>
      </c>
      <c r="F55" s="20" t="s">
        <v>13</v>
      </c>
      <c r="G55" s="20" t="s">
        <v>15</v>
      </c>
      <c r="H55" s="20" t="s">
        <v>28</v>
      </c>
      <c r="I55" s="20" t="s">
        <v>28</v>
      </c>
      <c r="J55" s="20" t="s">
        <v>22</v>
      </c>
      <c r="K55" s="20" t="s">
        <v>29</v>
      </c>
      <c r="L55" s="20" t="s">
        <v>30</v>
      </c>
      <c r="M55" s="20" t="s">
        <v>29</v>
      </c>
      <c r="N55" s="168" t="s">
        <v>30</v>
      </c>
    </row>
    <row r="56" spans="1:14" ht="12.75">
      <c r="A56" s="169"/>
      <c r="B56" s="158" t="s">
        <v>17</v>
      </c>
      <c r="C56" s="52"/>
      <c r="D56" s="52"/>
      <c r="E56" s="52"/>
      <c r="F56" s="53"/>
      <c r="G56" s="53"/>
      <c r="H56" s="54"/>
      <c r="I56" s="54"/>
      <c r="J56" s="54"/>
      <c r="K56" s="54"/>
      <c r="L56" s="54"/>
      <c r="M56" s="54"/>
      <c r="N56" s="170"/>
    </row>
    <row r="57" spans="1:14" ht="12.75">
      <c r="A57" s="159" t="s">
        <v>271</v>
      </c>
      <c r="B57" s="159" t="s">
        <v>289</v>
      </c>
      <c r="C57" s="180">
        <v>33935</v>
      </c>
      <c r="D57" s="84">
        <v>0</v>
      </c>
      <c r="E57" s="85">
        <f>C57-D57</f>
        <v>33935</v>
      </c>
      <c r="F57" s="30"/>
      <c r="G57" s="49">
        <f aca="true" t="shared" si="3" ref="G57:G75">D57/(D$35+D$78)</f>
        <v>0</v>
      </c>
      <c r="H57" s="29"/>
      <c r="I57" s="29"/>
      <c r="J57" s="38">
        <f aca="true" t="shared" si="4" ref="J57:J77">H57-I57</f>
        <v>0</v>
      </c>
      <c r="K57" s="42">
        <v>38838</v>
      </c>
      <c r="L57" s="40">
        <v>40513</v>
      </c>
      <c r="M57" s="40">
        <v>38838</v>
      </c>
      <c r="N57" s="46">
        <v>40962</v>
      </c>
    </row>
    <row r="58" spans="1:14" ht="12.75">
      <c r="A58" s="159" t="s">
        <v>290</v>
      </c>
      <c r="B58" s="159" t="s">
        <v>291</v>
      </c>
      <c r="C58" s="181">
        <v>0</v>
      </c>
      <c r="D58" s="84">
        <v>1000000</v>
      </c>
      <c r="E58" s="85">
        <f>C58-D58</f>
        <v>-1000000</v>
      </c>
      <c r="F58" s="30">
        <f>C58/D58</f>
        <v>0</v>
      </c>
      <c r="G58" s="49">
        <f t="shared" si="3"/>
        <v>0.04667342840181733</v>
      </c>
      <c r="H58" s="29"/>
      <c r="I58" s="29"/>
      <c r="J58" s="38">
        <f t="shared" si="4"/>
        <v>0</v>
      </c>
      <c r="K58" s="42">
        <v>41275</v>
      </c>
      <c r="L58" s="40">
        <v>42004</v>
      </c>
      <c r="M58" s="40"/>
      <c r="N58" s="171"/>
    </row>
    <row r="59" spans="1:14" ht="12.75">
      <c r="A59" s="159" t="s">
        <v>274</v>
      </c>
      <c r="B59" s="160" t="s">
        <v>227</v>
      </c>
      <c r="C59" s="181">
        <v>152963</v>
      </c>
      <c r="D59" s="84">
        <v>0</v>
      </c>
      <c r="E59" s="85">
        <f aca="true" t="shared" si="5" ref="E59:E77">C59-D59</f>
        <v>152963</v>
      </c>
      <c r="F59" s="30"/>
      <c r="G59" s="87">
        <f t="shared" si="3"/>
        <v>0</v>
      </c>
      <c r="H59" s="29">
        <v>2058699.22</v>
      </c>
      <c r="I59" s="29">
        <v>2182564.93</v>
      </c>
      <c r="J59" s="38">
        <f t="shared" si="4"/>
        <v>-123865.7100000002</v>
      </c>
      <c r="K59" s="40">
        <v>40179</v>
      </c>
      <c r="L59" s="101">
        <v>42004</v>
      </c>
      <c r="M59" s="101">
        <v>40452</v>
      </c>
      <c r="N59" s="172">
        <v>41773</v>
      </c>
    </row>
    <row r="60" spans="1:14" ht="12.75">
      <c r="A60" s="159" t="s">
        <v>292</v>
      </c>
      <c r="B60" s="160" t="s">
        <v>293</v>
      </c>
      <c r="C60" s="181">
        <v>287933</v>
      </c>
      <c r="D60" s="84">
        <v>1099899</v>
      </c>
      <c r="E60" s="85">
        <f t="shared" si="5"/>
        <v>-811966</v>
      </c>
      <c r="F60" s="30">
        <f aca="true" t="shared" si="6" ref="F59:F77">C60/D60</f>
        <v>0.2617813090111001</v>
      </c>
      <c r="G60" s="87">
        <f t="shared" si="3"/>
        <v>0.05133605722573048</v>
      </c>
      <c r="H60" s="29"/>
      <c r="I60" s="29"/>
      <c r="J60" s="38">
        <f t="shared" si="4"/>
        <v>0</v>
      </c>
      <c r="K60" s="40">
        <v>40909</v>
      </c>
      <c r="L60" s="40">
        <v>42735</v>
      </c>
      <c r="M60" s="102"/>
      <c r="N60" s="172"/>
    </row>
    <row r="61" spans="1:14" ht="12.75">
      <c r="A61" s="159" t="s">
        <v>294</v>
      </c>
      <c r="B61" s="160" t="s">
        <v>295</v>
      </c>
      <c r="C61" s="181">
        <v>691347</v>
      </c>
      <c r="D61" s="84">
        <v>1000000</v>
      </c>
      <c r="E61" s="85">
        <f t="shared" si="5"/>
        <v>-308653</v>
      </c>
      <c r="F61" s="30">
        <f t="shared" si="6"/>
        <v>0.691347</v>
      </c>
      <c r="G61" s="87">
        <f t="shared" si="3"/>
        <v>0.04667342840181733</v>
      </c>
      <c r="H61" s="29"/>
      <c r="I61" s="29"/>
      <c r="J61" s="38">
        <f t="shared" si="4"/>
        <v>0</v>
      </c>
      <c r="K61" s="40">
        <v>41641</v>
      </c>
      <c r="L61" s="40">
        <v>42369</v>
      </c>
      <c r="M61" s="40">
        <v>41845</v>
      </c>
      <c r="N61" s="171"/>
    </row>
    <row r="62" spans="1:14" ht="12.75">
      <c r="A62" s="159" t="s">
        <v>263</v>
      </c>
      <c r="B62" s="160" t="s">
        <v>276</v>
      </c>
      <c r="C62" s="181">
        <v>18370</v>
      </c>
      <c r="D62" s="84">
        <v>0</v>
      </c>
      <c r="E62" s="85">
        <f t="shared" si="5"/>
        <v>18370</v>
      </c>
      <c r="F62" s="30"/>
      <c r="G62" s="87">
        <f t="shared" si="3"/>
        <v>0</v>
      </c>
      <c r="H62" s="29"/>
      <c r="I62" s="29"/>
      <c r="J62" s="38">
        <f t="shared" si="4"/>
        <v>0</v>
      </c>
      <c r="K62" s="40">
        <v>40909</v>
      </c>
      <c r="L62" s="40">
        <v>42004</v>
      </c>
      <c r="M62" s="40">
        <v>41352</v>
      </c>
      <c r="N62" s="46">
        <v>41487</v>
      </c>
    </row>
    <row r="63" spans="1:14" ht="12.75">
      <c r="A63" s="159" t="s">
        <v>262</v>
      </c>
      <c r="B63" s="160" t="s">
        <v>296</v>
      </c>
      <c r="C63" s="181">
        <v>-2188</v>
      </c>
      <c r="D63" s="84">
        <v>0</v>
      </c>
      <c r="E63" s="85">
        <f t="shared" si="5"/>
        <v>-2188</v>
      </c>
      <c r="F63" s="30"/>
      <c r="G63" s="87">
        <f t="shared" si="3"/>
        <v>0</v>
      </c>
      <c r="H63" s="29"/>
      <c r="I63" s="29"/>
      <c r="J63" s="38">
        <f t="shared" si="4"/>
        <v>0</v>
      </c>
      <c r="K63" s="40">
        <v>40544</v>
      </c>
      <c r="L63" s="40">
        <v>41639</v>
      </c>
      <c r="M63" s="40">
        <v>40817</v>
      </c>
      <c r="N63" s="171">
        <v>41516</v>
      </c>
    </row>
    <row r="64" spans="1:14" ht="12.75">
      <c r="A64" s="159" t="s">
        <v>280</v>
      </c>
      <c r="B64" s="160" t="s">
        <v>281</v>
      </c>
      <c r="C64" s="181">
        <v>709175</v>
      </c>
      <c r="D64" s="84">
        <v>775000</v>
      </c>
      <c r="E64" s="85">
        <f t="shared" si="5"/>
        <v>-65825</v>
      </c>
      <c r="F64" s="30">
        <f t="shared" si="6"/>
        <v>0.9150645161290323</v>
      </c>
      <c r="G64" s="30">
        <f t="shared" si="3"/>
        <v>0.03617190701140843</v>
      </c>
      <c r="H64" s="29"/>
      <c r="I64" s="29"/>
      <c r="J64" s="38">
        <f t="shared" si="4"/>
        <v>0</v>
      </c>
      <c r="K64" s="40">
        <v>41275</v>
      </c>
      <c r="L64" s="40">
        <v>42735</v>
      </c>
      <c r="M64" s="40">
        <v>42036</v>
      </c>
      <c r="N64" s="171"/>
    </row>
    <row r="65" spans="1:14" ht="12.75">
      <c r="A65" s="159" t="s">
        <v>282</v>
      </c>
      <c r="B65" s="160" t="s">
        <v>283</v>
      </c>
      <c r="C65" s="181">
        <v>758006</v>
      </c>
      <c r="D65" s="84">
        <v>586021</v>
      </c>
      <c r="E65" s="85">
        <f t="shared" si="5"/>
        <v>171985</v>
      </c>
      <c r="F65" s="30">
        <f t="shared" si="6"/>
        <v>1.2934792439178802</v>
      </c>
      <c r="G65" s="30">
        <f t="shared" si="3"/>
        <v>0.027351609185461395</v>
      </c>
      <c r="H65" s="29"/>
      <c r="I65" s="29"/>
      <c r="J65" s="38">
        <f t="shared" si="4"/>
        <v>0</v>
      </c>
      <c r="K65" s="40">
        <v>41275</v>
      </c>
      <c r="L65" s="40">
        <v>42004</v>
      </c>
      <c r="M65" s="40">
        <v>41877</v>
      </c>
      <c r="N65" s="171"/>
    </row>
    <row r="66" spans="1:14" ht="12.75">
      <c r="A66" s="159" t="s">
        <v>284</v>
      </c>
      <c r="B66" s="160" t="s">
        <v>285</v>
      </c>
      <c r="C66" s="181">
        <v>20317</v>
      </c>
      <c r="D66" s="84">
        <v>0</v>
      </c>
      <c r="E66" s="85">
        <f t="shared" si="5"/>
        <v>20317</v>
      </c>
      <c r="F66" s="30"/>
      <c r="G66" s="30">
        <f t="shared" si="3"/>
        <v>0</v>
      </c>
      <c r="H66" s="29">
        <v>311682.03</v>
      </c>
      <c r="I66" s="29">
        <v>450000</v>
      </c>
      <c r="J66" s="38">
        <f t="shared" si="4"/>
        <v>-138317.96999999997</v>
      </c>
      <c r="K66" s="40">
        <v>41382</v>
      </c>
      <c r="L66" s="40">
        <v>41639</v>
      </c>
      <c r="M66" s="40">
        <v>41394</v>
      </c>
      <c r="N66" s="171">
        <v>41851</v>
      </c>
    </row>
    <row r="67" spans="1:14" ht="12.75">
      <c r="A67" s="159" t="s">
        <v>297</v>
      </c>
      <c r="B67" s="160" t="s">
        <v>298</v>
      </c>
      <c r="C67" s="181">
        <v>0</v>
      </c>
      <c r="D67" s="84">
        <v>350000</v>
      </c>
      <c r="E67" s="85">
        <f t="shared" si="5"/>
        <v>-350000</v>
      </c>
      <c r="F67" s="30">
        <f t="shared" si="6"/>
        <v>0</v>
      </c>
      <c r="G67" s="30">
        <f t="shared" si="3"/>
        <v>0.016335699940636068</v>
      </c>
      <c r="H67" s="29"/>
      <c r="I67" s="29"/>
      <c r="J67" s="38">
        <f t="shared" si="4"/>
        <v>0</v>
      </c>
      <c r="K67" s="40">
        <v>41641</v>
      </c>
      <c r="L67" s="40">
        <v>42004</v>
      </c>
      <c r="M67" s="40"/>
      <c r="N67" s="171"/>
    </row>
    <row r="68" spans="1:14" ht="12.75">
      <c r="A68" s="159" t="s">
        <v>299</v>
      </c>
      <c r="B68" s="160" t="s">
        <v>300</v>
      </c>
      <c r="C68" s="181">
        <v>391301</v>
      </c>
      <c r="D68" s="84">
        <v>0</v>
      </c>
      <c r="E68" s="85">
        <f t="shared" si="5"/>
        <v>391301</v>
      </c>
      <c r="F68" s="30"/>
      <c r="G68" s="30">
        <f t="shared" si="3"/>
        <v>0</v>
      </c>
      <c r="H68" s="29">
        <v>393806.51</v>
      </c>
      <c r="I68" s="29">
        <v>405875.16</v>
      </c>
      <c r="J68" s="38">
        <f t="shared" si="4"/>
        <v>-12068.649999999965</v>
      </c>
      <c r="K68" s="40">
        <v>41869</v>
      </c>
      <c r="L68" s="46">
        <v>41957</v>
      </c>
      <c r="M68" s="46">
        <v>41877</v>
      </c>
      <c r="N68" s="171">
        <v>42004</v>
      </c>
    </row>
    <row r="69" spans="1:14" ht="12.75">
      <c r="A69" s="159" t="s">
        <v>301</v>
      </c>
      <c r="B69" s="160" t="s">
        <v>302</v>
      </c>
      <c r="C69" s="181">
        <v>487670</v>
      </c>
      <c r="D69" s="84">
        <v>0</v>
      </c>
      <c r="E69" s="85">
        <f t="shared" si="5"/>
        <v>487670</v>
      </c>
      <c r="F69" s="30"/>
      <c r="G69" s="30">
        <f t="shared" si="3"/>
        <v>0</v>
      </c>
      <c r="H69" s="29"/>
      <c r="I69" s="29"/>
      <c r="J69" s="38">
        <f t="shared" si="4"/>
        <v>0</v>
      </c>
      <c r="K69" s="40">
        <v>41911</v>
      </c>
      <c r="L69" s="46">
        <v>42062</v>
      </c>
      <c r="M69" s="46">
        <v>41912</v>
      </c>
      <c r="N69" s="171"/>
    </row>
    <row r="70" spans="1:14" ht="12.75">
      <c r="A70" s="159" t="s">
        <v>303</v>
      </c>
      <c r="B70" s="160" t="s">
        <v>304</v>
      </c>
      <c r="C70" s="181">
        <v>333943</v>
      </c>
      <c r="D70" s="84">
        <v>0</v>
      </c>
      <c r="E70" s="85">
        <f t="shared" si="5"/>
        <v>333943</v>
      </c>
      <c r="F70" s="30"/>
      <c r="G70" s="30">
        <f t="shared" si="3"/>
        <v>0</v>
      </c>
      <c r="H70" s="29"/>
      <c r="I70" s="29"/>
      <c r="J70" s="38">
        <f t="shared" si="4"/>
        <v>0</v>
      </c>
      <c r="K70" s="40">
        <v>41939</v>
      </c>
      <c r="L70" s="46">
        <v>42034</v>
      </c>
      <c r="M70" s="46">
        <v>41939</v>
      </c>
      <c r="N70" s="171"/>
    </row>
    <row r="71" spans="1:14" ht="12.75">
      <c r="A71" s="159" t="s">
        <v>305</v>
      </c>
      <c r="B71" s="160" t="s">
        <v>306</v>
      </c>
      <c r="C71" s="181">
        <v>428512</v>
      </c>
      <c r="D71" s="84">
        <v>0</v>
      </c>
      <c r="E71" s="85">
        <f t="shared" si="5"/>
        <v>428512</v>
      </c>
      <c r="F71" s="30"/>
      <c r="G71" s="30">
        <f t="shared" si="3"/>
        <v>0</v>
      </c>
      <c r="H71" s="29">
        <v>459754.24</v>
      </c>
      <c r="I71" s="29">
        <v>429450.14</v>
      </c>
      <c r="J71" s="38">
        <f t="shared" si="4"/>
        <v>30304.099999999977</v>
      </c>
      <c r="K71" s="40">
        <v>41927</v>
      </c>
      <c r="L71" s="46">
        <v>42004</v>
      </c>
      <c r="M71" s="46">
        <v>41939</v>
      </c>
      <c r="N71" s="171">
        <v>42004</v>
      </c>
    </row>
    <row r="72" spans="1:14" ht="12.75">
      <c r="A72" s="159" t="s">
        <v>266</v>
      </c>
      <c r="B72" s="160" t="s">
        <v>239</v>
      </c>
      <c r="C72" s="181">
        <v>369307</v>
      </c>
      <c r="D72" s="84">
        <v>118110</v>
      </c>
      <c r="E72" s="85">
        <f t="shared" si="5"/>
        <v>251197</v>
      </c>
      <c r="F72" s="30">
        <f t="shared" si="6"/>
        <v>3.126805520277707</v>
      </c>
      <c r="G72" s="30">
        <f t="shared" si="3"/>
        <v>0.005512598628538645</v>
      </c>
      <c r="H72" s="29">
        <v>15308044.28</v>
      </c>
      <c r="I72" s="29">
        <v>14104868</v>
      </c>
      <c r="J72" s="38">
        <f t="shared" si="4"/>
        <v>1203176.2799999993</v>
      </c>
      <c r="K72" s="40">
        <v>40575</v>
      </c>
      <c r="L72" s="46">
        <v>41698</v>
      </c>
      <c r="M72" s="46">
        <v>41352</v>
      </c>
      <c r="N72" s="171">
        <v>41766</v>
      </c>
    </row>
    <row r="73" spans="1:14" ht="12.75">
      <c r="A73" s="159" t="s">
        <v>307</v>
      </c>
      <c r="B73" s="160" t="s">
        <v>308</v>
      </c>
      <c r="C73" s="181"/>
      <c r="D73" s="84">
        <v>500000</v>
      </c>
      <c r="E73" s="85">
        <f t="shared" si="5"/>
        <v>-500000</v>
      </c>
      <c r="F73" s="30">
        <f t="shared" si="6"/>
        <v>0</v>
      </c>
      <c r="G73" s="30">
        <f t="shared" si="3"/>
        <v>0.023336714200908666</v>
      </c>
      <c r="H73" s="29"/>
      <c r="I73" s="29"/>
      <c r="J73" s="38">
        <f t="shared" si="4"/>
        <v>0</v>
      </c>
      <c r="K73" s="40">
        <v>41641</v>
      </c>
      <c r="L73" s="46">
        <v>41851</v>
      </c>
      <c r="M73" s="46"/>
      <c r="N73" s="171"/>
    </row>
    <row r="74" spans="1:14" ht="12.75">
      <c r="A74" s="157" t="s">
        <v>286</v>
      </c>
      <c r="B74" s="112" t="s">
        <v>241</v>
      </c>
      <c r="C74" s="84">
        <v>350389</v>
      </c>
      <c r="D74" s="84">
        <v>117256</v>
      </c>
      <c r="E74" s="85">
        <f t="shared" si="5"/>
        <v>233133</v>
      </c>
      <c r="F74" s="30">
        <f t="shared" si="6"/>
        <v>2.988239407791499</v>
      </c>
      <c r="G74" s="30">
        <f t="shared" si="3"/>
        <v>0.005472739520683493</v>
      </c>
      <c r="H74" s="29">
        <v>10683881.88</v>
      </c>
      <c r="I74" s="29">
        <v>11167479</v>
      </c>
      <c r="J74" s="38">
        <f t="shared" si="4"/>
        <v>-483597.1199999992</v>
      </c>
      <c r="K74" s="40">
        <v>40179</v>
      </c>
      <c r="L74" s="40">
        <v>41974</v>
      </c>
      <c r="M74" s="40">
        <v>40210</v>
      </c>
      <c r="N74" s="171">
        <v>42004</v>
      </c>
    </row>
    <row r="75" spans="1:14" ht="12.75">
      <c r="A75" s="116" t="s">
        <v>287</v>
      </c>
      <c r="B75" s="112" t="s">
        <v>242</v>
      </c>
      <c r="C75" s="84">
        <v>32</v>
      </c>
      <c r="D75" s="84"/>
      <c r="E75" s="85">
        <f t="shared" si="5"/>
        <v>32</v>
      </c>
      <c r="F75" s="30"/>
      <c r="G75" s="30">
        <f t="shared" si="3"/>
        <v>0</v>
      </c>
      <c r="H75" s="29">
        <v>1000691.23</v>
      </c>
      <c r="I75" s="29">
        <v>784479</v>
      </c>
      <c r="J75" s="38">
        <f t="shared" si="4"/>
        <v>216212.22999999998</v>
      </c>
      <c r="K75" s="40">
        <v>40787</v>
      </c>
      <c r="L75" s="40">
        <v>41974</v>
      </c>
      <c r="M75" s="40">
        <v>40817</v>
      </c>
      <c r="N75" s="171">
        <v>42004</v>
      </c>
    </row>
    <row r="76" spans="1:14" ht="12.75">
      <c r="A76" s="116" t="s">
        <v>309</v>
      </c>
      <c r="B76" s="112" t="s">
        <v>310</v>
      </c>
      <c r="C76" s="84">
        <v>1336514</v>
      </c>
      <c r="D76" s="84">
        <v>319464</v>
      </c>
      <c r="E76" s="85">
        <f t="shared" si="5"/>
        <v>1017050</v>
      </c>
      <c r="F76" s="30">
        <f t="shared" si="6"/>
        <v>4.183613803120227</v>
      </c>
      <c r="G76" s="30"/>
      <c r="H76" s="29"/>
      <c r="I76" s="29"/>
      <c r="J76" s="38">
        <f t="shared" si="4"/>
        <v>0</v>
      </c>
      <c r="K76" s="101" t="s">
        <v>137</v>
      </c>
      <c r="L76" s="101" t="s">
        <v>137</v>
      </c>
      <c r="M76" s="101" t="s">
        <v>137</v>
      </c>
      <c r="N76" s="173" t="s">
        <v>137</v>
      </c>
    </row>
    <row r="77" spans="1:14" ht="12.75">
      <c r="A77" s="174"/>
      <c r="B77" s="175" t="s">
        <v>236</v>
      </c>
      <c r="C77" s="176">
        <v>0</v>
      </c>
      <c r="D77" s="176">
        <v>642349</v>
      </c>
      <c r="E77" s="177">
        <f t="shared" si="5"/>
        <v>-642349</v>
      </c>
      <c r="F77" s="62">
        <f t="shared" si="6"/>
        <v>0</v>
      </c>
      <c r="G77" s="62">
        <f>D77/(D$35+D$78)</f>
        <v>0.029980630060478963</v>
      </c>
      <c r="H77" s="74"/>
      <c r="I77" s="74"/>
      <c r="J77" s="178">
        <f t="shared" si="4"/>
        <v>0</v>
      </c>
      <c r="K77" s="128">
        <v>41640</v>
      </c>
      <c r="L77" s="128">
        <v>41974</v>
      </c>
      <c r="M77" s="128" t="s">
        <v>137</v>
      </c>
      <c r="N77" s="179" t="s">
        <v>137</v>
      </c>
    </row>
    <row r="78" spans="3:14" ht="12">
      <c r="C78" s="161">
        <f>SUM(C56:C77)</f>
        <v>6367526</v>
      </c>
      <c r="D78" s="31">
        <f>SUM(D56:D77)</f>
        <v>6508099</v>
      </c>
      <c r="E78" s="31">
        <f>SUM(E56:E77)</f>
        <v>-140573</v>
      </c>
      <c r="F78" s="33">
        <f>C78/D78</f>
        <v>0.9784002978442706</v>
      </c>
      <c r="G78" s="35"/>
      <c r="H78" s="28"/>
      <c r="I78" s="28"/>
      <c r="J78" s="28"/>
      <c r="K78" s="28"/>
      <c r="L78" s="28"/>
      <c r="M78" s="28"/>
      <c r="N78" s="28"/>
    </row>
    <row r="80" spans="3:6" ht="12">
      <c r="C80" s="122"/>
      <c r="D80" s="122"/>
      <c r="E80" s="122"/>
      <c r="F80" s="73"/>
    </row>
    <row r="81" ht="12">
      <c r="C81" s="126"/>
    </row>
    <row r="83" ht="12">
      <c r="C83" s="124"/>
    </row>
    <row r="85" ht="12">
      <c r="C85" s="124"/>
    </row>
  </sheetData>
  <sheetProtection/>
  <mergeCells count="6">
    <mergeCell ref="A1:N1"/>
    <mergeCell ref="A2:N2"/>
    <mergeCell ref="A3:N3"/>
    <mergeCell ref="A42:N42"/>
    <mergeCell ref="A43:N43"/>
    <mergeCell ref="A44:N44"/>
  </mergeCells>
  <printOptions/>
  <pageMargins left="0.7" right="0.7" top="0.75" bottom="0.75" header="0.3" footer="0.3"/>
  <pageSetup horizontalDpi="600" verticalDpi="600" orientation="landscape" scale="67" r:id="rId1"/>
</worksheet>
</file>

<file path=xl/worksheets/sheet3.xml><?xml version="1.0" encoding="utf-8"?>
<worksheet xmlns="http://schemas.openxmlformats.org/spreadsheetml/2006/main" xmlns:r="http://schemas.openxmlformats.org/officeDocument/2006/relationships">
  <dimension ref="A1:AA77"/>
  <sheetViews>
    <sheetView tabSelected="1" view="pageBreakPreview" zoomScale="90" zoomScaleSheetLayoutView="90" zoomScalePageLayoutView="0" workbookViewId="0" topLeftCell="L1">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5" width="8.83203125" style="1" customWidth="1"/>
    <col min="16" max="16" width="6.5" style="1" customWidth="1"/>
    <col min="17" max="17" width="11.66015625" style="1" customWidth="1"/>
    <col min="18" max="18" width="57.5" style="1" customWidth="1"/>
    <col min="19" max="19" width="84.16015625" style="131" customWidth="1"/>
    <col min="20" max="20" width="15.66015625" style="1" customWidth="1"/>
    <col min="21" max="21" width="17.66015625" style="1" customWidth="1"/>
    <col min="22" max="25" width="9.66015625" style="1" customWidth="1"/>
    <col min="26" max="16384" width="9.83203125" style="1" customWidth="1"/>
  </cols>
  <sheetData>
    <row r="1" spans="1:24" ht="12">
      <c r="A1" s="212" t="s">
        <v>71</v>
      </c>
      <c r="B1" s="212"/>
      <c r="C1" s="212"/>
      <c r="D1" s="212"/>
      <c r="E1" s="212"/>
      <c r="F1" s="212"/>
      <c r="G1" s="212"/>
      <c r="H1" s="212"/>
      <c r="I1" s="212"/>
      <c r="J1" s="212"/>
      <c r="K1" s="212"/>
      <c r="L1" s="212"/>
      <c r="M1" s="212"/>
      <c r="N1" s="212"/>
      <c r="O1" s="141"/>
      <c r="X1" s="2"/>
    </row>
    <row r="2" spans="1:24" ht="12">
      <c r="A2" s="212" t="s">
        <v>311</v>
      </c>
      <c r="B2" s="212"/>
      <c r="C2" s="212"/>
      <c r="D2" s="212"/>
      <c r="E2" s="212"/>
      <c r="F2" s="212"/>
      <c r="G2" s="212"/>
      <c r="H2" s="212"/>
      <c r="I2" s="212"/>
      <c r="J2" s="212"/>
      <c r="K2" s="212"/>
      <c r="L2" s="212"/>
      <c r="M2" s="212"/>
      <c r="N2" s="212"/>
      <c r="O2" s="141"/>
      <c r="X2" s="2" t="s">
        <v>0</v>
      </c>
    </row>
    <row r="3" spans="1:24" ht="12">
      <c r="A3" s="212" t="s">
        <v>74</v>
      </c>
      <c r="B3" s="212"/>
      <c r="C3" s="212"/>
      <c r="D3" s="212"/>
      <c r="E3" s="212"/>
      <c r="F3" s="212"/>
      <c r="G3" s="212"/>
      <c r="H3" s="212"/>
      <c r="I3" s="212"/>
      <c r="J3" s="212"/>
      <c r="K3" s="212"/>
      <c r="L3" s="212"/>
      <c r="M3" s="212"/>
      <c r="N3" s="212"/>
      <c r="O3" s="141"/>
      <c r="X3" s="2" t="s">
        <v>254</v>
      </c>
    </row>
    <row r="4" spans="4:24" ht="12">
      <c r="D4" s="3" t="s">
        <v>1</v>
      </c>
      <c r="E4" s="99">
        <v>2013</v>
      </c>
      <c r="X4" s="2"/>
    </row>
    <row r="5" spans="1:12" ht="12">
      <c r="A5" s="2" t="s">
        <v>2</v>
      </c>
      <c r="L5" s="2" t="s">
        <v>73</v>
      </c>
    </row>
    <row r="6" spans="1:17" ht="15.75">
      <c r="A6" s="2" t="s">
        <v>3</v>
      </c>
      <c r="L6" s="2"/>
      <c r="Q6" s="5" t="s">
        <v>55</v>
      </c>
    </row>
    <row r="7" spans="12:22" ht="19.5">
      <c r="L7" s="2" t="s">
        <v>4</v>
      </c>
      <c r="Q7" s="6"/>
      <c r="V7" s="5" t="s">
        <v>255</v>
      </c>
    </row>
    <row r="8" spans="12:13" ht="12">
      <c r="L8" s="4" t="s">
        <v>312</v>
      </c>
      <c r="M8" s="4"/>
    </row>
    <row r="9" spans="18:25" ht="12.75">
      <c r="R9" s="7"/>
      <c r="S9" s="132"/>
      <c r="T9" s="7"/>
      <c r="U9" s="8" t="s">
        <v>5</v>
      </c>
      <c r="V9" s="7"/>
      <c r="W9" s="7"/>
      <c r="X9" s="7"/>
      <c r="Y9" s="7"/>
    </row>
    <row r="10" spans="18:25" ht="12.75">
      <c r="R10" s="7"/>
      <c r="S10" s="132"/>
      <c r="T10" s="8" t="s">
        <v>6</v>
      </c>
      <c r="U10" s="9" t="s">
        <v>75</v>
      </c>
      <c r="V10" s="10" t="s">
        <v>7</v>
      </c>
      <c r="W10" s="11"/>
      <c r="X10" s="7"/>
      <c r="Y10" s="7"/>
    </row>
    <row r="11" spans="1:25" ht="12.75">
      <c r="A11" s="8"/>
      <c r="B11" s="12"/>
      <c r="C11" s="12"/>
      <c r="D11" s="12"/>
      <c r="E11" s="12"/>
      <c r="F11" s="12"/>
      <c r="G11" s="12"/>
      <c r="H11" s="12" t="s">
        <v>8</v>
      </c>
      <c r="I11" s="12" t="s">
        <v>8</v>
      </c>
      <c r="J11" s="12"/>
      <c r="K11" s="12" t="s">
        <v>9</v>
      </c>
      <c r="L11" s="12" t="s">
        <v>9</v>
      </c>
      <c r="M11" s="12"/>
      <c r="N11" s="12"/>
      <c r="O11" s="59"/>
      <c r="R11" s="7"/>
      <c r="S11" s="132"/>
      <c r="T11" s="9" t="s">
        <v>10</v>
      </c>
      <c r="U11" s="9" t="s">
        <v>10</v>
      </c>
      <c r="V11" s="13" t="s">
        <v>11</v>
      </c>
      <c r="W11" s="14"/>
      <c r="X11" s="7"/>
      <c r="Y11" s="7"/>
    </row>
    <row r="12" spans="1:25" ht="12.75">
      <c r="A12" s="9"/>
      <c r="B12" s="15"/>
      <c r="C12" s="15"/>
      <c r="D12" s="15" t="s">
        <v>12</v>
      </c>
      <c r="E12" s="15"/>
      <c r="F12" s="15"/>
      <c r="G12" s="15" t="s">
        <v>13</v>
      </c>
      <c r="H12" s="15" t="s">
        <v>14</v>
      </c>
      <c r="I12" s="15" t="s">
        <v>15</v>
      </c>
      <c r="J12" s="15"/>
      <c r="K12" s="15" t="s">
        <v>16</v>
      </c>
      <c r="L12" s="15" t="s">
        <v>16</v>
      </c>
      <c r="M12" s="15" t="s">
        <v>9</v>
      </c>
      <c r="N12" s="15" t="s">
        <v>9</v>
      </c>
      <c r="O12" s="59"/>
      <c r="Q12" s="143"/>
      <c r="R12" s="8" t="s">
        <v>76</v>
      </c>
      <c r="S12" s="144" t="s">
        <v>18</v>
      </c>
      <c r="T12" s="9" t="s">
        <v>19</v>
      </c>
      <c r="U12" s="9" t="s">
        <v>19</v>
      </c>
      <c r="V12" s="8" t="s">
        <v>20</v>
      </c>
      <c r="W12" s="8" t="s">
        <v>21</v>
      </c>
      <c r="X12" s="8" t="s">
        <v>20</v>
      </c>
      <c r="Y12" s="8" t="s">
        <v>21</v>
      </c>
    </row>
    <row r="13" spans="1:27" ht="12.75">
      <c r="A13" s="9"/>
      <c r="B13" s="15"/>
      <c r="C13" s="15" t="s">
        <v>12</v>
      </c>
      <c r="D13" s="15" t="s">
        <v>16</v>
      </c>
      <c r="E13" s="15" t="s">
        <v>22</v>
      </c>
      <c r="F13" s="15" t="s">
        <v>22</v>
      </c>
      <c r="G13" s="15" t="s">
        <v>23</v>
      </c>
      <c r="H13" s="15" t="s">
        <v>24</v>
      </c>
      <c r="I13" s="15" t="s">
        <v>24</v>
      </c>
      <c r="J13" s="15"/>
      <c r="K13" s="15" t="s">
        <v>15</v>
      </c>
      <c r="L13" s="15" t="s">
        <v>15</v>
      </c>
      <c r="M13" s="15" t="s">
        <v>14</v>
      </c>
      <c r="N13" s="15" t="s">
        <v>14</v>
      </c>
      <c r="O13" s="59"/>
      <c r="Q13" s="152" t="s">
        <v>272</v>
      </c>
      <c r="R13" s="153" t="s">
        <v>273</v>
      </c>
      <c r="S13" s="149" t="s">
        <v>316</v>
      </c>
      <c r="T13" s="220">
        <v>1079811.12</v>
      </c>
      <c r="U13" s="220">
        <v>1147026</v>
      </c>
      <c r="V13" s="147">
        <v>40210</v>
      </c>
      <c r="W13" s="147">
        <v>40452</v>
      </c>
      <c r="X13" s="147">
        <v>40422</v>
      </c>
      <c r="Y13" s="184">
        <v>41298</v>
      </c>
      <c r="Z13" s="78"/>
      <c r="AA13" s="78"/>
    </row>
    <row r="14" spans="1:25"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O14" s="59"/>
      <c r="Q14" s="196" t="s">
        <v>263</v>
      </c>
      <c r="R14" s="196" t="s">
        <v>276</v>
      </c>
      <c r="S14" s="190" t="s">
        <v>338</v>
      </c>
      <c r="T14" s="221">
        <v>3559485.24</v>
      </c>
      <c r="U14" s="221">
        <v>3545583.8</v>
      </c>
      <c r="V14" s="189">
        <v>40909</v>
      </c>
      <c r="W14" s="189">
        <v>42004</v>
      </c>
      <c r="X14" s="189">
        <v>41352</v>
      </c>
      <c r="Y14" s="184">
        <v>41487</v>
      </c>
    </row>
    <row r="15" spans="1:25" ht="12.75" customHeight="1">
      <c r="A15" s="9" t="s">
        <v>148</v>
      </c>
      <c r="B15" s="14" t="s">
        <v>79</v>
      </c>
      <c r="C15" s="82">
        <v>1972625</v>
      </c>
      <c r="D15" s="82">
        <v>1726546</v>
      </c>
      <c r="E15" s="84">
        <f aca="true" t="shared" si="0" ref="E15:E34">C15-D15</f>
        <v>246079</v>
      </c>
      <c r="F15" s="26">
        <f>C15/D15</f>
        <v>1.1425267557308059</v>
      </c>
      <c r="G15" s="27">
        <f aca="true" t="shared" si="1" ref="G15:G34">D15/(D$35+D$70)</f>
        <v>0.06697930602132379</v>
      </c>
      <c r="H15" s="28"/>
      <c r="I15" s="28"/>
      <c r="J15" s="28"/>
      <c r="K15" s="28"/>
      <c r="L15" s="28"/>
      <c r="M15" s="28"/>
      <c r="N15" s="28"/>
      <c r="O15" s="28"/>
      <c r="Q15" s="218" t="s">
        <v>262</v>
      </c>
      <c r="R15" s="219" t="s">
        <v>279</v>
      </c>
      <c r="S15" s="215" t="s">
        <v>317</v>
      </c>
      <c r="T15" s="222">
        <v>564633.81</v>
      </c>
      <c r="U15" s="222">
        <v>749989</v>
      </c>
      <c r="V15" s="217">
        <v>40544</v>
      </c>
      <c r="W15" s="217">
        <v>41639</v>
      </c>
      <c r="X15" s="217">
        <v>40817</v>
      </c>
      <c r="Y15" s="211">
        <v>41516</v>
      </c>
    </row>
    <row r="16" spans="1:25" ht="12.75">
      <c r="A16" s="9" t="s">
        <v>38</v>
      </c>
      <c r="B16" s="14" t="s">
        <v>163</v>
      </c>
      <c r="C16" s="82">
        <v>849856</v>
      </c>
      <c r="D16" s="82">
        <v>259999</v>
      </c>
      <c r="E16" s="84">
        <f t="shared" si="0"/>
        <v>589857</v>
      </c>
      <c r="F16" s="26">
        <f aca="true" t="shared" si="2" ref="F16:F34">C16/D16</f>
        <v>3.268689494959596</v>
      </c>
      <c r="G16" s="30">
        <f t="shared" si="1"/>
        <v>0.010086353092381069</v>
      </c>
      <c r="H16" s="28"/>
      <c r="I16" s="28"/>
      <c r="J16" s="28"/>
      <c r="K16" s="28"/>
      <c r="L16" s="28"/>
      <c r="M16" s="28"/>
      <c r="N16" s="28"/>
      <c r="O16" s="28"/>
      <c r="Q16" s="218"/>
      <c r="R16" s="219"/>
      <c r="S16" s="215"/>
      <c r="T16" s="222"/>
      <c r="U16" s="222"/>
      <c r="V16" s="217"/>
      <c r="W16" s="217"/>
      <c r="X16" s="217"/>
      <c r="Y16" s="211"/>
    </row>
    <row r="17" spans="1:25" ht="12.75">
      <c r="A17" s="9" t="s">
        <v>39</v>
      </c>
      <c r="B17" s="14" t="s">
        <v>164</v>
      </c>
      <c r="C17" s="82">
        <v>1645060</v>
      </c>
      <c r="D17" s="82">
        <v>2000000</v>
      </c>
      <c r="E17" s="84">
        <f t="shared" si="0"/>
        <v>-354940</v>
      </c>
      <c r="F17" s="26">
        <f t="shared" si="2"/>
        <v>0.82253</v>
      </c>
      <c r="G17" s="30">
        <f t="shared" si="1"/>
        <v>0.07758762989381551</v>
      </c>
      <c r="H17" s="28"/>
      <c r="I17" s="28"/>
      <c r="J17" s="28"/>
      <c r="K17" s="28"/>
      <c r="L17" s="28"/>
      <c r="M17" s="28"/>
      <c r="N17" s="28"/>
      <c r="O17" s="28"/>
      <c r="Q17" s="218"/>
      <c r="R17" s="219"/>
      <c r="S17" s="215"/>
      <c r="T17" s="222"/>
      <c r="U17" s="222"/>
      <c r="V17" s="217"/>
      <c r="W17" s="217"/>
      <c r="X17" s="217"/>
      <c r="Y17" s="211"/>
    </row>
    <row r="18" spans="1:25" ht="12.75">
      <c r="A18" s="9" t="s">
        <v>40</v>
      </c>
      <c r="B18" s="14" t="s">
        <v>165</v>
      </c>
      <c r="C18" s="82">
        <v>369365</v>
      </c>
      <c r="D18" s="82">
        <v>275484</v>
      </c>
      <c r="E18" s="84">
        <f t="shared" si="0"/>
        <v>93881</v>
      </c>
      <c r="F18" s="26">
        <f t="shared" si="2"/>
        <v>1.3407856717631514</v>
      </c>
      <c r="G18" s="30">
        <f t="shared" si="1"/>
        <v>0.010687075316833937</v>
      </c>
      <c r="H18" s="28"/>
      <c r="I18" s="28"/>
      <c r="J18" s="28"/>
      <c r="K18" s="28"/>
      <c r="L18" s="28"/>
      <c r="M18" s="28"/>
      <c r="N18" s="28"/>
      <c r="O18" s="28"/>
      <c r="Q18" s="59"/>
      <c r="R18" s="17" t="s">
        <v>32</v>
      </c>
      <c r="S18" s="136"/>
      <c r="T18" s="55">
        <f>SUM(T13:T16)</f>
        <v>5203930.17</v>
      </c>
      <c r="U18" s="55">
        <f>SUM(U13:U16)</f>
        <v>5442598.8</v>
      </c>
      <c r="V18" s="60"/>
      <c r="W18" s="60"/>
      <c r="X18" s="60"/>
      <c r="Y18" s="60"/>
    </row>
    <row r="19" spans="1:25" ht="12.75">
      <c r="A19" s="9" t="s">
        <v>149</v>
      </c>
      <c r="B19" s="14" t="s">
        <v>166</v>
      </c>
      <c r="C19" s="82">
        <v>165758</v>
      </c>
      <c r="D19" s="82">
        <v>480079</v>
      </c>
      <c r="E19" s="84">
        <f t="shared" si="0"/>
        <v>-314321</v>
      </c>
      <c r="F19" s="26">
        <f t="shared" si="2"/>
        <v>0.3452723405939439</v>
      </c>
      <c r="G19" s="30">
        <f t="shared" si="1"/>
        <v>0.018624095885896527</v>
      </c>
      <c r="H19" s="28"/>
      <c r="I19" s="28"/>
      <c r="J19" s="28"/>
      <c r="K19" s="28"/>
      <c r="L19" s="28"/>
      <c r="M19" s="28"/>
      <c r="N19" s="28"/>
      <c r="O19" s="28"/>
      <c r="Q19" s="59"/>
      <c r="R19" s="59"/>
      <c r="S19" s="137"/>
      <c r="T19" s="80"/>
      <c r="U19" s="80"/>
      <c r="V19" s="60"/>
      <c r="W19" s="60"/>
      <c r="X19" s="60"/>
      <c r="Y19" s="60"/>
    </row>
    <row r="20" spans="1:25" ht="12.75">
      <c r="A20" s="9" t="s">
        <v>41</v>
      </c>
      <c r="B20" s="14" t="s">
        <v>167</v>
      </c>
      <c r="C20" s="82">
        <v>151975</v>
      </c>
      <c r="D20" s="82">
        <v>184993</v>
      </c>
      <c r="E20" s="84">
        <f t="shared" si="0"/>
        <v>-33018</v>
      </c>
      <c r="F20" s="26">
        <f t="shared" si="2"/>
        <v>0.8215175709351165</v>
      </c>
      <c r="G20" s="30">
        <f t="shared" si="1"/>
        <v>0.007176584208473306</v>
      </c>
      <c r="H20" s="28"/>
      <c r="I20" s="28"/>
      <c r="J20" s="28"/>
      <c r="K20" s="28"/>
      <c r="L20" s="28"/>
      <c r="M20" s="28"/>
      <c r="N20" s="28"/>
      <c r="O20" s="28"/>
      <c r="Q20" s="59"/>
      <c r="R20" s="59"/>
      <c r="S20" s="137"/>
      <c r="T20" s="80"/>
      <c r="U20" s="80"/>
      <c r="V20" s="60"/>
      <c r="W20" s="60"/>
      <c r="X20" s="60"/>
      <c r="Y20" s="60"/>
    </row>
    <row r="21" spans="1:25" ht="12.75">
      <c r="A21" s="9" t="s">
        <v>42</v>
      </c>
      <c r="B21" s="14" t="s">
        <v>168</v>
      </c>
      <c r="C21" s="82">
        <v>628707</v>
      </c>
      <c r="D21" s="82">
        <v>305696</v>
      </c>
      <c r="E21" s="84">
        <f t="shared" si="0"/>
        <v>323011</v>
      </c>
      <c r="F21" s="26">
        <f t="shared" si="2"/>
        <v>2.0566412383544437</v>
      </c>
      <c r="G21" s="30">
        <f t="shared" si="1"/>
        <v>0.011859114054009913</v>
      </c>
      <c r="H21" s="28"/>
      <c r="I21" s="28"/>
      <c r="J21" s="28"/>
      <c r="K21" s="28"/>
      <c r="L21" s="28"/>
      <c r="M21" s="28"/>
      <c r="N21" s="28"/>
      <c r="O21" s="28"/>
      <c r="Q21" s="59"/>
      <c r="R21" s="59"/>
      <c r="S21" s="137"/>
      <c r="T21" s="80"/>
      <c r="U21" s="80"/>
      <c r="V21" s="60"/>
      <c r="W21" s="60"/>
      <c r="X21" s="60"/>
      <c r="Y21" s="60"/>
    </row>
    <row r="22" spans="1:25" ht="12.75">
      <c r="A22" s="9" t="s">
        <v>43</v>
      </c>
      <c r="B22" s="14" t="s">
        <v>169</v>
      </c>
      <c r="C22" s="82">
        <v>922914</v>
      </c>
      <c r="D22" s="82">
        <v>1042445</v>
      </c>
      <c r="E22" s="84">
        <f t="shared" si="0"/>
        <v>-119531</v>
      </c>
      <c r="F22" s="26">
        <f t="shared" si="2"/>
        <v>0.8853359170028154</v>
      </c>
      <c r="G22" s="30">
        <f t="shared" si="1"/>
        <v>0.040440418422329254</v>
      </c>
      <c r="H22" s="28"/>
      <c r="I22" s="28"/>
      <c r="J22" s="28"/>
      <c r="K22" s="28"/>
      <c r="L22" s="28"/>
      <c r="M22" s="28"/>
      <c r="N22" s="28"/>
      <c r="O22" s="28"/>
      <c r="Q22" s="59"/>
      <c r="R22" s="59"/>
      <c r="S22" s="137"/>
      <c r="T22" s="80"/>
      <c r="U22" s="80"/>
      <c r="V22" s="60"/>
      <c r="W22" s="60"/>
      <c r="X22" s="60"/>
      <c r="Y22" s="60"/>
    </row>
    <row r="23" spans="1:25" ht="12.75">
      <c r="A23" s="9" t="s">
        <v>44</v>
      </c>
      <c r="B23" s="14" t="s">
        <v>170</v>
      </c>
      <c r="C23" s="82">
        <v>655250</v>
      </c>
      <c r="D23" s="82">
        <v>1011321</v>
      </c>
      <c r="E23" s="84">
        <f t="shared" si="0"/>
        <v>-356071</v>
      </c>
      <c r="F23" s="26">
        <f t="shared" si="2"/>
        <v>0.647914954796746</v>
      </c>
      <c r="G23" s="30">
        <f t="shared" si="1"/>
        <v>0.039232999725921695</v>
      </c>
      <c r="H23" s="28"/>
      <c r="I23" s="28"/>
      <c r="J23" s="28"/>
      <c r="K23" s="28"/>
      <c r="L23" s="28"/>
      <c r="M23" s="28"/>
      <c r="N23" s="28"/>
      <c r="O23" s="28"/>
      <c r="Q23" s="59"/>
      <c r="R23" s="59"/>
      <c r="S23" s="137"/>
      <c r="T23" s="80"/>
      <c r="U23" s="80"/>
      <c r="V23" s="60"/>
      <c r="W23" s="60"/>
      <c r="X23" s="60"/>
      <c r="Y23" s="60"/>
    </row>
    <row r="24" spans="1:25" ht="12.75">
      <c r="A24" s="9" t="s">
        <v>151</v>
      </c>
      <c r="B24" s="14" t="s">
        <v>87</v>
      </c>
      <c r="C24" s="82">
        <v>747902</v>
      </c>
      <c r="D24" s="82">
        <v>504240</v>
      </c>
      <c r="E24" s="84">
        <f t="shared" si="0"/>
        <v>243662</v>
      </c>
      <c r="F24" s="26">
        <f t="shared" si="2"/>
        <v>1.4832262414723147</v>
      </c>
      <c r="G24" s="30">
        <f t="shared" si="1"/>
        <v>0.019561393248828766</v>
      </c>
      <c r="H24" s="28"/>
      <c r="I24" s="28"/>
      <c r="J24" s="28"/>
      <c r="K24" s="28"/>
      <c r="L24" s="28"/>
      <c r="M24" s="28"/>
      <c r="N24" s="28"/>
      <c r="O24" s="28"/>
      <c r="Q24" s="59"/>
      <c r="R24" s="59"/>
      <c r="S24" s="137"/>
      <c r="T24" s="80"/>
      <c r="U24" s="80"/>
      <c r="V24" s="60"/>
      <c r="W24" s="60"/>
      <c r="X24" s="60"/>
      <c r="Y24" s="60"/>
    </row>
    <row r="25" spans="1:25" ht="12.75">
      <c r="A25" s="9" t="s">
        <v>150</v>
      </c>
      <c r="B25" s="14" t="s">
        <v>171</v>
      </c>
      <c r="C25" s="82">
        <v>2691058</v>
      </c>
      <c r="D25" s="82">
        <v>2862739</v>
      </c>
      <c r="E25" s="84">
        <f t="shared" si="0"/>
        <v>-171681</v>
      </c>
      <c r="F25" s="26">
        <f t="shared" si="2"/>
        <v>0.9400291119798208</v>
      </c>
      <c r="G25" s="30">
        <f t="shared" si="1"/>
        <v>0.11105656700729576</v>
      </c>
      <c r="H25" s="28"/>
      <c r="I25" s="28"/>
      <c r="J25" s="28"/>
      <c r="K25" s="28"/>
      <c r="L25" s="28"/>
      <c r="M25" s="28"/>
      <c r="N25" s="28"/>
      <c r="O25" s="28"/>
      <c r="Q25" s="59"/>
      <c r="R25" s="59"/>
      <c r="S25" s="137"/>
      <c r="T25" s="80"/>
      <c r="U25" s="80"/>
      <c r="V25" s="60"/>
      <c r="W25" s="60"/>
      <c r="X25" s="60"/>
      <c r="Y25" s="60"/>
    </row>
    <row r="26" spans="1:25" ht="12.75">
      <c r="A26" s="9" t="s">
        <v>152</v>
      </c>
      <c r="B26" s="14" t="s">
        <v>172</v>
      </c>
      <c r="C26" s="82">
        <v>216174</v>
      </c>
      <c r="D26" s="82">
        <v>315805</v>
      </c>
      <c r="E26" s="84">
        <f t="shared" si="0"/>
        <v>-99631</v>
      </c>
      <c r="F26" s="26">
        <f t="shared" si="2"/>
        <v>0.6845173445638922</v>
      </c>
      <c r="G26" s="30">
        <f t="shared" si="1"/>
        <v>0.012251280729308204</v>
      </c>
      <c r="H26" s="28"/>
      <c r="I26" s="28"/>
      <c r="J26" s="28"/>
      <c r="K26" s="28"/>
      <c r="L26" s="28"/>
      <c r="M26" s="28"/>
      <c r="N26" s="28"/>
      <c r="O26" s="28"/>
      <c r="Q26" s="59"/>
      <c r="R26" s="59"/>
      <c r="S26" s="137"/>
      <c r="T26" s="80"/>
      <c r="U26" s="80"/>
      <c r="V26" s="60"/>
      <c r="W26" s="60"/>
      <c r="X26" s="60"/>
      <c r="Y26" s="60"/>
    </row>
    <row r="27" spans="1:25" ht="12.75">
      <c r="A27" s="9" t="s">
        <v>153</v>
      </c>
      <c r="B27" s="14" t="s">
        <v>173</v>
      </c>
      <c r="C27" s="82">
        <v>1006570</v>
      </c>
      <c r="D27" s="82">
        <v>1113688</v>
      </c>
      <c r="E27" s="84">
        <f t="shared" si="0"/>
        <v>-107118</v>
      </c>
      <c r="F27" s="26">
        <f t="shared" si="2"/>
        <v>0.9038168679199201</v>
      </c>
      <c r="G27" s="30">
        <f t="shared" si="1"/>
        <v>0.0432042061805918</v>
      </c>
      <c r="H27" s="28"/>
      <c r="I27" s="28"/>
      <c r="J27" s="28"/>
      <c r="K27" s="28"/>
      <c r="L27" s="28"/>
      <c r="M27" s="28"/>
      <c r="N27" s="28"/>
      <c r="O27" s="28"/>
      <c r="Q27" s="59"/>
      <c r="R27" s="59"/>
      <c r="S27" s="137"/>
      <c r="T27" s="80"/>
      <c r="U27" s="80"/>
      <c r="V27" s="60"/>
      <c r="W27" s="60"/>
      <c r="X27" s="60"/>
      <c r="Y27" s="60"/>
    </row>
    <row r="28" spans="1:25" ht="12.75">
      <c r="A28" s="9" t="s">
        <v>154</v>
      </c>
      <c r="B28" s="81" t="s">
        <v>174</v>
      </c>
      <c r="C28" s="82">
        <v>83068</v>
      </c>
      <c r="D28" s="82">
        <v>210100</v>
      </c>
      <c r="E28" s="84">
        <f t="shared" si="0"/>
        <v>-127032</v>
      </c>
      <c r="F28" s="26">
        <f t="shared" si="2"/>
        <v>0.3953736316039981</v>
      </c>
      <c r="G28" s="30">
        <f t="shared" si="1"/>
        <v>0.00815058052034532</v>
      </c>
      <c r="H28" s="28"/>
      <c r="I28" s="28"/>
      <c r="J28" s="28"/>
      <c r="K28" s="28"/>
      <c r="L28" s="28"/>
      <c r="M28" s="28"/>
      <c r="N28" s="28"/>
      <c r="O28" s="28"/>
      <c r="Q28" s="59"/>
      <c r="V28" s="60"/>
      <c r="W28" s="60"/>
      <c r="X28" s="60"/>
      <c r="Y28" s="60"/>
    </row>
    <row r="29" spans="1:25" ht="12.75">
      <c r="A29" s="9" t="s">
        <v>155</v>
      </c>
      <c r="B29" s="81" t="s">
        <v>89</v>
      </c>
      <c r="C29" s="82">
        <v>10231</v>
      </c>
      <c r="D29" s="82">
        <v>105050</v>
      </c>
      <c r="E29" s="84">
        <f t="shared" si="0"/>
        <v>-94819</v>
      </c>
      <c r="F29" s="26">
        <f t="shared" si="2"/>
        <v>0.09739171822941456</v>
      </c>
      <c r="G29" s="30">
        <f t="shared" si="1"/>
        <v>0.00407529026017266</v>
      </c>
      <c r="H29" s="28"/>
      <c r="I29" s="28"/>
      <c r="J29" s="28"/>
      <c r="K29" s="28"/>
      <c r="L29" s="28"/>
      <c r="M29" s="28"/>
      <c r="N29" s="28"/>
      <c r="O29" s="28"/>
      <c r="Q29" s="59"/>
      <c r="V29" s="60"/>
      <c r="W29" s="60"/>
      <c r="X29" s="60"/>
      <c r="Y29" s="60"/>
    </row>
    <row r="30" spans="1:25" ht="12.75">
      <c r="A30" s="9" t="s">
        <v>156</v>
      </c>
      <c r="B30" s="81" t="s">
        <v>90</v>
      </c>
      <c r="C30" s="82">
        <v>475115</v>
      </c>
      <c r="D30" s="82">
        <v>541008</v>
      </c>
      <c r="E30" s="84">
        <f t="shared" si="0"/>
        <v>-65893</v>
      </c>
      <c r="F30" s="26">
        <f t="shared" si="2"/>
        <v>0.8782032798036258</v>
      </c>
      <c r="G30" s="30">
        <f t="shared" si="1"/>
        <v>0.02098776423679667</v>
      </c>
      <c r="H30" s="28"/>
      <c r="I30" s="28"/>
      <c r="J30" s="28"/>
      <c r="K30" s="28"/>
      <c r="L30" s="28"/>
      <c r="M30" s="28"/>
      <c r="N30" s="28"/>
      <c r="O30" s="28"/>
      <c r="Q30" s="59"/>
      <c r="V30" s="60"/>
      <c r="W30" s="60"/>
      <c r="X30" s="60"/>
      <c r="Y30" s="60"/>
    </row>
    <row r="31" spans="1:25" ht="12.75">
      <c r="A31" s="9" t="s">
        <v>157</v>
      </c>
      <c r="B31" s="81" t="s">
        <v>91</v>
      </c>
      <c r="C31" s="82">
        <v>655282</v>
      </c>
      <c r="D31" s="82">
        <v>307797</v>
      </c>
      <c r="E31" s="84">
        <f t="shared" si="0"/>
        <v>347485</v>
      </c>
      <c r="F31" s="26">
        <f t="shared" si="2"/>
        <v>2.128942127441138</v>
      </c>
      <c r="G31" s="30">
        <f t="shared" si="1"/>
        <v>0.011940619859213367</v>
      </c>
      <c r="H31" s="28"/>
      <c r="I31" s="28"/>
      <c r="J31" s="28"/>
      <c r="K31" s="28"/>
      <c r="L31" s="28"/>
      <c r="M31" s="28"/>
      <c r="N31" s="28"/>
      <c r="O31" s="28"/>
      <c r="Q31" s="59"/>
      <c r="V31" s="60"/>
      <c r="W31" s="60"/>
      <c r="X31" s="60"/>
      <c r="Y31" s="60"/>
    </row>
    <row r="32" spans="1:25" ht="12.75" customHeight="1">
      <c r="A32" s="9" t="s">
        <v>158</v>
      </c>
      <c r="B32" s="81" t="s">
        <v>175</v>
      </c>
      <c r="C32" s="82">
        <v>1382796</v>
      </c>
      <c r="D32" s="82">
        <v>1201991</v>
      </c>
      <c r="E32" s="84">
        <f t="shared" si="0"/>
        <v>180805</v>
      </c>
      <c r="F32" s="26">
        <f t="shared" si="2"/>
        <v>1.150421259393789</v>
      </c>
      <c r="G32" s="30">
        <f t="shared" si="1"/>
        <v>0.0466298164218486</v>
      </c>
      <c r="H32" s="28"/>
      <c r="I32" s="28"/>
      <c r="J32" s="28"/>
      <c r="K32" s="28"/>
      <c r="L32" s="28"/>
      <c r="M32" s="28"/>
      <c r="N32" s="28"/>
      <c r="O32" s="28"/>
      <c r="Q32" s="7"/>
      <c r="V32" s="7"/>
      <c r="W32" s="7"/>
      <c r="X32" s="7"/>
      <c r="Y32" s="7"/>
    </row>
    <row r="33" spans="1:15" ht="12.75">
      <c r="A33" s="9" t="s">
        <v>159</v>
      </c>
      <c r="B33" s="14" t="s">
        <v>176</v>
      </c>
      <c r="C33" s="82"/>
      <c r="D33" s="82">
        <v>0</v>
      </c>
      <c r="E33" s="84">
        <f t="shared" si="0"/>
        <v>0</v>
      </c>
      <c r="F33" s="26"/>
      <c r="G33" s="30">
        <f t="shared" si="1"/>
        <v>0</v>
      </c>
      <c r="H33" s="28"/>
      <c r="I33" s="28"/>
      <c r="J33" s="28"/>
      <c r="K33" s="28"/>
      <c r="L33" s="28"/>
      <c r="M33" s="28"/>
      <c r="N33" s="28"/>
      <c r="O33" s="28"/>
    </row>
    <row r="34" spans="1:15" ht="12.75">
      <c r="A34" s="17" t="s">
        <v>160</v>
      </c>
      <c r="B34" s="23" t="s">
        <v>177</v>
      </c>
      <c r="C34" s="82">
        <v>54556</v>
      </c>
      <c r="D34" s="83">
        <v>42020</v>
      </c>
      <c r="E34" s="84">
        <f t="shared" si="0"/>
        <v>12536</v>
      </c>
      <c r="F34" s="62">
        <f t="shared" si="2"/>
        <v>1.298334126606378</v>
      </c>
      <c r="G34" s="62">
        <f t="shared" si="1"/>
        <v>0.001630116104069064</v>
      </c>
      <c r="H34" s="28"/>
      <c r="I34" s="28"/>
      <c r="J34" s="28"/>
      <c r="K34" s="28"/>
      <c r="L34" s="28"/>
      <c r="M34" s="28"/>
      <c r="N34" s="28"/>
      <c r="O34" s="28"/>
    </row>
    <row r="35" spans="1:15" ht="12.75">
      <c r="A35" s="24"/>
      <c r="B35" s="25" t="s">
        <v>31</v>
      </c>
      <c r="C35" s="34">
        <f>SUM(C15:C34)</f>
        <v>14684262</v>
      </c>
      <c r="D35" s="34">
        <f>SUM(D15:D34)</f>
        <v>14491001</v>
      </c>
      <c r="E35" s="34">
        <f>SUM(E15:E34)</f>
        <v>193261</v>
      </c>
      <c r="F35" s="32">
        <f>C35/D35</f>
        <v>1.0133366218110123</v>
      </c>
      <c r="G35" s="35"/>
      <c r="H35" s="28"/>
      <c r="I35" s="28"/>
      <c r="J35" s="28"/>
      <c r="K35" s="28"/>
      <c r="L35" s="28"/>
      <c r="M35" s="28"/>
      <c r="N35" s="28"/>
      <c r="O35" s="28"/>
    </row>
    <row r="36" spans="1:15" ht="12.75">
      <c r="A36" s="24"/>
      <c r="B36" s="25" t="s">
        <v>161</v>
      </c>
      <c r="C36" s="34">
        <f>C15</f>
        <v>1972625</v>
      </c>
      <c r="D36" s="34">
        <f>D15</f>
        <v>1726546</v>
      </c>
      <c r="E36" s="34">
        <f>E15</f>
        <v>246079</v>
      </c>
      <c r="F36" s="35"/>
      <c r="G36" s="35"/>
      <c r="H36" s="28"/>
      <c r="I36" s="28"/>
      <c r="J36" s="28"/>
      <c r="K36" s="28"/>
      <c r="L36" s="28"/>
      <c r="M36" s="28"/>
      <c r="N36" s="28"/>
      <c r="O36" s="28"/>
    </row>
    <row r="37" spans="1:15" ht="12.75">
      <c r="A37" s="24"/>
      <c r="B37" s="25" t="s">
        <v>162</v>
      </c>
      <c r="C37" s="34">
        <f>C35-C36</f>
        <v>12711637</v>
      </c>
      <c r="D37" s="34">
        <f>D35-D36</f>
        <v>12764455</v>
      </c>
      <c r="E37" s="34">
        <f>E35-E36</f>
        <v>-52818</v>
      </c>
      <c r="F37" s="36">
        <f>C37/D37</f>
        <v>0.995862103004006</v>
      </c>
      <c r="G37" s="35"/>
      <c r="H37" s="28"/>
      <c r="I37" s="28"/>
      <c r="J37" s="28"/>
      <c r="K37" s="28"/>
      <c r="L37" s="28"/>
      <c r="M37" s="28"/>
      <c r="N37" s="28"/>
      <c r="O37" s="28"/>
    </row>
    <row r="38" spans="1:15" ht="12.75">
      <c r="A38" s="24"/>
      <c r="B38" s="89"/>
      <c r="C38" s="90"/>
      <c r="D38" s="90"/>
      <c r="E38" s="90"/>
      <c r="F38" s="73"/>
      <c r="G38" s="35"/>
      <c r="H38" s="28"/>
      <c r="I38" s="28"/>
      <c r="J38" s="28"/>
      <c r="K38" s="28"/>
      <c r="L38" s="28"/>
      <c r="M38" s="28"/>
      <c r="N38" s="28"/>
      <c r="O38" s="28"/>
    </row>
    <row r="39" spans="1:15" ht="12.75">
      <c r="A39" s="24"/>
      <c r="B39" s="89"/>
      <c r="C39" s="90"/>
      <c r="D39" s="90"/>
      <c r="E39" s="90"/>
      <c r="F39" s="73"/>
      <c r="G39" s="35"/>
      <c r="H39" s="28"/>
      <c r="I39" s="28"/>
      <c r="J39" s="28"/>
      <c r="K39" s="28"/>
      <c r="L39" s="28"/>
      <c r="M39" s="28"/>
      <c r="N39" s="28"/>
      <c r="O39" s="28"/>
    </row>
    <row r="40" spans="1:15" ht="15.75" customHeight="1">
      <c r="A40" s="24"/>
      <c r="B40" s="89"/>
      <c r="C40" s="90"/>
      <c r="D40" s="90"/>
      <c r="E40" s="90"/>
      <c r="F40" s="73"/>
      <c r="G40" s="35"/>
      <c r="H40" s="28"/>
      <c r="I40" s="28"/>
      <c r="J40" s="28"/>
      <c r="K40" s="28"/>
      <c r="L40" s="28"/>
      <c r="M40" s="28"/>
      <c r="N40" s="28"/>
      <c r="O40" s="28"/>
    </row>
    <row r="41" spans="1:15" ht="15.75" customHeight="1">
      <c r="A41" s="24"/>
      <c r="B41" s="89"/>
      <c r="C41" s="90"/>
      <c r="D41" s="90"/>
      <c r="E41" s="90"/>
      <c r="F41" s="73"/>
      <c r="G41" s="35"/>
      <c r="H41" s="28"/>
      <c r="I41" s="28"/>
      <c r="J41" s="28"/>
      <c r="K41" s="28"/>
      <c r="L41" s="28"/>
      <c r="M41" s="28"/>
      <c r="N41" s="28"/>
      <c r="O41" s="28"/>
    </row>
    <row r="42" spans="1:15" ht="15.75" customHeight="1">
      <c r="A42" s="212" t="s">
        <v>71</v>
      </c>
      <c r="B42" s="212"/>
      <c r="C42" s="212"/>
      <c r="D42" s="212"/>
      <c r="E42" s="212"/>
      <c r="F42" s="212"/>
      <c r="G42" s="212"/>
      <c r="H42" s="212"/>
      <c r="I42" s="212"/>
      <c r="J42" s="212"/>
      <c r="K42" s="212"/>
      <c r="L42" s="212"/>
      <c r="M42" s="212"/>
      <c r="N42" s="212"/>
      <c r="O42" s="141"/>
    </row>
    <row r="43" spans="1:15" ht="15.75" customHeight="1">
      <c r="A43" s="212" t="str">
        <f>A2</f>
        <v>Case No. 2015-00418</v>
      </c>
      <c r="B43" s="212"/>
      <c r="C43" s="212"/>
      <c r="D43" s="212"/>
      <c r="E43" s="212"/>
      <c r="F43" s="212"/>
      <c r="G43" s="212"/>
      <c r="H43" s="212"/>
      <c r="I43" s="212"/>
      <c r="J43" s="212"/>
      <c r="K43" s="212"/>
      <c r="L43" s="212"/>
      <c r="M43" s="212"/>
      <c r="N43" s="212"/>
      <c r="O43" s="141"/>
    </row>
    <row r="44" spans="1:15" ht="15.75" customHeight="1">
      <c r="A44" s="212" t="s">
        <v>74</v>
      </c>
      <c r="B44" s="212"/>
      <c r="C44" s="212"/>
      <c r="D44" s="212"/>
      <c r="E44" s="212"/>
      <c r="F44" s="212"/>
      <c r="G44" s="212"/>
      <c r="H44" s="212"/>
      <c r="I44" s="212"/>
      <c r="J44" s="212"/>
      <c r="K44" s="212"/>
      <c r="L44" s="212"/>
      <c r="M44" s="212"/>
      <c r="N44" s="212"/>
      <c r="O44" s="141"/>
    </row>
    <row r="45" spans="4:5" ht="15.75" customHeight="1">
      <c r="D45" s="3" t="s">
        <v>1</v>
      </c>
      <c r="E45" s="99">
        <f>E4</f>
        <v>2013</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5" ht="15.75" customHeight="1">
      <c r="A52" s="8"/>
      <c r="B52" s="12"/>
      <c r="C52" s="12"/>
      <c r="D52" s="12"/>
      <c r="E52" s="12"/>
      <c r="F52" s="12"/>
      <c r="G52" s="12"/>
      <c r="H52" s="12" t="s">
        <v>8</v>
      </c>
      <c r="I52" s="12" t="s">
        <v>8</v>
      </c>
      <c r="J52" s="12"/>
      <c r="K52" s="12" t="s">
        <v>9</v>
      </c>
      <c r="L52" s="12" t="s">
        <v>9</v>
      </c>
      <c r="M52" s="12"/>
      <c r="N52" s="12"/>
      <c r="O52" s="59"/>
    </row>
    <row r="53" spans="1:15" ht="12.75">
      <c r="A53" s="9"/>
      <c r="B53" s="15"/>
      <c r="C53" s="15"/>
      <c r="D53" s="15" t="s">
        <v>12</v>
      </c>
      <c r="E53" s="15"/>
      <c r="F53" s="15"/>
      <c r="G53" s="15" t="s">
        <v>13</v>
      </c>
      <c r="H53" s="15" t="s">
        <v>14</v>
      </c>
      <c r="I53" s="15" t="s">
        <v>15</v>
      </c>
      <c r="J53" s="15"/>
      <c r="K53" s="15" t="s">
        <v>16</v>
      </c>
      <c r="L53" s="15" t="s">
        <v>16</v>
      </c>
      <c r="M53" s="15" t="s">
        <v>9</v>
      </c>
      <c r="N53" s="15" t="s">
        <v>9</v>
      </c>
      <c r="O53" s="59"/>
    </row>
    <row r="54" spans="1:15" ht="12.75">
      <c r="A54" s="9"/>
      <c r="B54" s="15"/>
      <c r="C54" s="15" t="s">
        <v>12</v>
      </c>
      <c r="D54" s="15" t="s">
        <v>16</v>
      </c>
      <c r="E54" s="15" t="s">
        <v>22</v>
      </c>
      <c r="F54" s="15" t="s">
        <v>22</v>
      </c>
      <c r="G54" s="15" t="s">
        <v>23</v>
      </c>
      <c r="H54" s="15" t="s">
        <v>24</v>
      </c>
      <c r="I54" s="15" t="s">
        <v>24</v>
      </c>
      <c r="J54" s="15"/>
      <c r="K54" s="15" t="s">
        <v>15</v>
      </c>
      <c r="L54" s="15" t="s">
        <v>15</v>
      </c>
      <c r="M54" s="15" t="s">
        <v>14</v>
      </c>
      <c r="N54" s="15" t="s">
        <v>14</v>
      </c>
      <c r="O54" s="59"/>
    </row>
    <row r="55" spans="1:15" ht="12.75">
      <c r="A55" s="17" t="s">
        <v>25</v>
      </c>
      <c r="B55" s="20" t="s">
        <v>26</v>
      </c>
      <c r="C55" s="125" t="s">
        <v>14</v>
      </c>
      <c r="D55" s="20" t="s">
        <v>15</v>
      </c>
      <c r="E55" s="20" t="s">
        <v>27</v>
      </c>
      <c r="F55" s="20" t="s">
        <v>13</v>
      </c>
      <c r="G55" s="20" t="s">
        <v>15</v>
      </c>
      <c r="H55" s="20" t="s">
        <v>28</v>
      </c>
      <c r="I55" s="20" t="s">
        <v>28</v>
      </c>
      <c r="J55" s="20" t="s">
        <v>22</v>
      </c>
      <c r="K55" s="20" t="s">
        <v>29</v>
      </c>
      <c r="L55" s="20" t="s">
        <v>30</v>
      </c>
      <c r="M55" s="20" t="s">
        <v>29</v>
      </c>
      <c r="N55" s="20" t="s">
        <v>30</v>
      </c>
      <c r="O55" s="59"/>
    </row>
    <row r="56" spans="1:15" ht="12.75">
      <c r="A56" s="50"/>
      <c r="B56" s="51" t="s">
        <v>17</v>
      </c>
      <c r="C56" s="52"/>
      <c r="D56" s="52"/>
      <c r="E56" s="52"/>
      <c r="F56" s="53"/>
      <c r="G56" s="53"/>
      <c r="H56" s="54"/>
      <c r="I56" s="54"/>
      <c r="J56" s="54"/>
      <c r="K56" s="54"/>
      <c r="L56" s="54"/>
      <c r="M56" s="54"/>
      <c r="N56" s="54"/>
      <c r="O56" s="155"/>
    </row>
    <row r="57" spans="1:15" ht="12.75">
      <c r="A57" s="157" t="s">
        <v>271</v>
      </c>
      <c r="B57" s="204" t="s">
        <v>221</v>
      </c>
      <c r="C57" s="84">
        <v>29379</v>
      </c>
      <c r="D57" s="84">
        <v>0</v>
      </c>
      <c r="E57" s="85">
        <f aca="true" t="shared" si="3" ref="E57:E65">C57-D57</f>
        <v>29379</v>
      </c>
      <c r="F57" s="30"/>
      <c r="G57" s="49">
        <f aca="true" t="shared" si="4" ref="G57:G69">D57/(D$35+D$70)</f>
        <v>0</v>
      </c>
      <c r="H57" s="29"/>
      <c r="I57" s="29"/>
      <c r="J57" s="38">
        <f aca="true" t="shared" si="5" ref="J57:J65">H57-I57</f>
        <v>0</v>
      </c>
      <c r="K57" s="42">
        <v>38838</v>
      </c>
      <c r="L57" s="40">
        <v>40513</v>
      </c>
      <c r="M57" s="40">
        <v>38838</v>
      </c>
      <c r="N57" s="46">
        <v>40962</v>
      </c>
      <c r="O57" s="156"/>
    </row>
    <row r="58" spans="1:15" ht="12.75">
      <c r="A58" s="142" t="s">
        <v>272</v>
      </c>
      <c r="B58" s="205" t="s">
        <v>273</v>
      </c>
      <c r="C58" s="84">
        <v>-1612868</v>
      </c>
      <c r="D58" s="84">
        <v>0</v>
      </c>
      <c r="E58" s="84">
        <f t="shared" si="3"/>
        <v>-1612868</v>
      </c>
      <c r="F58" s="30"/>
      <c r="G58" s="87">
        <f t="shared" si="4"/>
        <v>0</v>
      </c>
      <c r="H58" s="29">
        <v>1079811.12</v>
      </c>
      <c r="I58" s="29">
        <v>1147026</v>
      </c>
      <c r="J58" s="38">
        <f t="shared" si="5"/>
        <v>-67214.87999999989</v>
      </c>
      <c r="K58" s="40">
        <v>40210</v>
      </c>
      <c r="L58" s="40">
        <v>40452</v>
      </c>
      <c r="M58" s="40">
        <v>40422</v>
      </c>
      <c r="N58" s="46">
        <v>41298</v>
      </c>
      <c r="O58" s="156"/>
    </row>
    <row r="59" spans="1:15" ht="12.75">
      <c r="A59" s="142" t="s">
        <v>274</v>
      </c>
      <c r="B59" s="205" t="s">
        <v>275</v>
      </c>
      <c r="C59" s="84">
        <v>1284533</v>
      </c>
      <c r="D59" s="84">
        <v>0</v>
      </c>
      <c r="E59" s="84">
        <f t="shared" si="3"/>
        <v>1284533</v>
      </c>
      <c r="F59" s="30"/>
      <c r="G59" s="87">
        <f t="shared" si="4"/>
        <v>0</v>
      </c>
      <c r="H59" s="29"/>
      <c r="I59" s="29"/>
      <c r="J59" s="38">
        <f t="shared" si="5"/>
        <v>0</v>
      </c>
      <c r="K59" s="40">
        <v>40179</v>
      </c>
      <c r="L59" s="101">
        <v>42004</v>
      </c>
      <c r="M59" s="101">
        <v>40452</v>
      </c>
      <c r="N59" s="46"/>
      <c r="O59" s="156"/>
    </row>
    <row r="60" spans="1:15" ht="12.75">
      <c r="A60" s="142" t="s">
        <v>263</v>
      </c>
      <c r="B60" s="205" t="s">
        <v>276</v>
      </c>
      <c r="C60" s="84">
        <v>2570262</v>
      </c>
      <c r="D60" s="84">
        <v>0</v>
      </c>
      <c r="E60" s="84">
        <f t="shared" si="3"/>
        <v>2570262</v>
      </c>
      <c r="F60" s="30"/>
      <c r="G60" s="30">
        <f t="shared" si="4"/>
        <v>0</v>
      </c>
      <c r="H60" s="29">
        <v>3559485.24</v>
      </c>
      <c r="I60" s="29">
        <v>3545583.8</v>
      </c>
      <c r="J60" s="38">
        <f t="shared" si="5"/>
        <v>13901.44000000041</v>
      </c>
      <c r="K60" s="40">
        <v>40909</v>
      </c>
      <c r="L60" s="40">
        <v>42004</v>
      </c>
      <c r="M60" s="40">
        <v>41352</v>
      </c>
      <c r="N60" s="46">
        <v>41487</v>
      </c>
      <c r="O60" s="156"/>
    </row>
    <row r="61" spans="1:15" ht="12.75">
      <c r="A61" s="142" t="s">
        <v>277</v>
      </c>
      <c r="B61" s="205" t="s">
        <v>278</v>
      </c>
      <c r="C61" s="84">
        <v>0</v>
      </c>
      <c r="D61" s="84">
        <v>600000</v>
      </c>
      <c r="E61" s="84">
        <f t="shared" si="3"/>
        <v>-600000</v>
      </c>
      <c r="F61" s="30">
        <f aca="true" t="shared" si="6" ref="F58:F68">C61/D61</f>
        <v>0</v>
      </c>
      <c r="G61" s="30">
        <f t="shared" si="4"/>
        <v>0.023276288968144654</v>
      </c>
      <c r="H61" s="29"/>
      <c r="I61" s="29"/>
      <c r="J61" s="38">
        <f t="shared" si="5"/>
        <v>0</v>
      </c>
      <c r="K61" s="40">
        <v>40756</v>
      </c>
      <c r="L61" s="40">
        <v>40878</v>
      </c>
      <c r="M61" s="40" t="s">
        <v>137</v>
      </c>
      <c r="N61" s="46" t="s">
        <v>137</v>
      </c>
      <c r="O61" s="156"/>
    </row>
    <row r="62" spans="1:15" ht="12.75">
      <c r="A62" s="142" t="s">
        <v>262</v>
      </c>
      <c r="B62" s="205" t="s">
        <v>279</v>
      </c>
      <c r="C62" s="84">
        <v>38957</v>
      </c>
      <c r="D62" s="84">
        <v>0</v>
      </c>
      <c r="E62" s="84">
        <f t="shared" si="3"/>
        <v>38957</v>
      </c>
      <c r="F62" s="30"/>
      <c r="G62" s="30">
        <f t="shared" si="4"/>
        <v>0</v>
      </c>
      <c r="H62" s="29">
        <v>564633.81</v>
      </c>
      <c r="I62" s="29">
        <v>749989</v>
      </c>
      <c r="J62" s="38">
        <f t="shared" si="5"/>
        <v>-185355.18999999994</v>
      </c>
      <c r="K62" s="40">
        <v>40817</v>
      </c>
      <c r="L62" s="40">
        <v>41091</v>
      </c>
      <c r="M62" s="40">
        <v>40817</v>
      </c>
      <c r="N62" s="46">
        <v>41516</v>
      </c>
      <c r="O62" s="156"/>
    </row>
    <row r="63" spans="1:15" ht="12.75">
      <c r="A63" s="142" t="s">
        <v>280</v>
      </c>
      <c r="B63" s="205" t="s">
        <v>281</v>
      </c>
      <c r="C63" s="84">
        <v>54256</v>
      </c>
      <c r="D63" s="84">
        <v>0</v>
      </c>
      <c r="E63" s="84">
        <f t="shared" si="3"/>
        <v>54256</v>
      </c>
      <c r="F63" s="30"/>
      <c r="G63" s="30">
        <f t="shared" si="4"/>
        <v>0</v>
      </c>
      <c r="H63" s="29"/>
      <c r="I63" s="29"/>
      <c r="J63" s="38">
        <f t="shared" si="5"/>
        <v>0</v>
      </c>
      <c r="K63" s="40">
        <v>41275</v>
      </c>
      <c r="L63" s="40">
        <v>42735</v>
      </c>
      <c r="M63" s="40"/>
      <c r="N63" s="46"/>
      <c r="O63" s="156"/>
    </row>
    <row r="64" spans="1:15" ht="12.75">
      <c r="A64" s="142" t="s">
        <v>282</v>
      </c>
      <c r="B64" s="205" t="s">
        <v>283</v>
      </c>
      <c r="C64" s="84">
        <v>86925</v>
      </c>
      <c r="D64" s="84">
        <v>0</v>
      </c>
      <c r="E64" s="84">
        <f t="shared" si="3"/>
        <v>86925</v>
      </c>
      <c r="F64" s="30"/>
      <c r="G64" s="30">
        <f t="shared" si="4"/>
        <v>0</v>
      </c>
      <c r="H64" s="29"/>
      <c r="I64" s="29"/>
      <c r="J64" s="38">
        <f t="shared" si="5"/>
        <v>0</v>
      </c>
      <c r="K64" s="40">
        <v>41275</v>
      </c>
      <c r="L64" s="40">
        <v>42004</v>
      </c>
      <c r="M64" s="46"/>
      <c r="N64" s="46"/>
      <c r="O64" s="156"/>
    </row>
    <row r="65" spans="1:15" ht="12.75">
      <c r="A65" s="142" t="s">
        <v>284</v>
      </c>
      <c r="B65" s="205" t="s">
        <v>285</v>
      </c>
      <c r="C65" s="84">
        <v>291365</v>
      </c>
      <c r="D65" s="84">
        <v>0</v>
      </c>
      <c r="E65" s="84">
        <f t="shared" si="3"/>
        <v>291365</v>
      </c>
      <c r="F65" s="30"/>
      <c r="G65" s="30">
        <f t="shared" si="4"/>
        <v>0</v>
      </c>
      <c r="H65" s="29"/>
      <c r="I65" s="29"/>
      <c r="J65" s="38">
        <f t="shared" si="5"/>
        <v>0</v>
      </c>
      <c r="K65" s="40">
        <v>41382</v>
      </c>
      <c r="L65" s="40">
        <v>41639</v>
      </c>
      <c r="M65" s="40">
        <v>41394</v>
      </c>
      <c r="N65" s="46"/>
      <c r="O65" s="156"/>
    </row>
    <row r="66" spans="1:15" ht="12.75">
      <c r="A66" s="142" t="s">
        <v>266</v>
      </c>
      <c r="B66" s="205" t="s">
        <v>239</v>
      </c>
      <c r="C66" s="84">
        <v>10920412</v>
      </c>
      <c r="D66" s="84">
        <v>8959758</v>
      </c>
      <c r="E66" s="84">
        <f>C66-D66</f>
        <v>1960654</v>
      </c>
      <c r="F66" s="30">
        <f t="shared" si="6"/>
        <v>1.218828901405596</v>
      </c>
      <c r="G66" s="30">
        <f t="shared" si="4"/>
        <v>0.34758319382107633</v>
      </c>
      <c r="H66" s="29"/>
      <c r="I66" s="29"/>
      <c r="J66" s="38"/>
      <c r="K66" s="40">
        <v>40575</v>
      </c>
      <c r="L66" s="46">
        <v>41698</v>
      </c>
      <c r="M66" s="46">
        <v>41352</v>
      </c>
      <c r="N66" s="46"/>
      <c r="O66" s="156"/>
    </row>
    <row r="67" spans="1:15" ht="12.75">
      <c r="A67" s="157" t="s">
        <v>286</v>
      </c>
      <c r="B67" s="112" t="s">
        <v>241</v>
      </c>
      <c r="C67" s="84">
        <v>2355991</v>
      </c>
      <c r="D67" s="84">
        <v>1694289</v>
      </c>
      <c r="E67" s="84">
        <f>C67-D67</f>
        <v>661702</v>
      </c>
      <c r="F67" s="30">
        <f t="shared" si="6"/>
        <v>1.3905484837592643</v>
      </c>
      <c r="G67" s="30">
        <f t="shared" si="4"/>
        <v>0.06572793393258139</v>
      </c>
      <c r="H67" s="29"/>
      <c r="I67" s="29"/>
      <c r="J67" s="38"/>
      <c r="K67" s="40">
        <v>40179</v>
      </c>
      <c r="L67" s="40">
        <v>41974</v>
      </c>
      <c r="M67" s="40">
        <v>40210</v>
      </c>
      <c r="N67" s="46"/>
      <c r="O67" s="156"/>
    </row>
    <row r="68" spans="1:15" ht="12.75">
      <c r="A68" s="157" t="s">
        <v>287</v>
      </c>
      <c r="B68" s="112" t="s">
        <v>242</v>
      </c>
      <c r="C68" s="84">
        <v>145601</v>
      </c>
      <c r="D68" s="84">
        <v>32257</v>
      </c>
      <c r="E68" s="84">
        <f>C68-D68</f>
        <v>113344</v>
      </c>
      <c r="F68" s="30">
        <f t="shared" si="6"/>
        <v>4.5137799547385065</v>
      </c>
      <c r="G68" s="30">
        <f t="shared" si="4"/>
        <v>0.0012513720887424033</v>
      </c>
      <c r="H68" s="29"/>
      <c r="I68" s="29"/>
      <c r="J68" s="38"/>
      <c r="K68" s="40">
        <v>40787</v>
      </c>
      <c r="L68" s="40">
        <v>41974</v>
      </c>
      <c r="M68" s="40">
        <v>40817</v>
      </c>
      <c r="N68" s="46" t="s">
        <v>137</v>
      </c>
      <c r="O68" s="156"/>
    </row>
    <row r="69" spans="1:15" ht="12.75">
      <c r="A69" s="203" t="s">
        <v>288</v>
      </c>
      <c r="B69" s="121" t="s">
        <v>235</v>
      </c>
      <c r="C69" s="84">
        <v>-5255</v>
      </c>
      <c r="D69" s="84"/>
      <c r="E69" s="84">
        <f>C69-D69</f>
        <v>-5255</v>
      </c>
      <c r="F69" s="30"/>
      <c r="G69" s="62">
        <f t="shared" si="4"/>
        <v>0</v>
      </c>
      <c r="H69" s="31"/>
      <c r="I69" s="31"/>
      <c r="J69" s="39"/>
      <c r="K69" s="43">
        <v>39814</v>
      </c>
      <c r="L69" s="43" t="s">
        <v>137</v>
      </c>
      <c r="M69" s="43" t="s">
        <v>137</v>
      </c>
      <c r="N69" s="44" t="s">
        <v>137</v>
      </c>
      <c r="O69" s="155"/>
    </row>
    <row r="70" spans="3:15" ht="12">
      <c r="C70" s="68">
        <f>SUM(C56:C69)</f>
        <v>16159558</v>
      </c>
      <c r="D70" s="34">
        <f>SUM(D56:D69)</f>
        <v>11286304</v>
      </c>
      <c r="E70" s="34">
        <f>SUM(E56:E69)</f>
        <v>4873254</v>
      </c>
      <c r="F70" s="36">
        <f>C70/D70</f>
        <v>1.4317847543358746</v>
      </c>
      <c r="G70" s="35"/>
      <c r="H70" s="28"/>
      <c r="I70" s="28"/>
      <c r="J70" s="28"/>
      <c r="K70" s="28"/>
      <c r="L70" s="28"/>
      <c r="M70" s="28"/>
      <c r="N70" s="28"/>
      <c r="O70" s="28"/>
    </row>
    <row r="72" ht="12">
      <c r="C72" s="122"/>
    </row>
    <row r="73" ht="12">
      <c r="C73" s="126"/>
    </row>
    <row r="75" ht="12">
      <c r="C75" s="124"/>
    </row>
    <row r="77" ht="12">
      <c r="C77" s="124"/>
    </row>
  </sheetData>
  <sheetProtection/>
  <mergeCells count="15">
    <mergeCell ref="X15:X17"/>
    <mergeCell ref="Y15:Y17"/>
    <mergeCell ref="Q15:Q17"/>
    <mergeCell ref="R15:R17"/>
    <mergeCell ref="S15:S17"/>
    <mergeCell ref="T15:T17"/>
    <mergeCell ref="U15:U17"/>
    <mergeCell ref="V15:V17"/>
    <mergeCell ref="W15:W17"/>
    <mergeCell ref="A1:N1"/>
    <mergeCell ref="A2:N2"/>
    <mergeCell ref="A3:N3"/>
    <mergeCell ref="A42:N42"/>
    <mergeCell ref="A43:N43"/>
    <mergeCell ref="A44:N44"/>
  </mergeCells>
  <printOptions/>
  <pageMargins left="0.7" right="0.7" top="0.75" bottom="0.75" header="0.3" footer="0.3"/>
  <pageSetup horizontalDpi="600" verticalDpi="600" orientation="landscape" scale="67" r:id="rId1"/>
</worksheet>
</file>

<file path=xl/worksheets/sheet4.xml><?xml version="1.0" encoding="utf-8"?>
<worksheet xmlns="http://schemas.openxmlformats.org/spreadsheetml/2006/main" xmlns:r="http://schemas.openxmlformats.org/officeDocument/2006/relationships">
  <dimension ref="A1:Z80"/>
  <sheetViews>
    <sheetView tabSelected="1" view="pageBreakPreview" zoomScale="110" zoomScaleSheetLayoutView="110" zoomScalePageLayoutView="0" workbookViewId="0" topLeftCell="A2">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10.16015625" style="1" customWidth="1"/>
    <col min="17" max="17" width="57.5" style="1" customWidth="1"/>
    <col min="18" max="18" width="84.16015625" style="13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2012</v>
      </c>
      <c r="W4" s="2"/>
    </row>
    <row r="5" spans="1:12" ht="12">
      <c r="A5" s="2" t="s">
        <v>2</v>
      </c>
      <c r="L5" s="2" t="s">
        <v>73</v>
      </c>
    </row>
    <row r="6" spans="1:16" ht="15.75">
      <c r="A6" s="2" t="s">
        <v>3</v>
      </c>
      <c r="L6" s="2"/>
      <c r="P6" s="5" t="s">
        <v>55</v>
      </c>
    </row>
    <row r="7" spans="12:21" ht="19.5">
      <c r="L7" s="2" t="s">
        <v>4</v>
      </c>
      <c r="P7" s="6"/>
      <c r="U7" s="5" t="s">
        <v>318</v>
      </c>
    </row>
    <row r="8" spans="12:13" ht="12">
      <c r="L8" s="4" t="s">
        <v>312</v>
      </c>
      <c r="M8" s="4"/>
    </row>
    <row r="9" spans="17:24" ht="12.75">
      <c r="Q9" s="7"/>
      <c r="R9" s="132"/>
      <c r="S9" s="7"/>
      <c r="T9" s="8" t="s">
        <v>5</v>
      </c>
      <c r="U9" s="7"/>
      <c r="V9" s="7"/>
      <c r="W9" s="7"/>
      <c r="X9" s="7"/>
    </row>
    <row r="10" spans="17:24" ht="12.75">
      <c r="Q10" s="7"/>
      <c r="R10" s="132"/>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132"/>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33" t="s">
        <v>18</v>
      </c>
      <c r="S12" s="17" t="s">
        <v>19</v>
      </c>
      <c r="T12" s="17" t="s">
        <v>19</v>
      </c>
      <c r="U12" s="16" t="s">
        <v>20</v>
      </c>
      <c r="V12" s="16" t="s">
        <v>21</v>
      </c>
      <c r="W12" s="16" t="s">
        <v>20</v>
      </c>
      <c r="X12" s="16" t="s">
        <v>21</v>
      </c>
    </row>
    <row r="13" spans="1:26" ht="25.5">
      <c r="A13" s="9"/>
      <c r="B13" s="15"/>
      <c r="C13" s="15" t="s">
        <v>12</v>
      </c>
      <c r="D13" s="15" t="s">
        <v>16</v>
      </c>
      <c r="E13" s="15" t="s">
        <v>22</v>
      </c>
      <c r="F13" s="15" t="s">
        <v>22</v>
      </c>
      <c r="G13" s="15" t="s">
        <v>23</v>
      </c>
      <c r="H13" s="15" t="s">
        <v>24</v>
      </c>
      <c r="I13" s="15" t="s">
        <v>24</v>
      </c>
      <c r="J13" s="15"/>
      <c r="K13" s="15" t="s">
        <v>15</v>
      </c>
      <c r="L13" s="15" t="s">
        <v>15</v>
      </c>
      <c r="M13" s="15" t="s">
        <v>14</v>
      </c>
      <c r="N13" s="15" t="s">
        <v>14</v>
      </c>
      <c r="P13" s="150" t="s">
        <v>271</v>
      </c>
      <c r="Q13" s="151" t="s">
        <v>221</v>
      </c>
      <c r="R13" s="149" t="s">
        <v>337</v>
      </c>
      <c r="S13" s="146">
        <v>164186132.26</v>
      </c>
      <c r="T13" s="146">
        <v>162297120</v>
      </c>
      <c r="U13" s="147">
        <v>38838</v>
      </c>
      <c r="V13" s="147">
        <v>40513</v>
      </c>
      <c r="W13" s="147">
        <v>38838</v>
      </c>
      <c r="X13" s="148">
        <v>40962</v>
      </c>
      <c r="Y13" s="78"/>
      <c r="Z13" s="78"/>
    </row>
    <row r="14" spans="1:24"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206"/>
      <c r="Q14" s="207"/>
      <c r="R14" s="208"/>
      <c r="S14" s="188"/>
      <c r="T14" s="188"/>
      <c r="U14" s="189"/>
      <c r="V14" s="189"/>
      <c r="W14" s="189"/>
      <c r="X14" s="184"/>
    </row>
    <row r="15" spans="1:24" ht="12.75">
      <c r="A15" s="9" t="s">
        <v>148</v>
      </c>
      <c r="B15" s="14" t="s">
        <v>79</v>
      </c>
      <c r="C15" s="82">
        <v>2252402</v>
      </c>
      <c r="D15" s="82">
        <v>1600000</v>
      </c>
      <c r="E15" s="84">
        <f aca="true" t="shared" si="0" ref="E15:E34">C15-D15</f>
        <v>652402</v>
      </c>
      <c r="F15" s="26">
        <f>C15/D15</f>
        <v>1.40775125</v>
      </c>
      <c r="G15" s="27">
        <f aca="true" t="shared" si="1" ref="G15:G34">D15/(D$35+D$73)</f>
        <v>0.0610653553492259</v>
      </c>
      <c r="H15" s="28"/>
      <c r="I15" s="28"/>
      <c r="J15" s="28"/>
      <c r="K15" s="28"/>
      <c r="L15" s="28"/>
      <c r="M15" s="28"/>
      <c r="N15" s="28"/>
      <c r="P15" s="206"/>
      <c r="Q15" s="207"/>
      <c r="R15" s="208"/>
      <c r="S15" s="188"/>
      <c r="T15" s="188"/>
      <c r="U15" s="209"/>
      <c r="V15" s="209"/>
      <c r="W15" s="209"/>
      <c r="X15" s="210"/>
    </row>
    <row r="16" spans="1:24" ht="12.75">
      <c r="A16" s="9" t="s">
        <v>38</v>
      </c>
      <c r="B16" s="14" t="s">
        <v>163</v>
      </c>
      <c r="C16" s="82">
        <v>52013</v>
      </c>
      <c r="D16" s="82">
        <v>500000</v>
      </c>
      <c r="E16" s="84">
        <f t="shared" si="0"/>
        <v>-447987</v>
      </c>
      <c r="F16" s="26">
        <f aca="true" t="shared" si="2" ref="F16:F34">C16/D16</f>
        <v>0.104026</v>
      </c>
      <c r="G16" s="30">
        <f t="shared" si="1"/>
        <v>0.019082923546633095</v>
      </c>
      <c r="H16" s="28"/>
      <c r="I16" s="28"/>
      <c r="J16" s="28"/>
      <c r="K16" s="28"/>
      <c r="L16" s="28"/>
      <c r="M16" s="28"/>
      <c r="N16" s="28"/>
      <c r="P16" s="104"/>
      <c r="Q16" s="107"/>
      <c r="R16" s="135"/>
      <c r="S16" s="109"/>
      <c r="T16" s="109"/>
      <c r="U16" s="110"/>
      <c r="V16" s="110"/>
      <c r="W16" s="110"/>
      <c r="X16" s="111"/>
    </row>
    <row r="17" spans="1:24" ht="12.75">
      <c r="A17" s="9" t="s">
        <v>39</v>
      </c>
      <c r="B17" s="14" t="s">
        <v>164</v>
      </c>
      <c r="C17" s="82">
        <v>673049</v>
      </c>
      <c r="D17" s="82">
        <v>1015300</v>
      </c>
      <c r="E17" s="84">
        <f t="shared" si="0"/>
        <v>-342251</v>
      </c>
      <c r="F17" s="26">
        <f t="shared" si="2"/>
        <v>0.6629065300896286</v>
      </c>
      <c r="G17" s="30">
        <f t="shared" si="1"/>
        <v>0.03874978455379316</v>
      </c>
      <c r="H17" s="28"/>
      <c r="I17" s="28"/>
      <c r="J17" s="28"/>
      <c r="K17" s="28"/>
      <c r="L17" s="28"/>
      <c r="M17" s="28"/>
      <c r="N17" s="28"/>
      <c r="P17" s="59"/>
      <c r="Q17" s="17" t="s">
        <v>32</v>
      </c>
      <c r="R17" s="136"/>
      <c r="S17" s="55">
        <f>SUM(S13:S16)</f>
        <v>164186132.26</v>
      </c>
      <c r="T17" s="55">
        <f>SUM(T13:T16)</f>
        <v>162297120</v>
      </c>
      <c r="U17" s="60"/>
      <c r="V17" s="60"/>
      <c r="W17" s="60"/>
      <c r="X17" s="60"/>
    </row>
    <row r="18" spans="1:24" ht="12.75">
      <c r="A18" s="9" t="s">
        <v>40</v>
      </c>
      <c r="B18" s="14" t="s">
        <v>165</v>
      </c>
      <c r="C18" s="82">
        <v>372392</v>
      </c>
      <c r="D18" s="82">
        <v>239400</v>
      </c>
      <c r="E18" s="84">
        <f t="shared" si="0"/>
        <v>132992</v>
      </c>
      <c r="F18" s="26">
        <f t="shared" si="2"/>
        <v>1.5555221386800333</v>
      </c>
      <c r="G18" s="30">
        <f t="shared" si="1"/>
        <v>0.009136903794127925</v>
      </c>
      <c r="H18" s="28"/>
      <c r="I18" s="28"/>
      <c r="J18" s="28"/>
      <c r="K18" s="28"/>
      <c r="L18" s="28"/>
      <c r="M18" s="28"/>
      <c r="N18" s="28"/>
      <c r="P18" s="59"/>
      <c r="Q18" s="59"/>
      <c r="R18" s="137"/>
      <c r="S18" s="80"/>
      <c r="T18" s="80"/>
      <c r="U18" s="60"/>
      <c r="V18" s="60"/>
      <c r="W18" s="60"/>
      <c r="X18" s="60"/>
    </row>
    <row r="19" spans="1:24" ht="12.75">
      <c r="A19" s="9" t="s">
        <v>149</v>
      </c>
      <c r="B19" s="14" t="s">
        <v>166</v>
      </c>
      <c r="C19" s="82">
        <v>-75499</v>
      </c>
      <c r="D19" s="82">
        <v>1050300</v>
      </c>
      <c r="E19" s="84">
        <f t="shared" si="0"/>
        <v>-1125799</v>
      </c>
      <c r="F19" s="26">
        <f t="shared" si="2"/>
        <v>-0.07188327144625345</v>
      </c>
      <c r="G19" s="30">
        <f t="shared" si="1"/>
        <v>0.04008558920205747</v>
      </c>
      <c r="H19" s="28"/>
      <c r="I19" s="28"/>
      <c r="J19" s="28"/>
      <c r="K19" s="28"/>
      <c r="L19" s="28"/>
      <c r="M19" s="28"/>
      <c r="N19" s="28"/>
      <c r="P19" s="59"/>
      <c r="Q19" s="59"/>
      <c r="R19" s="137"/>
      <c r="S19" s="80"/>
      <c r="T19" s="80"/>
      <c r="U19" s="60"/>
      <c r="V19" s="60"/>
      <c r="W19" s="60"/>
      <c r="X19" s="60"/>
    </row>
    <row r="20" spans="1:24" ht="12.75">
      <c r="A20" s="9" t="s">
        <v>41</v>
      </c>
      <c r="B20" s="14" t="s">
        <v>167</v>
      </c>
      <c r="C20" s="82">
        <v>93539</v>
      </c>
      <c r="D20" s="82">
        <v>210000</v>
      </c>
      <c r="E20" s="84">
        <f t="shared" si="0"/>
        <v>-116461</v>
      </c>
      <c r="F20" s="26">
        <f t="shared" si="2"/>
        <v>0.4454238095238095</v>
      </c>
      <c r="G20" s="30">
        <f t="shared" si="1"/>
        <v>0.008014827889585898</v>
      </c>
      <c r="H20" s="28"/>
      <c r="I20" s="28"/>
      <c r="J20" s="28"/>
      <c r="K20" s="28"/>
      <c r="L20" s="28"/>
      <c r="M20" s="28"/>
      <c r="N20" s="28"/>
      <c r="P20" s="59"/>
      <c r="Q20" s="59"/>
      <c r="R20" s="137"/>
      <c r="S20" s="80"/>
      <c r="T20" s="80"/>
      <c r="U20" s="60"/>
      <c r="V20" s="60"/>
      <c r="W20" s="60"/>
      <c r="X20" s="60"/>
    </row>
    <row r="21" spans="1:24" ht="12.75">
      <c r="A21" s="9" t="s">
        <v>42</v>
      </c>
      <c r="B21" s="14" t="s">
        <v>168</v>
      </c>
      <c r="C21" s="82">
        <v>229888</v>
      </c>
      <c r="D21" s="82">
        <v>205000</v>
      </c>
      <c r="E21" s="84">
        <f t="shared" si="0"/>
        <v>24888</v>
      </c>
      <c r="F21" s="26">
        <f t="shared" si="2"/>
        <v>1.1214048780487804</v>
      </c>
      <c r="G21" s="30">
        <f t="shared" si="1"/>
        <v>0.007823998654119568</v>
      </c>
      <c r="H21" s="28"/>
      <c r="I21" s="28"/>
      <c r="J21" s="28"/>
      <c r="K21" s="28"/>
      <c r="L21" s="28"/>
      <c r="M21" s="28"/>
      <c r="N21" s="28"/>
      <c r="P21" s="59"/>
      <c r="Q21" s="59"/>
      <c r="R21" s="137"/>
      <c r="S21" s="80"/>
      <c r="T21" s="80"/>
      <c r="U21" s="60"/>
      <c r="V21" s="60"/>
      <c r="W21" s="60"/>
      <c r="X21" s="60"/>
    </row>
    <row r="22" spans="1:24" ht="12.75">
      <c r="A22" s="9" t="s">
        <v>43</v>
      </c>
      <c r="B22" s="14" t="s">
        <v>169</v>
      </c>
      <c r="C22" s="82">
        <v>910629</v>
      </c>
      <c r="D22" s="82">
        <v>1079580</v>
      </c>
      <c r="E22" s="84">
        <f t="shared" si="0"/>
        <v>-168951</v>
      </c>
      <c r="F22" s="26">
        <f t="shared" si="2"/>
        <v>0.843503028955705</v>
      </c>
      <c r="G22" s="30">
        <f t="shared" si="1"/>
        <v>0.04120308520494831</v>
      </c>
      <c r="H22" s="28"/>
      <c r="I22" s="28"/>
      <c r="J22" s="28"/>
      <c r="K22" s="28"/>
      <c r="L22" s="28"/>
      <c r="M22" s="28"/>
      <c r="N22" s="28"/>
      <c r="P22" s="59"/>
      <c r="Q22" s="59"/>
      <c r="R22" s="137"/>
      <c r="S22" s="80"/>
      <c r="T22" s="80"/>
      <c r="U22" s="60"/>
      <c r="V22" s="60"/>
      <c r="W22" s="60"/>
      <c r="X22" s="60"/>
    </row>
    <row r="23" spans="1:24" ht="12.75">
      <c r="A23" s="9" t="s">
        <v>44</v>
      </c>
      <c r="B23" s="14" t="s">
        <v>170</v>
      </c>
      <c r="C23" s="82">
        <v>449290</v>
      </c>
      <c r="D23" s="82">
        <v>1605000</v>
      </c>
      <c r="E23" s="84">
        <f t="shared" si="0"/>
        <v>-1155710</v>
      </c>
      <c r="F23" s="26">
        <f t="shared" si="2"/>
        <v>0.2799314641744548</v>
      </c>
      <c r="G23" s="30">
        <f t="shared" si="1"/>
        <v>0.06125618458469223</v>
      </c>
      <c r="H23" s="28"/>
      <c r="I23" s="28"/>
      <c r="J23" s="28"/>
      <c r="K23" s="28"/>
      <c r="L23" s="28"/>
      <c r="M23" s="28"/>
      <c r="N23" s="28"/>
      <c r="P23" s="59"/>
      <c r="Q23" s="59"/>
      <c r="R23" s="137"/>
      <c r="S23" s="80"/>
      <c r="T23" s="80"/>
      <c r="U23" s="60"/>
      <c r="V23" s="60"/>
      <c r="W23" s="60"/>
      <c r="X23" s="60"/>
    </row>
    <row r="24" spans="1:24" ht="12.75">
      <c r="A24" s="9" t="s">
        <v>151</v>
      </c>
      <c r="B24" s="14" t="s">
        <v>87</v>
      </c>
      <c r="C24" s="82">
        <v>894302</v>
      </c>
      <c r="D24" s="82">
        <v>1200000</v>
      </c>
      <c r="E24" s="84">
        <f t="shared" si="0"/>
        <v>-305698</v>
      </c>
      <c r="F24" s="26">
        <f t="shared" si="2"/>
        <v>0.7452516666666666</v>
      </c>
      <c r="G24" s="30">
        <f t="shared" si="1"/>
        <v>0.04579901651191942</v>
      </c>
      <c r="H24" s="28"/>
      <c r="I24" s="28"/>
      <c r="J24" s="28"/>
      <c r="K24" s="28"/>
      <c r="L24" s="28"/>
      <c r="M24" s="28"/>
      <c r="N24" s="28"/>
      <c r="P24" s="59"/>
      <c r="Q24" s="59"/>
      <c r="R24" s="137"/>
      <c r="S24" s="80"/>
      <c r="T24" s="80"/>
      <c r="U24" s="60"/>
      <c r="V24" s="60"/>
      <c r="W24" s="60"/>
      <c r="X24" s="60"/>
    </row>
    <row r="25" spans="1:24" ht="12.75">
      <c r="A25" s="9" t="s">
        <v>150</v>
      </c>
      <c r="B25" s="14" t="s">
        <v>171</v>
      </c>
      <c r="C25" s="82">
        <v>3601691</v>
      </c>
      <c r="D25" s="82">
        <v>2050000</v>
      </c>
      <c r="E25" s="84">
        <f t="shared" si="0"/>
        <v>1551691</v>
      </c>
      <c r="F25" s="26">
        <f t="shared" si="2"/>
        <v>1.7569224390243903</v>
      </c>
      <c r="G25" s="30">
        <f t="shared" si="1"/>
        <v>0.07823998654119568</v>
      </c>
      <c r="H25" s="28"/>
      <c r="I25" s="28"/>
      <c r="J25" s="28"/>
      <c r="K25" s="28"/>
      <c r="L25" s="28"/>
      <c r="M25" s="28"/>
      <c r="N25" s="28"/>
      <c r="P25" s="59"/>
      <c r="Q25" s="59"/>
      <c r="R25" s="137"/>
      <c r="S25" s="80"/>
      <c r="T25" s="80"/>
      <c r="U25" s="60"/>
      <c r="V25" s="60"/>
      <c r="W25" s="60"/>
      <c r="X25" s="60"/>
    </row>
    <row r="26" spans="1:24" ht="12.75">
      <c r="A26" s="9" t="s">
        <v>152</v>
      </c>
      <c r="B26" s="14" t="s">
        <v>172</v>
      </c>
      <c r="C26" s="82">
        <v>712828</v>
      </c>
      <c r="D26" s="82">
        <v>265850</v>
      </c>
      <c r="E26" s="84">
        <f t="shared" si="0"/>
        <v>446978</v>
      </c>
      <c r="F26" s="26">
        <f t="shared" si="2"/>
        <v>2.681316531878879</v>
      </c>
      <c r="G26" s="30">
        <f t="shared" si="1"/>
        <v>0.010146390449744816</v>
      </c>
      <c r="H26" s="28"/>
      <c r="I26" s="28"/>
      <c r="J26" s="28"/>
      <c r="K26" s="28"/>
      <c r="L26" s="28"/>
      <c r="M26" s="28"/>
      <c r="N26" s="28"/>
      <c r="P26" s="59"/>
      <c r="Q26" s="59"/>
      <c r="R26" s="137"/>
      <c r="S26" s="80"/>
      <c r="T26" s="80"/>
      <c r="U26" s="60"/>
      <c r="V26" s="60"/>
      <c r="W26" s="60"/>
      <c r="X26" s="60"/>
    </row>
    <row r="27" spans="1:24" ht="12.75">
      <c r="A27" s="9" t="s">
        <v>153</v>
      </c>
      <c r="B27" s="14" t="s">
        <v>173</v>
      </c>
      <c r="C27" s="82">
        <v>1029901</v>
      </c>
      <c r="D27" s="82">
        <v>659025</v>
      </c>
      <c r="E27" s="84">
        <f t="shared" si="0"/>
        <v>370876</v>
      </c>
      <c r="F27" s="26">
        <f t="shared" si="2"/>
        <v>1.5627646902621297</v>
      </c>
      <c r="G27" s="30">
        <f t="shared" si="1"/>
        <v>0.025152247380639748</v>
      </c>
      <c r="H27" s="28"/>
      <c r="I27" s="28"/>
      <c r="J27" s="28"/>
      <c r="K27" s="28"/>
      <c r="L27" s="28"/>
      <c r="M27" s="28"/>
      <c r="N27" s="28"/>
      <c r="P27" s="59"/>
      <c r="Q27" s="59"/>
      <c r="R27" s="137"/>
      <c r="S27" s="80"/>
      <c r="T27" s="80"/>
      <c r="U27" s="60"/>
      <c r="V27" s="60"/>
      <c r="W27" s="60"/>
      <c r="X27" s="60"/>
    </row>
    <row r="28" spans="1:24" ht="12.75">
      <c r="A28" s="9" t="s">
        <v>154</v>
      </c>
      <c r="B28" s="81" t="s">
        <v>174</v>
      </c>
      <c r="C28" s="82">
        <v>21266</v>
      </c>
      <c r="D28" s="82">
        <v>20000</v>
      </c>
      <c r="E28" s="84">
        <f t="shared" si="0"/>
        <v>1266</v>
      </c>
      <c r="F28" s="26">
        <f t="shared" si="2"/>
        <v>1.0633</v>
      </c>
      <c r="G28" s="30">
        <f t="shared" si="1"/>
        <v>0.0007633169418653237</v>
      </c>
      <c r="H28" s="28"/>
      <c r="I28" s="28"/>
      <c r="J28" s="28"/>
      <c r="K28" s="28"/>
      <c r="L28" s="28"/>
      <c r="M28" s="28"/>
      <c r="N28" s="28"/>
      <c r="P28" s="59"/>
      <c r="U28" s="60"/>
      <c r="V28" s="60"/>
      <c r="W28" s="60"/>
      <c r="X28" s="60"/>
    </row>
    <row r="29" spans="1:24" ht="12.75">
      <c r="A29" s="9" t="s">
        <v>155</v>
      </c>
      <c r="B29" s="81" t="s">
        <v>89</v>
      </c>
      <c r="C29" s="82">
        <v>465392</v>
      </c>
      <c r="D29" s="82">
        <v>80000</v>
      </c>
      <c r="E29" s="84">
        <f t="shared" si="0"/>
        <v>385392</v>
      </c>
      <c r="F29" s="26">
        <f t="shared" si="2"/>
        <v>5.8174</v>
      </c>
      <c r="G29" s="30">
        <f t="shared" si="1"/>
        <v>0.0030532677674612947</v>
      </c>
      <c r="H29" s="28"/>
      <c r="I29" s="28"/>
      <c r="J29" s="28"/>
      <c r="K29" s="28"/>
      <c r="L29" s="28"/>
      <c r="M29" s="28"/>
      <c r="N29" s="28"/>
      <c r="P29" s="59"/>
      <c r="U29" s="60"/>
      <c r="V29" s="60"/>
      <c r="W29" s="60"/>
      <c r="X29" s="60"/>
    </row>
    <row r="30" spans="1:24" ht="12.75">
      <c r="A30" s="9" t="s">
        <v>156</v>
      </c>
      <c r="B30" s="81" t="s">
        <v>90</v>
      </c>
      <c r="C30" s="82">
        <v>925249</v>
      </c>
      <c r="D30" s="82">
        <v>500000</v>
      </c>
      <c r="E30" s="84">
        <f t="shared" si="0"/>
        <v>425249</v>
      </c>
      <c r="F30" s="26">
        <f t="shared" si="2"/>
        <v>1.850498</v>
      </c>
      <c r="G30" s="30">
        <f t="shared" si="1"/>
        <v>0.019082923546633095</v>
      </c>
      <c r="H30" s="28"/>
      <c r="I30" s="28"/>
      <c r="J30" s="28"/>
      <c r="K30" s="28"/>
      <c r="L30" s="28"/>
      <c r="M30" s="28"/>
      <c r="N30" s="28"/>
      <c r="P30" s="59"/>
      <c r="U30" s="60"/>
      <c r="V30" s="60"/>
      <c r="W30" s="60"/>
      <c r="X30" s="60"/>
    </row>
    <row r="31" spans="1:24" ht="12.75">
      <c r="A31" s="9" t="s">
        <v>157</v>
      </c>
      <c r="B31" s="81" t="s">
        <v>91</v>
      </c>
      <c r="C31" s="82">
        <v>243251</v>
      </c>
      <c r="D31" s="82">
        <v>220500</v>
      </c>
      <c r="E31" s="84">
        <f t="shared" si="0"/>
        <v>22751</v>
      </c>
      <c r="F31" s="26">
        <f t="shared" si="2"/>
        <v>1.1031791383219955</v>
      </c>
      <c r="G31" s="30">
        <f t="shared" si="1"/>
        <v>0.008415569284065194</v>
      </c>
      <c r="H31" s="28"/>
      <c r="I31" s="28"/>
      <c r="J31" s="28"/>
      <c r="K31" s="28"/>
      <c r="L31" s="28"/>
      <c r="M31" s="28"/>
      <c r="N31" s="28"/>
      <c r="P31" s="59"/>
      <c r="U31" s="60"/>
      <c r="V31" s="60"/>
      <c r="W31" s="60"/>
      <c r="X31" s="60"/>
    </row>
    <row r="32" spans="1:24" ht="12.75" customHeight="1">
      <c r="A32" s="9" t="s">
        <v>158</v>
      </c>
      <c r="B32" s="81" t="s">
        <v>175</v>
      </c>
      <c r="C32" s="82">
        <v>1962058</v>
      </c>
      <c r="D32" s="82">
        <v>1095000</v>
      </c>
      <c r="E32" s="84">
        <f t="shared" si="0"/>
        <v>867058</v>
      </c>
      <c r="F32" s="26">
        <f t="shared" si="2"/>
        <v>1.791833789954338</v>
      </c>
      <c r="G32" s="30">
        <f t="shared" si="1"/>
        <v>0.041791602567126475</v>
      </c>
      <c r="H32" s="28"/>
      <c r="I32" s="28"/>
      <c r="J32" s="28"/>
      <c r="K32" s="28"/>
      <c r="L32" s="28"/>
      <c r="M32" s="28"/>
      <c r="N32" s="28"/>
      <c r="P32" s="7"/>
      <c r="U32" s="7"/>
      <c r="V32" s="7"/>
      <c r="W32" s="7"/>
      <c r="X32" s="7"/>
    </row>
    <row r="33" spans="1:14" ht="12.75">
      <c r="A33" s="9" t="s">
        <v>159</v>
      </c>
      <c r="B33" s="14" t="s">
        <v>176</v>
      </c>
      <c r="C33" s="82">
        <v>0</v>
      </c>
      <c r="D33" s="82">
        <v>0</v>
      </c>
      <c r="E33" s="84">
        <f t="shared" si="0"/>
        <v>0</v>
      </c>
      <c r="F33" s="26"/>
      <c r="G33" s="30">
        <f t="shared" si="1"/>
        <v>0</v>
      </c>
      <c r="H33" s="28"/>
      <c r="I33" s="28"/>
      <c r="J33" s="28"/>
      <c r="K33" s="28"/>
      <c r="L33" s="28"/>
      <c r="M33" s="28"/>
      <c r="N33" s="28"/>
    </row>
    <row r="34" spans="1:14" ht="12.75">
      <c r="A34" s="17" t="s">
        <v>160</v>
      </c>
      <c r="B34" s="23" t="s">
        <v>177</v>
      </c>
      <c r="C34" s="82">
        <v>-267774</v>
      </c>
      <c r="D34" s="83">
        <v>120000</v>
      </c>
      <c r="E34" s="84">
        <f t="shared" si="0"/>
        <v>-387774</v>
      </c>
      <c r="F34" s="62">
        <f t="shared" si="2"/>
        <v>-2.23145</v>
      </c>
      <c r="G34" s="62">
        <f t="shared" si="1"/>
        <v>0.004579901651191942</v>
      </c>
      <c r="H34" s="28"/>
      <c r="I34" s="28"/>
      <c r="J34" s="28"/>
      <c r="K34" s="28"/>
      <c r="L34" s="28"/>
      <c r="M34" s="28"/>
      <c r="N34" s="28"/>
    </row>
    <row r="35" spans="1:14" ht="12.75">
      <c r="A35" s="24"/>
      <c r="B35" s="25" t="s">
        <v>31</v>
      </c>
      <c r="C35" s="34">
        <f>SUM(C15:C34)</f>
        <v>14545867</v>
      </c>
      <c r="D35" s="34">
        <f>SUM(D15:D34)</f>
        <v>13714955</v>
      </c>
      <c r="E35" s="34">
        <f>SUM(E15:E34)</f>
        <v>830912</v>
      </c>
      <c r="F35" s="32">
        <f>C35/D35</f>
        <v>1.0605843766895335</v>
      </c>
      <c r="G35" s="35"/>
      <c r="H35" s="28"/>
      <c r="I35" s="28"/>
      <c r="J35" s="28"/>
      <c r="K35" s="28"/>
      <c r="L35" s="28"/>
      <c r="M35" s="28"/>
      <c r="N35" s="28"/>
    </row>
    <row r="36" spans="1:14" ht="12.75">
      <c r="A36" s="24"/>
      <c r="B36" s="25" t="s">
        <v>161</v>
      </c>
      <c r="C36" s="34">
        <f>C15</f>
        <v>2252402</v>
      </c>
      <c r="D36" s="34">
        <f>D15</f>
        <v>1600000</v>
      </c>
      <c r="E36" s="34">
        <f>E15</f>
        <v>652402</v>
      </c>
      <c r="F36" s="35"/>
      <c r="G36" s="35"/>
      <c r="H36" s="28"/>
      <c r="I36" s="28"/>
      <c r="J36" s="28"/>
      <c r="K36" s="28"/>
      <c r="L36" s="28"/>
      <c r="M36" s="28"/>
      <c r="N36" s="28"/>
    </row>
    <row r="37" spans="1:14" ht="12.75">
      <c r="A37" s="24"/>
      <c r="B37" s="25" t="s">
        <v>162</v>
      </c>
      <c r="C37" s="34">
        <f>C35-C36</f>
        <v>12293465</v>
      </c>
      <c r="D37" s="34">
        <f>D35-D36</f>
        <v>12114955</v>
      </c>
      <c r="E37" s="34">
        <f>E35-E36</f>
        <v>178510</v>
      </c>
      <c r="F37" s="36">
        <f>C37/D37</f>
        <v>1.0147346812266327</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2012</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8"/>
      <c r="B52" s="12"/>
      <c r="C52" s="12"/>
      <c r="D52" s="12"/>
      <c r="E52" s="12"/>
      <c r="F52" s="12"/>
      <c r="G52" s="12"/>
      <c r="H52" s="12" t="s">
        <v>8</v>
      </c>
      <c r="I52" s="12" t="s">
        <v>8</v>
      </c>
      <c r="J52" s="12"/>
      <c r="K52" s="12" t="s">
        <v>9</v>
      </c>
      <c r="L52" s="12" t="s">
        <v>9</v>
      </c>
      <c r="M52" s="12"/>
      <c r="N52" s="12"/>
    </row>
    <row r="53" spans="1:14" ht="12.75">
      <c r="A53" s="9"/>
      <c r="B53" s="15"/>
      <c r="C53" s="15"/>
      <c r="D53" s="15" t="s">
        <v>12</v>
      </c>
      <c r="E53" s="15"/>
      <c r="F53" s="15"/>
      <c r="G53" s="15" t="s">
        <v>13</v>
      </c>
      <c r="H53" s="15" t="s">
        <v>14</v>
      </c>
      <c r="I53" s="15" t="s">
        <v>15</v>
      </c>
      <c r="J53" s="15"/>
      <c r="K53" s="15" t="s">
        <v>16</v>
      </c>
      <c r="L53" s="15" t="s">
        <v>16</v>
      </c>
      <c r="M53" s="15" t="s">
        <v>9</v>
      </c>
      <c r="N53" s="15" t="s">
        <v>9</v>
      </c>
    </row>
    <row r="54" spans="1:14" ht="12.75">
      <c r="A54" s="9"/>
      <c r="B54" s="15"/>
      <c r="C54" s="15" t="s">
        <v>12</v>
      </c>
      <c r="D54" s="15" t="s">
        <v>16</v>
      </c>
      <c r="E54" s="15" t="s">
        <v>22</v>
      </c>
      <c r="F54" s="15" t="s">
        <v>22</v>
      </c>
      <c r="G54" s="15" t="s">
        <v>23</v>
      </c>
      <c r="H54" s="15" t="s">
        <v>24</v>
      </c>
      <c r="I54" s="15" t="s">
        <v>24</v>
      </c>
      <c r="J54" s="15"/>
      <c r="K54" s="15" t="s">
        <v>15</v>
      </c>
      <c r="L54" s="15" t="s">
        <v>15</v>
      </c>
      <c r="M54" s="15" t="s">
        <v>14</v>
      </c>
      <c r="N54" s="15" t="s">
        <v>14</v>
      </c>
    </row>
    <row r="55" spans="1:14" ht="12.75">
      <c r="A55" s="17" t="s">
        <v>25</v>
      </c>
      <c r="B55" s="20" t="s">
        <v>26</v>
      </c>
      <c r="C55" s="125" t="s">
        <v>14</v>
      </c>
      <c r="D55" s="20" t="s">
        <v>15</v>
      </c>
      <c r="E55" s="20" t="s">
        <v>27</v>
      </c>
      <c r="F55" s="20" t="s">
        <v>13</v>
      </c>
      <c r="G55" s="20" t="s">
        <v>15</v>
      </c>
      <c r="H55" s="20" t="s">
        <v>28</v>
      </c>
      <c r="I55" s="20" t="s">
        <v>28</v>
      </c>
      <c r="J55" s="20" t="s">
        <v>22</v>
      </c>
      <c r="K55" s="20" t="s">
        <v>29</v>
      </c>
      <c r="L55" s="20" t="s">
        <v>30</v>
      </c>
      <c r="M55" s="20" t="s">
        <v>29</v>
      </c>
      <c r="N55" s="20" t="s">
        <v>30</v>
      </c>
    </row>
    <row r="56" spans="1:14" ht="12.75">
      <c r="A56" s="50"/>
      <c r="B56" s="51" t="s">
        <v>17</v>
      </c>
      <c r="C56" s="52"/>
      <c r="D56" s="52"/>
      <c r="E56" s="52"/>
      <c r="F56" s="53"/>
      <c r="G56" s="53"/>
      <c r="H56" s="54"/>
      <c r="I56" s="54"/>
      <c r="J56" s="54"/>
      <c r="K56" s="54"/>
      <c r="L56" s="54"/>
      <c r="M56" s="54"/>
      <c r="N56" s="54"/>
    </row>
    <row r="57" spans="1:14" ht="12.75">
      <c r="A57" s="116" t="s">
        <v>271</v>
      </c>
      <c r="B57" s="112" t="s">
        <v>221</v>
      </c>
      <c r="C57" s="84">
        <v>2854</v>
      </c>
      <c r="D57" s="84">
        <v>0</v>
      </c>
      <c r="E57" s="85">
        <f aca="true" t="shared" si="3" ref="E57:E68">C57-D57</f>
        <v>2854</v>
      </c>
      <c r="F57" s="30"/>
      <c r="G57" s="49">
        <f aca="true" t="shared" si="4" ref="G57:G72">D57/(D$35+D$73)</f>
        <v>0</v>
      </c>
      <c r="H57" s="29">
        <v>164186132.26</v>
      </c>
      <c r="I57" s="29">
        <v>162297120</v>
      </c>
      <c r="J57" s="38">
        <f aca="true" t="shared" si="5" ref="J57:J68">H57-I57</f>
        <v>1889012.2599999905</v>
      </c>
      <c r="K57" s="42">
        <v>38838</v>
      </c>
      <c r="L57" s="40">
        <v>40513</v>
      </c>
      <c r="M57" s="40">
        <v>38838</v>
      </c>
      <c r="N57" s="46">
        <v>40962</v>
      </c>
    </row>
    <row r="58" spans="1:14" ht="12.75">
      <c r="A58" s="117" t="s">
        <v>210</v>
      </c>
      <c r="B58" s="112" t="s">
        <v>224</v>
      </c>
      <c r="C58" s="84">
        <v>0</v>
      </c>
      <c r="D58" s="84">
        <v>50000</v>
      </c>
      <c r="E58" s="84">
        <f t="shared" si="3"/>
        <v>-50000</v>
      </c>
      <c r="F58" s="30"/>
      <c r="G58" s="87">
        <f t="shared" si="4"/>
        <v>0.0019082923546633094</v>
      </c>
      <c r="H58" s="29"/>
      <c r="I58" s="29"/>
      <c r="J58" s="38">
        <f t="shared" si="5"/>
        <v>0</v>
      </c>
      <c r="K58" s="40">
        <v>39569</v>
      </c>
      <c r="L58" s="40">
        <v>39934</v>
      </c>
      <c r="M58" s="102">
        <v>39569</v>
      </c>
      <c r="N58" s="102"/>
    </row>
    <row r="59" spans="1:14" ht="12.75">
      <c r="A59" s="117" t="s">
        <v>257</v>
      </c>
      <c r="B59" s="112" t="s">
        <v>258</v>
      </c>
      <c r="C59" s="84">
        <v>0</v>
      </c>
      <c r="D59" s="84">
        <v>799594</v>
      </c>
      <c r="E59" s="84">
        <f>C59-D59</f>
        <v>-799594</v>
      </c>
      <c r="F59" s="30">
        <f aca="true" t="shared" si="6" ref="F57:F71">C59/D59</f>
        <v>0</v>
      </c>
      <c r="G59" s="87">
        <f t="shared" si="4"/>
        <v>0.03051718234069308</v>
      </c>
      <c r="H59" s="29"/>
      <c r="I59" s="29"/>
      <c r="J59" s="38">
        <f>H59-I59</f>
        <v>0</v>
      </c>
      <c r="K59" s="40">
        <v>40179</v>
      </c>
      <c r="L59" s="40">
        <v>40908</v>
      </c>
      <c r="M59" s="102"/>
      <c r="N59" s="102"/>
    </row>
    <row r="60" spans="1:14" ht="12.75">
      <c r="A60" s="117" t="s">
        <v>259</v>
      </c>
      <c r="B60" s="112" t="s">
        <v>226</v>
      </c>
      <c r="C60" s="84">
        <v>1225541</v>
      </c>
      <c r="D60" s="84">
        <v>439188</v>
      </c>
      <c r="E60" s="84">
        <f t="shared" si="3"/>
        <v>786353</v>
      </c>
      <c r="F60" s="30"/>
      <c r="G60" s="87">
        <f t="shared" si="4"/>
        <v>0.01676198205319739</v>
      </c>
      <c r="H60" s="29"/>
      <c r="I60" s="29"/>
      <c r="J60" s="38">
        <f t="shared" si="5"/>
        <v>0</v>
      </c>
      <c r="K60" s="40">
        <v>40210</v>
      </c>
      <c r="L60" s="40">
        <v>40452</v>
      </c>
      <c r="M60" s="40">
        <v>40422</v>
      </c>
      <c r="N60" s="46"/>
    </row>
    <row r="61" spans="1:14" ht="12.75">
      <c r="A61" s="117" t="s">
        <v>260</v>
      </c>
      <c r="B61" s="112" t="s">
        <v>227</v>
      </c>
      <c r="C61" s="84">
        <v>228927</v>
      </c>
      <c r="D61" s="84">
        <v>809540</v>
      </c>
      <c r="E61" s="84">
        <f t="shared" si="3"/>
        <v>-580613</v>
      </c>
      <c r="F61" s="30">
        <f t="shared" si="6"/>
        <v>0.2827865207401734</v>
      </c>
      <c r="G61" s="87">
        <f t="shared" si="4"/>
        <v>0.030896779855882708</v>
      </c>
      <c r="H61" s="29"/>
      <c r="I61" s="29"/>
      <c r="J61" s="38">
        <f t="shared" si="5"/>
        <v>0</v>
      </c>
      <c r="K61" s="40">
        <v>40179</v>
      </c>
      <c r="L61" s="101">
        <v>42004</v>
      </c>
      <c r="M61" s="101">
        <v>40452</v>
      </c>
      <c r="N61" s="46"/>
    </row>
    <row r="62" spans="1:14" ht="12.75">
      <c r="A62" s="117" t="s">
        <v>261</v>
      </c>
      <c r="B62" s="112" t="s">
        <v>222</v>
      </c>
      <c r="C62" s="84">
        <v>0</v>
      </c>
      <c r="D62" s="84">
        <v>655000</v>
      </c>
      <c r="E62" s="84">
        <f t="shared" si="3"/>
        <v>-655000</v>
      </c>
      <c r="F62" s="30">
        <f t="shared" si="6"/>
        <v>0</v>
      </c>
      <c r="G62" s="87">
        <f t="shared" si="4"/>
        <v>0.024998629846089353</v>
      </c>
      <c r="H62" s="29"/>
      <c r="I62" s="29"/>
      <c r="J62" s="38">
        <f t="shared" si="5"/>
        <v>0</v>
      </c>
      <c r="K62" s="40"/>
      <c r="L62" s="40"/>
      <c r="M62" s="40"/>
      <c r="N62" s="46"/>
    </row>
    <row r="63" spans="1:14" ht="12.75">
      <c r="A63" s="138" t="s">
        <v>262</v>
      </c>
      <c r="B63" s="112" t="s">
        <v>238</v>
      </c>
      <c r="C63" s="84">
        <v>89292</v>
      </c>
      <c r="D63" s="84">
        <v>0</v>
      </c>
      <c r="E63" s="84">
        <f t="shared" si="3"/>
        <v>89292</v>
      </c>
      <c r="F63" s="30"/>
      <c r="G63" s="30">
        <f t="shared" si="4"/>
        <v>0</v>
      </c>
      <c r="H63" s="29"/>
      <c r="I63" s="29"/>
      <c r="J63" s="38">
        <f t="shared" si="5"/>
        <v>0</v>
      </c>
      <c r="K63" s="40">
        <v>40817</v>
      </c>
      <c r="L63" s="40">
        <v>41091</v>
      </c>
      <c r="M63" s="40">
        <v>40817</v>
      </c>
      <c r="N63" s="46"/>
    </row>
    <row r="64" spans="1:14" ht="12.75">
      <c r="A64" s="138" t="s">
        <v>263</v>
      </c>
      <c r="B64" s="112" t="s">
        <v>264</v>
      </c>
      <c r="C64" s="84">
        <v>953765</v>
      </c>
      <c r="D64" s="84">
        <v>775348</v>
      </c>
      <c r="E64" s="84">
        <f t="shared" si="3"/>
        <v>178417</v>
      </c>
      <c r="F64" s="30">
        <f t="shared" si="6"/>
        <v>1.2301121560899106</v>
      </c>
      <c r="G64" s="30">
        <f t="shared" si="4"/>
        <v>0.029591813212069752</v>
      </c>
      <c r="H64" s="29"/>
      <c r="I64" s="29"/>
      <c r="J64" s="38">
        <f t="shared" si="5"/>
        <v>0</v>
      </c>
      <c r="K64" s="40">
        <v>40756</v>
      </c>
      <c r="L64" s="40"/>
      <c r="M64" s="40"/>
      <c r="N64" s="46"/>
    </row>
    <row r="65" spans="1:14" ht="12.75">
      <c r="A65" s="116" t="s">
        <v>265</v>
      </c>
      <c r="B65" s="112" t="s">
        <v>270</v>
      </c>
      <c r="C65" s="84">
        <v>0</v>
      </c>
      <c r="D65" s="84">
        <v>775002</v>
      </c>
      <c r="E65" s="84">
        <f t="shared" si="3"/>
        <v>-775002</v>
      </c>
      <c r="F65" s="30">
        <f t="shared" si="6"/>
        <v>0</v>
      </c>
      <c r="G65" s="30">
        <f t="shared" si="4"/>
        <v>0.029578607828975482</v>
      </c>
      <c r="H65" s="29"/>
      <c r="I65" s="29"/>
      <c r="J65" s="38"/>
      <c r="K65" s="40">
        <v>40238</v>
      </c>
      <c r="L65" s="40"/>
      <c r="M65" s="40"/>
      <c r="N65" s="46"/>
    </row>
    <row r="66" spans="1:14" ht="12.75">
      <c r="A66" s="116" t="s">
        <v>266</v>
      </c>
      <c r="B66" s="112" t="s">
        <v>239</v>
      </c>
      <c r="C66" s="84">
        <v>3978519</v>
      </c>
      <c r="D66" s="84">
        <v>3830000</v>
      </c>
      <c r="E66" s="84">
        <f t="shared" si="3"/>
        <v>148519</v>
      </c>
      <c r="F66" s="30">
        <f t="shared" si="6"/>
        <v>1.0387778067885118</v>
      </c>
      <c r="G66" s="30">
        <f t="shared" si="4"/>
        <v>0.1461751943672095</v>
      </c>
      <c r="H66" s="29"/>
      <c r="I66" s="29"/>
      <c r="J66" s="38">
        <f t="shared" si="5"/>
        <v>0</v>
      </c>
      <c r="K66" s="40">
        <v>40575</v>
      </c>
      <c r="L66" s="46">
        <v>41698</v>
      </c>
      <c r="M66" s="40"/>
      <c r="N66" s="46"/>
    </row>
    <row r="67" spans="1:14" ht="12.75">
      <c r="A67" s="116" t="s">
        <v>245</v>
      </c>
      <c r="B67" s="112" t="s">
        <v>239</v>
      </c>
      <c r="C67" s="84">
        <v>-346828</v>
      </c>
      <c r="D67" s="84">
        <v>0</v>
      </c>
      <c r="E67" s="84">
        <f t="shared" si="3"/>
        <v>-346828</v>
      </c>
      <c r="F67" s="30"/>
      <c r="G67" s="30">
        <f t="shared" si="4"/>
        <v>0</v>
      </c>
      <c r="H67" s="29"/>
      <c r="I67" s="29"/>
      <c r="J67" s="38">
        <f t="shared" si="5"/>
        <v>0</v>
      </c>
      <c r="K67" s="40">
        <v>40575</v>
      </c>
      <c r="L67" s="46"/>
      <c r="M67" s="46"/>
      <c r="N67" s="46"/>
    </row>
    <row r="68" spans="1:14" ht="12.75">
      <c r="A68" s="116" t="s">
        <v>196</v>
      </c>
      <c r="B68" s="112" t="s">
        <v>230</v>
      </c>
      <c r="C68" s="84">
        <v>0</v>
      </c>
      <c r="D68" s="84">
        <v>0</v>
      </c>
      <c r="E68" s="84">
        <f t="shared" si="3"/>
        <v>0</v>
      </c>
      <c r="F68" s="30"/>
      <c r="G68" s="30">
        <f t="shared" si="4"/>
        <v>0</v>
      </c>
      <c r="H68" s="29"/>
      <c r="I68" s="29"/>
      <c r="J68" s="38">
        <f t="shared" si="5"/>
        <v>0</v>
      </c>
      <c r="K68" s="40">
        <v>40634</v>
      </c>
      <c r="L68" s="40">
        <v>40725</v>
      </c>
      <c r="M68" s="40" t="s">
        <v>137</v>
      </c>
      <c r="N68" s="46" t="s">
        <v>137</v>
      </c>
    </row>
    <row r="69" spans="1:14" ht="12.75">
      <c r="A69" s="116" t="s">
        <v>267</v>
      </c>
      <c r="B69" s="112" t="s">
        <v>241</v>
      </c>
      <c r="C69" s="84">
        <v>3835463</v>
      </c>
      <c r="D69" s="84">
        <v>4130414</v>
      </c>
      <c r="E69" s="84">
        <f>C69-D69</f>
        <v>-294951</v>
      </c>
      <c r="F69" s="30">
        <f t="shared" si="6"/>
        <v>0.9285904512235336</v>
      </c>
      <c r="G69" s="30">
        <f t="shared" si="4"/>
        <v>0.15764074915588597</v>
      </c>
      <c r="H69" s="29"/>
      <c r="I69" s="29"/>
      <c r="J69" s="38"/>
      <c r="K69" s="40">
        <v>40179</v>
      </c>
      <c r="L69" s="40">
        <v>41974</v>
      </c>
      <c r="M69" s="40">
        <v>40210</v>
      </c>
      <c r="N69" s="46"/>
    </row>
    <row r="70" spans="1:14" ht="12.75">
      <c r="A70" s="116" t="s">
        <v>268</v>
      </c>
      <c r="B70" s="112" t="s">
        <v>242</v>
      </c>
      <c r="C70" s="84">
        <v>562289</v>
      </c>
      <c r="D70" s="84">
        <v>91026</v>
      </c>
      <c r="E70" s="84">
        <f>C70-D70</f>
        <v>471263</v>
      </c>
      <c r="F70" s="30">
        <f t="shared" si="6"/>
        <v>6.177235075692659</v>
      </c>
      <c r="G70" s="30">
        <f t="shared" si="4"/>
        <v>0.003474084397511648</v>
      </c>
      <c r="H70" s="29"/>
      <c r="I70" s="29"/>
      <c r="J70" s="38"/>
      <c r="K70" s="40">
        <v>40787</v>
      </c>
      <c r="L70" s="40">
        <v>41974</v>
      </c>
      <c r="M70" s="40">
        <v>40817</v>
      </c>
      <c r="N70" s="46"/>
    </row>
    <row r="71" spans="1:14" ht="12.75">
      <c r="A71" s="116"/>
      <c r="B71" s="112" t="s">
        <v>236</v>
      </c>
      <c r="C71" s="84">
        <v>0</v>
      </c>
      <c r="D71" s="84">
        <v>131369</v>
      </c>
      <c r="E71" s="84">
        <f>C71-D71</f>
        <v>-131369</v>
      </c>
      <c r="F71" s="30">
        <f t="shared" si="6"/>
        <v>0</v>
      </c>
      <c r="G71" s="30">
        <f t="shared" si="4"/>
        <v>0.005013809166795285</v>
      </c>
      <c r="H71" s="29"/>
      <c r="I71" s="29"/>
      <c r="J71" s="38"/>
      <c r="K71" s="40">
        <v>40909</v>
      </c>
      <c r="L71" s="40">
        <v>41244</v>
      </c>
      <c r="M71" s="40" t="s">
        <v>137</v>
      </c>
      <c r="N71" s="46" t="s">
        <v>137</v>
      </c>
    </row>
    <row r="72" spans="1:14" ht="12.75">
      <c r="A72" s="120" t="s">
        <v>269</v>
      </c>
      <c r="B72" s="121" t="s">
        <v>235</v>
      </c>
      <c r="C72" s="84">
        <v>-214</v>
      </c>
      <c r="D72" s="84"/>
      <c r="E72" s="84">
        <f>C72-D72</f>
        <v>-214</v>
      </c>
      <c r="F72" s="30"/>
      <c r="G72" s="62">
        <f t="shared" si="4"/>
        <v>0</v>
      </c>
      <c r="H72" s="31"/>
      <c r="I72" s="31"/>
      <c r="J72" s="39"/>
      <c r="K72" s="43">
        <v>39814</v>
      </c>
      <c r="L72" s="43" t="s">
        <v>137</v>
      </c>
      <c r="M72" s="43" t="s">
        <v>137</v>
      </c>
      <c r="N72" s="44" t="s">
        <v>137</v>
      </c>
    </row>
    <row r="73" spans="3:14" ht="12">
      <c r="C73" s="68">
        <f>SUM(C56:C72)</f>
        <v>10529608</v>
      </c>
      <c r="D73" s="34">
        <f>SUM(D56:D72)</f>
        <v>12486481</v>
      </c>
      <c r="E73" s="34">
        <f>SUM(E56:E72)</f>
        <v>-1956873</v>
      </c>
      <c r="F73" s="36">
        <f>C73/D73</f>
        <v>0.8432806649047078</v>
      </c>
      <c r="G73" s="35"/>
      <c r="H73" s="28"/>
      <c r="I73" s="28"/>
      <c r="J73" s="28"/>
      <c r="K73" s="28"/>
      <c r="L73" s="28"/>
      <c r="M73" s="28"/>
      <c r="N73" s="28"/>
    </row>
    <row r="75" ht="12">
      <c r="C75" s="122"/>
    </row>
    <row r="76" ht="12">
      <c r="C76" s="126"/>
    </row>
    <row r="78" ht="12">
      <c r="C78" s="124"/>
    </row>
    <row r="80" ht="12">
      <c r="C80" s="124"/>
    </row>
  </sheetData>
  <sheetProtection/>
  <mergeCells count="6">
    <mergeCell ref="A1:N1"/>
    <mergeCell ref="A2:N2"/>
    <mergeCell ref="A3:N3"/>
    <mergeCell ref="A42:N42"/>
    <mergeCell ref="A43:N43"/>
    <mergeCell ref="A44:N44"/>
  </mergeCells>
  <printOptions/>
  <pageMargins left="0.7" right="0.7" top="0.75" bottom="0.75" header="0.3" footer="0.3"/>
  <pageSetup fitToWidth="3" horizontalDpi="600" verticalDpi="600" orientation="landscape" scale="67" r:id="rId1"/>
</worksheet>
</file>

<file path=xl/worksheets/sheet5.xml><?xml version="1.0" encoding="utf-8"?>
<worksheet xmlns="http://schemas.openxmlformats.org/spreadsheetml/2006/main" xmlns:r="http://schemas.openxmlformats.org/officeDocument/2006/relationships">
  <dimension ref="A1:Z82"/>
  <sheetViews>
    <sheetView tabSelected="1" view="pageBreakPreview" zoomScale="90" zoomScaleSheetLayoutView="90" workbookViewId="0" topLeftCell="E7">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10.16015625" style="1" customWidth="1"/>
    <col min="17" max="17" width="57.5" style="1" customWidth="1"/>
    <col min="18" max="18" width="84.16015625" style="13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2011</v>
      </c>
      <c r="W4" s="2"/>
    </row>
    <row r="5" spans="1:12" ht="12">
      <c r="A5" s="2" t="s">
        <v>2</v>
      </c>
      <c r="L5" s="2" t="s">
        <v>73</v>
      </c>
    </row>
    <row r="6" spans="1:16" ht="15.75">
      <c r="A6" s="2" t="s">
        <v>3</v>
      </c>
      <c r="L6" s="2"/>
      <c r="P6" s="5" t="s">
        <v>55</v>
      </c>
    </row>
    <row r="7" spans="12:21" ht="19.5">
      <c r="L7" s="2" t="s">
        <v>4</v>
      </c>
      <c r="P7" s="6"/>
      <c r="U7" s="5" t="s">
        <v>205</v>
      </c>
    </row>
    <row r="8" spans="12:13" ht="12">
      <c r="L8" s="4" t="s">
        <v>312</v>
      </c>
      <c r="M8" s="4"/>
    </row>
    <row r="9" spans="17:24" ht="12.75">
      <c r="Q9" s="7"/>
      <c r="R9" s="132"/>
      <c r="S9" s="7"/>
      <c r="T9" s="8" t="s">
        <v>5</v>
      </c>
      <c r="U9" s="7"/>
      <c r="V9" s="7"/>
      <c r="W9" s="7"/>
      <c r="X9" s="7"/>
    </row>
    <row r="10" spans="17:24" ht="12.75">
      <c r="Q10" s="7"/>
      <c r="R10" s="132"/>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132"/>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33" t="s">
        <v>18</v>
      </c>
      <c r="S12" s="17" t="s">
        <v>19</v>
      </c>
      <c r="T12" s="17" t="s">
        <v>19</v>
      </c>
      <c r="U12" s="16" t="s">
        <v>20</v>
      </c>
      <c r="V12" s="16" t="s">
        <v>21</v>
      </c>
      <c r="W12" s="16" t="s">
        <v>20</v>
      </c>
      <c r="X12" s="16" t="s">
        <v>21</v>
      </c>
    </row>
    <row r="13" spans="1:26" ht="25.5">
      <c r="A13" s="9"/>
      <c r="B13" s="15"/>
      <c r="C13" s="15" t="s">
        <v>12</v>
      </c>
      <c r="D13" s="15" t="s">
        <v>16</v>
      </c>
      <c r="E13" s="15" t="s">
        <v>22</v>
      </c>
      <c r="F13" s="15" t="s">
        <v>22</v>
      </c>
      <c r="G13" s="15" t="s">
        <v>23</v>
      </c>
      <c r="H13" s="15" t="s">
        <v>24</v>
      </c>
      <c r="I13" s="15" t="s">
        <v>24</v>
      </c>
      <c r="J13" s="15"/>
      <c r="K13" s="15" t="s">
        <v>15</v>
      </c>
      <c r="L13" s="15" t="s">
        <v>15</v>
      </c>
      <c r="M13" s="15" t="s">
        <v>14</v>
      </c>
      <c r="N13" s="15" t="s">
        <v>14</v>
      </c>
      <c r="P13" s="72" t="s">
        <v>209</v>
      </c>
      <c r="Q13" s="70" t="s">
        <v>223</v>
      </c>
      <c r="R13" s="134" t="s">
        <v>250</v>
      </c>
      <c r="S13" s="29">
        <v>3049717.73</v>
      </c>
      <c r="T13" s="29">
        <v>3136145</v>
      </c>
      <c r="U13" s="40">
        <v>39417</v>
      </c>
      <c r="V13" s="40">
        <v>39965</v>
      </c>
      <c r="W13" s="40">
        <v>39508</v>
      </c>
      <c r="X13" s="46">
        <v>40817</v>
      </c>
      <c r="Y13" s="78"/>
      <c r="Z13" s="78"/>
    </row>
    <row r="14" spans="1:24" ht="25.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2" t="s">
        <v>211</v>
      </c>
      <c r="Q14" s="70" t="s">
        <v>225</v>
      </c>
      <c r="R14" s="134" t="s">
        <v>251</v>
      </c>
      <c r="S14" s="29">
        <v>549821.23</v>
      </c>
      <c r="T14" s="29">
        <v>532854</v>
      </c>
      <c r="U14" s="40">
        <v>39934</v>
      </c>
      <c r="V14" s="40">
        <v>39995</v>
      </c>
      <c r="W14" s="40">
        <v>40330</v>
      </c>
      <c r="X14" s="46">
        <v>40544</v>
      </c>
    </row>
    <row r="15" spans="1:24" ht="12.75">
      <c r="A15" s="9" t="s">
        <v>148</v>
      </c>
      <c r="B15" s="14" t="s">
        <v>79</v>
      </c>
      <c r="C15" s="82">
        <v>1820567.53</v>
      </c>
      <c r="D15" s="82">
        <v>2300000</v>
      </c>
      <c r="E15" s="84">
        <f aca="true" t="shared" si="0" ref="E15:E34">C15-D15</f>
        <v>-479432.47</v>
      </c>
      <c r="F15" s="26">
        <f>C15/D15</f>
        <v>0.7915511000000001</v>
      </c>
      <c r="G15" s="27">
        <f aca="true" t="shared" si="1" ref="G15:G34">D15/(D$35+D$75)</f>
        <v>0.08999189486825063</v>
      </c>
      <c r="H15" s="28"/>
      <c r="I15" s="28"/>
      <c r="J15" s="28"/>
      <c r="K15" s="28"/>
      <c r="L15" s="28"/>
      <c r="M15" s="28"/>
      <c r="N15" s="28"/>
      <c r="P15" s="72" t="s">
        <v>215</v>
      </c>
      <c r="Q15" s="70" t="s">
        <v>229</v>
      </c>
      <c r="R15" s="134" t="s">
        <v>252</v>
      </c>
      <c r="S15" s="29">
        <v>2808875.57</v>
      </c>
      <c r="T15" s="29">
        <v>2756632</v>
      </c>
      <c r="U15" s="139">
        <v>40238</v>
      </c>
      <c r="V15" s="139">
        <v>40513</v>
      </c>
      <c r="W15" s="139">
        <v>40299</v>
      </c>
      <c r="X15" s="140">
        <v>40848</v>
      </c>
    </row>
    <row r="16" spans="1:24" ht="12.75">
      <c r="A16" s="9" t="s">
        <v>38</v>
      </c>
      <c r="B16" s="14" t="s">
        <v>163</v>
      </c>
      <c r="C16" s="82">
        <v>165527.32</v>
      </c>
      <c r="D16" s="82">
        <v>489000</v>
      </c>
      <c r="E16" s="84">
        <f t="shared" si="0"/>
        <v>-323472.68</v>
      </c>
      <c r="F16" s="26">
        <f aca="true" t="shared" si="2" ref="F16:F34">C16/D16</f>
        <v>0.33850167689161553</v>
      </c>
      <c r="G16" s="30">
        <f t="shared" si="1"/>
        <v>0.019133059387206327</v>
      </c>
      <c r="H16" s="28"/>
      <c r="I16" s="28"/>
      <c r="J16" s="28"/>
      <c r="K16" s="28"/>
      <c r="L16" s="28"/>
      <c r="M16" s="28"/>
      <c r="N16" s="28"/>
      <c r="P16" s="104"/>
      <c r="Q16" s="107"/>
      <c r="R16" s="135"/>
      <c r="S16" s="109"/>
      <c r="T16" s="109"/>
      <c r="U16" s="110"/>
      <c r="V16" s="110"/>
      <c r="W16" s="110"/>
      <c r="X16" s="111"/>
    </row>
    <row r="17" spans="1:24" ht="12.75">
      <c r="A17" s="9" t="s">
        <v>39</v>
      </c>
      <c r="B17" s="14" t="s">
        <v>164</v>
      </c>
      <c r="C17" s="82">
        <v>1884555.13</v>
      </c>
      <c r="D17" s="82">
        <v>1005300</v>
      </c>
      <c r="E17" s="84">
        <f t="shared" si="0"/>
        <v>879255.1299999999</v>
      </c>
      <c r="F17" s="26">
        <f t="shared" si="2"/>
        <v>1.8746196458768525</v>
      </c>
      <c r="G17" s="30">
        <f t="shared" si="1"/>
        <v>0.03933428343958798</v>
      </c>
      <c r="H17" s="28"/>
      <c r="I17" s="28"/>
      <c r="J17" s="28"/>
      <c r="K17" s="28"/>
      <c r="L17" s="28"/>
      <c r="M17" s="28"/>
      <c r="N17" s="28"/>
      <c r="P17" s="59"/>
      <c r="Q17" s="17" t="s">
        <v>32</v>
      </c>
      <c r="R17" s="136"/>
      <c r="S17" s="55">
        <f>SUM(S13:S16)</f>
        <v>6408414.529999999</v>
      </c>
      <c r="T17" s="55">
        <f>SUM(T13:T16)</f>
        <v>6425631</v>
      </c>
      <c r="U17" s="60"/>
      <c r="V17" s="60"/>
      <c r="W17" s="60"/>
      <c r="X17" s="60"/>
    </row>
    <row r="18" spans="1:24" ht="12.75">
      <c r="A18" s="9" t="s">
        <v>40</v>
      </c>
      <c r="B18" s="14" t="s">
        <v>165</v>
      </c>
      <c r="C18" s="82">
        <v>272448.69</v>
      </c>
      <c r="D18" s="82">
        <v>138500</v>
      </c>
      <c r="E18" s="84">
        <f t="shared" si="0"/>
        <v>133948.69</v>
      </c>
      <c r="F18" s="26">
        <f t="shared" si="2"/>
        <v>1.9671385559566787</v>
      </c>
      <c r="G18" s="30">
        <f t="shared" si="1"/>
        <v>0.005419077147501178</v>
      </c>
      <c r="H18" s="28"/>
      <c r="I18" s="28"/>
      <c r="J18" s="28"/>
      <c r="K18" s="28"/>
      <c r="L18" s="28"/>
      <c r="M18" s="28"/>
      <c r="N18" s="28"/>
      <c r="P18" s="59"/>
      <c r="Q18" s="59"/>
      <c r="R18" s="137"/>
      <c r="S18" s="80"/>
      <c r="T18" s="80"/>
      <c r="U18" s="60"/>
      <c r="V18" s="60"/>
      <c r="W18" s="60"/>
      <c r="X18" s="60"/>
    </row>
    <row r="19" spans="1:24" ht="12.75">
      <c r="A19" s="9" t="s">
        <v>149</v>
      </c>
      <c r="B19" s="14" t="s">
        <v>166</v>
      </c>
      <c r="C19" s="82">
        <v>375491.54</v>
      </c>
      <c r="D19" s="82">
        <v>1050300</v>
      </c>
      <c r="E19" s="84">
        <f t="shared" si="0"/>
        <v>-674808.46</v>
      </c>
      <c r="F19" s="26">
        <f t="shared" si="2"/>
        <v>0.35750884509187847</v>
      </c>
      <c r="G19" s="30">
        <f t="shared" si="1"/>
        <v>0.04109499442614071</v>
      </c>
      <c r="H19" s="28"/>
      <c r="I19" s="28"/>
      <c r="J19" s="28"/>
      <c r="K19" s="28"/>
      <c r="L19" s="28"/>
      <c r="M19" s="28"/>
      <c r="N19" s="28"/>
      <c r="P19" s="59"/>
      <c r="Q19" s="59"/>
      <c r="R19" s="137"/>
      <c r="S19" s="80"/>
      <c r="T19" s="80"/>
      <c r="U19" s="60"/>
      <c r="V19" s="60"/>
      <c r="W19" s="60"/>
      <c r="X19" s="60"/>
    </row>
    <row r="20" spans="1:24" ht="12.75">
      <c r="A20" s="9" t="s">
        <v>41</v>
      </c>
      <c r="B20" s="14" t="s">
        <v>167</v>
      </c>
      <c r="C20" s="82">
        <v>148799.15</v>
      </c>
      <c r="D20" s="82">
        <v>195000</v>
      </c>
      <c r="E20" s="84">
        <f t="shared" si="0"/>
        <v>-46200.850000000006</v>
      </c>
      <c r="F20" s="26">
        <f t="shared" si="2"/>
        <v>0.7630725641025641</v>
      </c>
      <c r="G20" s="30">
        <f t="shared" si="1"/>
        <v>0.007629747608395162</v>
      </c>
      <c r="H20" s="28"/>
      <c r="I20" s="28"/>
      <c r="J20" s="28"/>
      <c r="K20" s="28"/>
      <c r="L20" s="28"/>
      <c r="M20" s="28"/>
      <c r="N20" s="28"/>
      <c r="P20" s="59"/>
      <c r="Q20" s="59"/>
      <c r="R20" s="137"/>
      <c r="S20" s="80"/>
      <c r="T20" s="80"/>
      <c r="U20" s="60"/>
      <c r="V20" s="60"/>
      <c r="W20" s="60"/>
      <c r="X20" s="60"/>
    </row>
    <row r="21" spans="1:24" ht="12.75">
      <c r="A21" s="9" t="s">
        <v>42</v>
      </c>
      <c r="B21" s="14" t="s">
        <v>168</v>
      </c>
      <c r="C21" s="82">
        <v>283383.12</v>
      </c>
      <c r="D21" s="82">
        <v>131500</v>
      </c>
      <c r="E21" s="84">
        <f t="shared" si="0"/>
        <v>151883.12</v>
      </c>
      <c r="F21" s="26">
        <f t="shared" si="2"/>
        <v>2.1550047148288973</v>
      </c>
      <c r="G21" s="30">
        <f t="shared" si="1"/>
        <v>0.005145188771815199</v>
      </c>
      <c r="H21" s="28"/>
      <c r="I21" s="28"/>
      <c r="J21" s="28"/>
      <c r="K21" s="28"/>
      <c r="L21" s="28"/>
      <c r="M21" s="28"/>
      <c r="N21" s="28"/>
      <c r="P21" s="59"/>
      <c r="Q21" s="59"/>
      <c r="R21" s="137"/>
      <c r="S21" s="80"/>
      <c r="T21" s="80"/>
      <c r="U21" s="60"/>
      <c r="V21" s="60"/>
      <c r="W21" s="60"/>
      <c r="X21" s="60"/>
    </row>
    <row r="22" spans="1:24" ht="12.75">
      <c r="A22" s="9" t="s">
        <v>43</v>
      </c>
      <c r="B22" s="14" t="s">
        <v>169</v>
      </c>
      <c r="C22" s="82">
        <v>592605.6200000001</v>
      </c>
      <c r="D22" s="82">
        <v>750000</v>
      </c>
      <c r="E22" s="84">
        <f t="shared" si="0"/>
        <v>-157394.3799999999</v>
      </c>
      <c r="F22" s="26">
        <f t="shared" si="2"/>
        <v>0.7901408266666669</v>
      </c>
      <c r="G22" s="30">
        <f t="shared" si="1"/>
        <v>0.02934518310921216</v>
      </c>
      <c r="H22" s="28"/>
      <c r="I22" s="28"/>
      <c r="J22" s="28"/>
      <c r="K22" s="28"/>
      <c r="L22" s="28"/>
      <c r="M22" s="28"/>
      <c r="N22" s="28"/>
      <c r="P22" s="59"/>
      <c r="Q22" s="59"/>
      <c r="R22" s="137"/>
      <c r="S22" s="80"/>
      <c r="T22" s="80"/>
      <c r="U22" s="60"/>
      <c r="V22" s="60"/>
      <c r="W22" s="60"/>
      <c r="X22" s="60"/>
    </row>
    <row r="23" spans="1:24" ht="12.75">
      <c r="A23" s="9" t="s">
        <v>44</v>
      </c>
      <c r="B23" s="14" t="s">
        <v>170</v>
      </c>
      <c r="C23" s="82">
        <v>633636.39</v>
      </c>
      <c r="D23" s="82">
        <v>267000</v>
      </c>
      <c r="E23" s="84">
        <f t="shared" si="0"/>
        <v>366636.39</v>
      </c>
      <c r="F23" s="26">
        <f t="shared" si="2"/>
        <v>2.37317</v>
      </c>
      <c r="G23" s="30">
        <f t="shared" si="1"/>
        <v>0.010446885186879529</v>
      </c>
      <c r="H23" s="28"/>
      <c r="I23" s="28"/>
      <c r="J23" s="28"/>
      <c r="K23" s="28"/>
      <c r="L23" s="28"/>
      <c r="M23" s="28"/>
      <c r="N23" s="28"/>
      <c r="P23" s="59"/>
      <c r="Q23" s="59"/>
      <c r="R23" s="137"/>
      <c r="S23" s="80"/>
      <c r="T23" s="80"/>
      <c r="U23" s="60"/>
      <c r="V23" s="60"/>
      <c r="W23" s="60"/>
      <c r="X23" s="60"/>
    </row>
    <row r="24" spans="1:24" ht="12.75">
      <c r="A24" s="9" t="s">
        <v>151</v>
      </c>
      <c r="B24" s="14" t="s">
        <v>87</v>
      </c>
      <c r="C24" s="82">
        <v>861939.01</v>
      </c>
      <c r="D24" s="82">
        <v>600000</v>
      </c>
      <c r="E24" s="84">
        <f t="shared" si="0"/>
        <v>261939.01</v>
      </c>
      <c r="F24" s="26">
        <f t="shared" si="2"/>
        <v>1.4365650166666666</v>
      </c>
      <c r="G24" s="30">
        <f t="shared" si="1"/>
        <v>0.023476146487369728</v>
      </c>
      <c r="H24" s="28"/>
      <c r="I24" s="28"/>
      <c r="J24" s="28"/>
      <c r="K24" s="28"/>
      <c r="L24" s="28"/>
      <c r="M24" s="28"/>
      <c r="N24" s="28"/>
      <c r="P24" s="59"/>
      <c r="Q24" s="59"/>
      <c r="R24" s="137"/>
      <c r="S24" s="80"/>
      <c r="T24" s="80"/>
      <c r="U24" s="60"/>
      <c r="V24" s="60"/>
      <c r="W24" s="60"/>
      <c r="X24" s="60"/>
    </row>
    <row r="25" spans="1:24" ht="12.75">
      <c r="A25" s="9" t="s">
        <v>150</v>
      </c>
      <c r="B25" s="14" t="s">
        <v>171</v>
      </c>
      <c r="C25" s="82">
        <v>5403894.629999999</v>
      </c>
      <c r="D25" s="82">
        <v>3769751</v>
      </c>
      <c r="E25" s="84">
        <f t="shared" si="0"/>
        <v>1634143.629999999</v>
      </c>
      <c r="F25" s="26">
        <f t="shared" si="2"/>
        <v>1.4334884797430916</v>
      </c>
      <c r="G25" s="30">
        <f t="shared" si="1"/>
        <v>0.1474987111615142</v>
      </c>
      <c r="H25" s="28"/>
      <c r="I25" s="28"/>
      <c r="J25" s="28"/>
      <c r="K25" s="28"/>
      <c r="L25" s="28"/>
      <c r="M25" s="28"/>
      <c r="N25" s="28"/>
      <c r="P25" s="59"/>
      <c r="Q25" s="59"/>
      <c r="R25" s="137"/>
      <c r="S25" s="80"/>
      <c r="T25" s="80"/>
      <c r="U25" s="60"/>
      <c r="V25" s="60"/>
      <c r="W25" s="60"/>
      <c r="X25" s="60"/>
    </row>
    <row r="26" spans="1:24" ht="12.75">
      <c r="A26" s="9" t="s">
        <v>152</v>
      </c>
      <c r="B26" s="14" t="s">
        <v>172</v>
      </c>
      <c r="C26" s="82">
        <v>175355.71000000002</v>
      </c>
      <c r="D26" s="82">
        <v>155540</v>
      </c>
      <c r="E26" s="84">
        <f t="shared" si="0"/>
        <v>19815.71000000002</v>
      </c>
      <c r="F26" s="26">
        <f t="shared" si="2"/>
        <v>1.1273994470875661</v>
      </c>
      <c r="G26" s="30">
        <f t="shared" si="1"/>
        <v>0.0060857997077424794</v>
      </c>
      <c r="H26" s="28"/>
      <c r="I26" s="28"/>
      <c r="J26" s="28"/>
      <c r="K26" s="28"/>
      <c r="L26" s="28"/>
      <c r="M26" s="28"/>
      <c r="N26" s="28"/>
      <c r="P26" s="59"/>
      <c r="Q26" s="59"/>
      <c r="R26" s="137"/>
      <c r="S26" s="80"/>
      <c r="T26" s="80"/>
      <c r="U26" s="60"/>
      <c r="V26" s="60"/>
      <c r="W26" s="60"/>
      <c r="X26" s="60"/>
    </row>
    <row r="27" spans="1:24" ht="12.75">
      <c r="A27" s="9" t="s">
        <v>153</v>
      </c>
      <c r="B27" s="14" t="s">
        <v>173</v>
      </c>
      <c r="C27" s="82">
        <v>1088481.8199999998</v>
      </c>
      <c r="D27" s="82">
        <v>200000</v>
      </c>
      <c r="E27" s="84">
        <f t="shared" si="0"/>
        <v>888481.8199999998</v>
      </c>
      <c r="F27" s="26">
        <f t="shared" si="2"/>
        <v>5.442409099999999</v>
      </c>
      <c r="G27" s="30">
        <f t="shared" si="1"/>
        <v>0.007825382162456576</v>
      </c>
      <c r="H27" s="28"/>
      <c r="I27" s="28"/>
      <c r="J27" s="28"/>
      <c r="K27" s="28"/>
      <c r="L27" s="28"/>
      <c r="M27" s="28"/>
      <c r="N27" s="28"/>
      <c r="P27" s="59"/>
      <c r="Q27" s="59"/>
      <c r="R27" s="137"/>
      <c r="S27" s="80"/>
      <c r="T27" s="80"/>
      <c r="U27" s="60"/>
      <c r="V27" s="60"/>
      <c r="W27" s="60"/>
      <c r="X27" s="60"/>
    </row>
    <row r="28" spans="1:24" ht="12.75">
      <c r="A28" s="9" t="s">
        <v>154</v>
      </c>
      <c r="B28" s="81" t="s">
        <v>174</v>
      </c>
      <c r="C28" s="82">
        <v>51694.090000000004</v>
      </c>
      <c r="D28" s="82">
        <v>20000</v>
      </c>
      <c r="E28" s="84">
        <f t="shared" si="0"/>
        <v>31694.090000000004</v>
      </c>
      <c r="F28" s="26">
        <f t="shared" si="2"/>
        <v>2.5847045000000004</v>
      </c>
      <c r="G28" s="30">
        <f t="shared" si="1"/>
        <v>0.0007825382162456576</v>
      </c>
      <c r="H28" s="28"/>
      <c r="I28" s="28"/>
      <c r="J28" s="28"/>
      <c r="K28" s="28"/>
      <c r="L28" s="28"/>
      <c r="M28" s="28"/>
      <c r="N28" s="28"/>
      <c r="P28" s="59"/>
      <c r="U28" s="60"/>
      <c r="V28" s="60"/>
      <c r="W28" s="60"/>
      <c r="X28" s="60"/>
    </row>
    <row r="29" spans="1:24" ht="12.75">
      <c r="A29" s="9" t="s">
        <v>155</v>
      </c>
      <c r="B29" s="81" t="s">
        <v>89</v>
      </c>
      <c r="C29" s="82">
        <v>548021.33</v>
      </c>
      <c r="D29" s="82">
        <v>80000</v>
      </c>
      <c r="E29" s="84">
        <f t="shared" si="0"/>
        <v>468021.32999999996</v>
      </c>
      <c r="F29" s="26">
        <f t="shared" si="2"/>
        <v>6.850266625</v>
      </c>
      <c r="G29" s="30">
        <f t="shared" si="1"/>
        <v>0.0031301528649826304</v>
      </c>
      <c r="H29" s="28"/>
      <c r="I29" s="28"/>
      <c r="J29" s="28"/>
      <c r="K29" s="28"/>
      <c r="L29" s="28"/>
      <c r="M29" s="28"/>
      <c r="N29" s="28"/>
      <c r="P29" s="59"/>
      <c r="U29" s="60"/>
      <c r="V29" s="60"/>
      <c r="W29" s="60"/>
      <c r="X29" s="60"/>
    </row>
    <row r="30" spans="1:24" ht="12.75">
      <c r="A30" s="9" t="s">
        <v>156</v>
      </c>
      <c r="B30" s="81" t="s">
        <v>90</v>
      </c>
      <c r="C30" s="82">
        <v>559415.48</v>
      </c>
      <c r="D30" s="82">
        <v>500000</v>
      </c>
      <c r="E30" s="84">
        <f t="shared" si="0"/>
        <v>59415.47999999998</v>
      </c>
      <c r="F30" s="26">
        <f t="shared" si="2"/>
        <v>1.11883096</v>
      </c>
      <c r="G30" s="30">
        <f t="shared" si="1"/>
        <v>0.01956345540614144</v>
      </c>
      <c r="H30" s="28"/>
      <c r="I30" s="28"/>
      <c r="J30" s="28"/>
      <c r="K30" s="28"/>
      <c r="L30" s="28"/>
      <c r="M30" s="28"/>
      <c r="N30" s="28"/>
      <c r="P30" s="59"/>
      <c r="U30" s="60"/>
      <c r="V30" s="60"/>
      <c r="W30" s="60"/>
      <c r="X30" s="60"/>
    </row>
    <row r="31" spans="1:24" ht="12.75">
      <c r="A31" s="9" t="s">
        <v>157</v>
      </c>
      <c r="B31" s="81" t="s">
        <v>91</v>
      </c>
      <c r="C31" s="82">
        <v>160725.44999999998</v>
      </c>
      <c r="D31" s="82">
        <v>160000</v>
      </c>
      <c r="E31" s="84">
        <f t="shared" si="0"/>
        <v>725.4499999999825</v>
      </c>
      <c r="F31" s="26">
        <f t="shared" si="2"/>
        <v>1.0045340624999999</v>
      </c>
      <c r="G31" s="30">
        <f t="shared" si="1"/>
        <v>0.006260305729965261</v>
      </c>
      <c r="H31" s="28"/>
      <c r="I31" s="28"/>
      <c r="J31" s="28"/>
      <c r="K31" s="28"/>
      <c r="L31" s="28"/>
      <c r="M31" s="28"/>
      <c r="N31" s="28"/>
      <c r="P31" s="59"/>
      <c r="U31" s="60"/>
      <c r="V31" s="60"/>
      <c r="W31" s="60"/>
      <c r="X31" s="60"/>
    </row>
    <row r="32" spans="1:24" ht="12.75" customHeight="1">
      <c r="A32" s="9" t="s">
        <v>158</v>
      </c>
      <c r="B32" s="81" t="s">
        <v>175</v>
      </c>
      <c r="C32" s="82">
        <v>1891192.3299999998</v>
      </c>
      <c r="D32" s="82">
        <v>1085000</v>
      </c>
      <c r="E32" s="84">
        <f t="shared" si="0"/>
        <v>806192.3299999998</v>
      </c>
      <c r="F32" s="26">
        <f t="shared" si="2"/>
        <v>1.7430344055299538</v>
      </c>
      <c r="G32" s="30">
        <f t="shared" si="1"/>
        <v>0.04245269823132693</v>
      </c>
      <c r="H32" s="28"/>
      <c r="I32" s="28"/>
      <c r="J32" s="28"/>
      <c r="K32" s="28"/>
      <c r="L32" s="28"/>
      <c r="M32" s="28"/>
      <c r="N32" s="28"/>
      <c r="P32" s="7"/>
      <c r="U32" s="7"/>
      <c r="V32" s="7"/>
      <c r="W32" s="7"/>
      <c r="X32" s="7"/>
    </row>
    <row r="33" spans="1:14" ht="12.75">
      <c r="A33" s="9" t="s">
        <v>159</v>
      </c>
      <c r="B33" s="14" t="s">
        <v>176</v>
      </c>
      <c r="C33" s="82">
        <v>197662.51</v>
      </c>
      <c r="D33" s="82">
        <v>0</v>
      </c>
      <c r="E33" s="84">
        <f t="shared" si="0"/>
        <v>197662.51</v>
      </c>
      <c r="F33" s="26"/>
      <c r="G33" s="30">
        <f t="shared" si="1"/>
        <v>0</v>
      </c>
      <c r="H33" s="28"/>
      <c r="I33" s="28"/>
      <c r="J33" s="28"/>
      <c r="K33" s="28"/>
      <c r="L33" s="28"/>
      <c r="M33" s="28"/>
      <c r="N33" s="28"/>
    </row>
    <row r="34" spans="1:14" ht="12.75">
      <c r="A34" s="17" t="s">
        <v>160</v>
      </c>
      <c r="B34" s="23" t="s">
        <v>177</v>
      </c>
      <c r="C34" s="82">
        <v>470794.21</v>
      </c>
      <c r="D34" s="83">
        <v>400000</v>
      </c>
      <c r="E34" s="84">
        <f t="shared" si="0"/>
        <v>70794.21000000002</v>
      </c>
      <c r="F34" s="62">
        <f t="shared" si="2"/>
        <v>1.176985525</v>
      </c>
      <c r="G34" s="62">
        <f t="shared" si="1"/>
        <v>0.015650764324913153</v>
      </c>
      <c r="H34" s="28"/>
      <c r="I34" s="28"/>
      <c r="J34" s="28"/>
      <c r="K34" s="28"/>
      <c r="L34" s="28"/>
      <c r="M34" s="28"/>
      <c r="N34" s="28"/>
    </row>
    <row r="35" spans="1:14" ht="12.75">
      <c r="A35" s="24"/>
      <c r="B35" s="25" t="s">
        <v>31</v>
      </c>
      <c r="C35" s="34">
        <f>SUM(C15:C34)</f>
        <v>17586191.060000002</v>
      </c>
      <c r="D35" s="34">
        <f>SUM(D15:D34)</f>
        <v>13296891</v>
      </c>
      <c r="E35" s="34">
        <f>SUM(E15:E34)</f>
        <v>4289300.059999999</v>
      </c>
      <c r="F35" s="32">
        <f>C35/D35</f>
        <v>1.3225791698224798</v>
      </c>
      <c r="G35" s="35"/>
      <c r="H35" s="28"/>
      <c r="I35" s="28"/>
      <c r="J35" s="28"/>
      <c r="K35" s="28"/>
      <c r="L35" s="28"/>
      <c r="M35" s="28"/>
      <c r="N35" s="28"/>
    </row>
    <row r="36" spans="1:14" ht="12.75">
      <c r="A36" s="24"/>
      <c r="B36" s="25" t="s">
        <v>161</v>
      </c>
      <c r="C36" s="34">
        <f>C15</f>
        <v>1820567.53</v>
      </c>
      <c r="D36" s="34">
        <f>D15</f>
        <v>2300000</v>
      </c>
      <c r="E36" s="34">
        <f>E15</f>
        <v>-479432.47</v>
      </c>
      <c r="F36" s="35"/>
      <c r="G36" s="35"/>
      <c r="H36" s="28"/>
      <c r="I36" s="28"/>
      <c r="J36" s="28"/>
      <c r="K36" s="28"/>
      <c r="L36" s="28"/>
      <c r="M36" s="28"/>
      <c r="N36" s="28"/>
    </row>
    <row r="37" spans="1:14" ht="12.75">
      <c r="A37" s="24"/>
      <c r="B37" s="25" t="s">
        <v>162</v>
      </c>
      <c r="C37" s="34">
        <f>C35-C36</f>
        <v>15765623.530000003</v>
      </c>
      <c r="D37" s="34">
        <f>D35-D36</f>
        <v>10996891</v>
      </c>
      <c r="E37" s="34">
        <f>E35-E36</f>
        <v>4768732.529999998</v>
      </c>
      <c r="F37" s="36">
        <f>C37/D37</f>
        <v>1.4336437025701176</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2011</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8"/>
      <c r="B52" s="12"/>
      <c r="C52" s="12"/>
      <c r="D52" s="12"/>
      <c r="E52" s="12"/>
      <c r="F52" s="12"/>
      <c r="G52" s="12"/>
      <c r="H52" s="12" t="s">
        <v>8</v>
      </c>
      <c r="I52" s="12" t="s">
        <v>8</v>
      </c>
      <c r="J52" s="12"/>
      <c r="K52" s="12" t="s">
        <v>9</v>
      </c>
      <c r="L52" s="12" t="s">
        <v>9</v>
      </c>
      <c r="M52" s="12"/>
      <c r="N52" s="12"/>
    </row>
    <row r="53" spans="1:14" ht="12.75">
      <c r="A53" s="9"/>
      <c r="B53" s="15"/>
      <c r="C53" s="15"/>
      <c r="D53" s="15" t="s">
        <v>12</v>
      </c>
      <c r="E53" s="15"/>
      <c r="F53" s="15"/>
      <c r="G53" s="15" t="s">
        <v>13</v>
      </c>
      <c r="H53" s="15" t="s">
        <v>14</v>
      </c>
      <c r="I53" s="15" t="s">
        <v>15</v>
      </c>
      <c r="J53" s="15"/>
      <c r="K53" s="15" t="s">
        <v>16</v>
      </c>
      <c r="L53" s="15" t="s">
        <v>16</v>
      </c>
      <c r="M53" s="15" t="s">
        <v>9</v>
      </c>
      <c r="N53" s="15" t="s">
        <v>9</v>
      </c>
    </row>
    <row r="54" spans="1:14" ht="12.75">
      <c r="A54" s="9"/>
      <c r="B54" s="15"/>
      <c r="C54" s="15" t="s">
        <v>12</v>
      </c>
      <c r="D54" s="15" t="s">
        <v>16</v>
      </c>
      <c r="E54" s="15" t="s">
        <v>22</v>
      </c>
      <c r="F54" s="15" t="s">
        <v>22</v>
      </c>
      <c r="G54" s="15" t="s">
        <v>23</v>
      </c>
      <c r="H54" s="15" t="s">
        <v>24</v>
      </c>
      <c r="I54" s="15" t="s">
        <v>24</v>
      </c>
      <c r="J54" s="15"/>
      <c r="K54" s="15" t="s">
        <v>15</v>
      </c>
      <c r="L54" s="15" t="s">
        <v>15</v>
      </c>
      <c r="M54" s="15" t="s">
        <v>14</v>
      </c>
      <c r="N54" s="15" t="s">
        <v>14</v>
      </c>
    </row>
    <row r="55" spans="1:14" ht="12.75">
      <c r="A55" s="17" t="s">
        <v>25</v>
      </c>
      <c r="B55" s="20" t="s">
        <v>26</v>
      </c>
      <c r="C55" s="125" t="s">
        <v>14</v>
      </c>
      <c r="D55" s="20" t="s">
        <v>15</v>
      </c>
      <c r="E55" s="20" t="s">
        <v>27</v>
      </c>
      <c r="F55" s="20" t="s">
        <v>13</v>
      </c>
      <c r="G55" s="20" t="s">
        <v>15</v>
      </c>
      <c r="H55" s="20" t="s">
        <v>28</v>
      </c>
      <c r="I55" s="20" t="s">
        <v>28</v>
      </c>
      <c r="J55" s="20" t="s">
        <v>22</v>
      </c>
      <c r="K55" s="20" t="s">
        <v>29</v>
      </c>
      <c r="L55" s="20" t="s">
        <v>30</v>
      </c>
      <c r="M55" s="20" t="s">
        <v>29</v>
      </c>
      <c r="N55" s="20" t="s">
        <v>30</v>
      </c>
    </row>
    <row r="56" spans="1:14" ht="12.75">
      <c r="A56" s="50"/>
      <c r="B56" s="51" t="s">
        <v>17</v>
      </c>
      <c r="C56" s="52"/>
      <c r="D56" s="52"/>
      <c r="E56" s="52"/>
      <c r="F56" s="53"/>
      <c r="G56" s="53"/>
      <c r="H56" s="54"/>
      <c r="I56" s="54"/>
      <c r="J56" s="54"/>
      <c r="K56" s="54"/>
      <c r="L56" s="54"/>
      <c r="M56" s="54"/>
      <c r="N56" s="54"/>
    </row>
    <row r="57" spans="1:14" ht="12.75">
      <c r="A57" s="117" t="s">
        <v>206</v>
      </c>
      <c r="B57" s="112" t="s">
        <v>220</v>
      </c>
      <c r="C57" s="84">
        <v>0</v>
      </c>
      <c r="D57" s="84"/>
      <c r="E57" s="85">
        <f aca="true" t="shared" si="3" ref="E57:E69">C57-D57</f>
        <v>0</v>
      </c>
      <c r="F57" s="30"/>
      <c r="G57" s="49">
        <f aca="true" t="shared" si="4" ref="G57:G74">D57/(D$35+D$75)</f>
        <v>0</v>
      </c>
      <c r="H57" s="29"/>
      <c r="I57" s="29"/>
      <c r="J57" s="38">
        <f aca="true" t="shared" si="5" ref="J57:J69">H57-I57</f>
        <v>0</v>
      </c>
      <c r="K57" s="40">
        <v>37347</v>
      </c>
      <c r="L57" s="40">
        <v>37956</v>
      </c>
      <c r="M57" s="40">
        <v>37043</v>
      </c>
      <c r="N57" s="46">
        <v>40483</v>
      </c>
    </row>
    <row r="58" spans="1:14" ht="12.75">
      <c r="A58" s="116" t="s">
        <v>207</v>
      </c>
      <c r="B58" s="112" t="s">
        <v>221</v>
      </c>
      <c r="C58" s="84">
        <v>713639.0999999999</v>
      </c>
      <c r="D58" s="84">
        <v>199999.9</v>
      </c>
      <c r="E58" s="85">
        <f t="shared" si="3"/>
        <v>513639.19999999984</v>
      </c>
      <c r="F58" s="30">
        <f aca="true" t="shared" si="6" ref="F58:F72">C58/D58</f>
        <v>3.5681972840986416</v>
      </c>
      <c r="G58" s="49">
        <f t="shared" si="4"/>
        <v>0.007825378249765494</v>
      </c>
      <c r="H58" s="29"/>
      <c r="I58" s="29"/>
      <c r="J58" s="38">
        <f t="shared" si="5"/>
        <v>0</v>
      </c>
      <c r="K58" s="42">
        <v>38838</v>
      </c>
      <c r="L58" s="40">
        <v>40513</v>
      </c>
      <c r="M58" s="40">
        <v>38838</v>
      </c>
      <c r="N58" s="46"/>
    </row>
    <row r="59" spans="1:14" ht="12.75">
      <c r="A59" s="117" t="s">
        <v>209</v>
      </c>
      <c r="B59" s="112" t="s">
        <v>223</v>
      </c>
      <c r="C59" s="84">
        <v>-79129.32999999999</v>
      </c>
      <c r="D59" s="84"/>
      <c r="E59" s="84">
        <f t="shared" si="3"/>
        <v>-79129.32999999999</v>
      </c>
      <c r="F59" s="30"/>
      <c r="G59" s="87">
        <f t="shared" si="4"/>
        <v>0</v>
      </c>
      <c r="H59" s="29">
        <v>3049717.73</v>
      </c>
      <c r="I59" s="29">
        <v>3136145</v>
      </c>
      <c r="J59" s="38">
        <f t="shared" si="5"/>
        <v>-86427.27000000002</v>
      </c>
      <c r="K59" s="40">
        <v>39417</v>
      </c>
      <c r="L59" s="101">
        <v>39965</v>
      </c>
      <c r="M59" s="101">
        <v>39508</v>
      </c>
      <c r="N59" s="102">
        <v>40817</v>
      </c>
    </row>
    <row r="60" spans="1:14" ht="12.75">
      <c r="A60" s="117" t="s">
        <v>210</v>
      </c>
      <c r="B60" s="112" t="s">
        <v>224</v>
      </c>
      <c r="C60" s="84">
        <v>-129988.6</v>
      </c>
      <c r="D60" s="84">
        <v>980513</v>
      </c>
      <c r="E60" s="84">
        <f>C60-D60</f>
        <v>-1110501.6</v>
      </c>
      <c r="F60" s="30">
        <f t="shared" si="6"/>
        <v>-0.13257203117143782</v>
      </c>
      <c r="G60" s="87">
        <f t="shared" si="4"/>
        <v>0.038364444701283924</v>
      </c>
      <c r="H60" s="29"/>
      <c r="I60" s="29"/>
      <c r="J60" s="38">
        <f>H60-I60</f>
        <v>0</v>
      </c>
      <c r="K60" s="40">
        <v>39569</v>
      </c>
      <c r="L60" s="40">
        <v>39934</v>
      </c>
      <c r="M60" s="102">
        <v>39569</v>
      </c>
      <c r="N60" s="102" t="s">
        <v>137</v>
      </c>
    </row>
    <row r="61" spans="1:14" ht="12.75">
      <c r="A61" s="117" t="s">
        <v>211</v>
      </c>
      <c r="B61" s="112" t="s">
        <v>225</v>
      </c>
      <c r="C61" s="84">
        <v>-107.77</v>
      </c>
      <c r="D61" s="84"/>
      <c r="E61" s="84">
        <f t="shared" si="3"/>
        <v>-107.77</v>
      </c>
      <c r="F61" s="30"/>
      <c r="G61" s="87">
        <f t="shared" si="4"/>
        <v>0</v>
      </c>
      <c r="H61" s="29">
        <v>549821.23</v>
      </c>
      <c r="I61" s="29">
        <v>532854</v>
      </c>
      <c r="J61" s="38">
        <f t="shared" si="5"/>
        <v>16967.22999999998</v>
      </c>
      <c r="K61" s="40">
        <v>39934</v>
      </c>
      <c r="L61" s="40">
        <v>39995</v>
      </c>
      <c r="M61" s="40">
        <v>40330</v>
      </c>
      <c r="N61" s="46">
        <v>40544</v>
      </c>
    </row>
    <row r="62" spans="1:14" ht="12.75">
      <c r="A62" s="117" t="s">
        <v>212</v>
      </c>
      <c r="B62" s="112" t="s">
        <v>226</v>
      </c>
      <c r="C62" s="84">
        <v>415236.31</v>
      </c>
      <c r="D62" s="84">
        <v>897983</v>
      </c>
      <c r="E62" s="84">
        <f t="shared" si="3"/>
        <v>-482746.69</v>
      </c>
      <c r="F62" s="30">
        <f t="shared" si="6"/>
        <v>0.46240998994413035</v>
      </c>
      <c r="G62" s="87">
        <f t="shared" si="4"/>
        <v>0.035135300751946215</v>
      </c>
      <c r="H62" s="29"/>
      <c r="I62" s="29"/>
      <c r="J62" s="38">
        <f t="shared" si="5"/>
        <v>0</v>
      </c>
      <c r="K62" s="40">
        <v>40210</v>
      </c>
      <c r="L62" s="40">
        <v>40452</v>
      </c>
      <c r="M62" s="40">
        <v>40422</v>
      </c>
      <c r="N62" s="46"/>
    </row>
    <row r="63" spans="1:14" ht="12.75">
      <c r="A63" s="117" t="s">
        <v>213</v>
      </c>
      <c r="B63" s="112" t="s">
        <v>227</v>
      </c>
      <c r="C63" s="84">
        <v>666047.27</v>
      </c>
      <c r="D63" s="84">
        <v>1263746</v>
      </c>
      <c r="E63" s="84">
        <f t="shared" si="3"/>
        <v>-597698.73</v>
      </c>
      <c r="F63" s="30">
        <f t="shared" si="6"/>
        <v>0.5270420400934999</v>
      </c>
      <c r="G63" s="87">
        <f t="shared" si="4"/>
        <v>0.04944647703137924</v>
      </c>
      <c r="H63" s="29"/>
      <c r="I63" s="29"/>
      <c r="J63" s="38">
        <f t="shared" si="5"/>
        <v>0</v>
      </c>
      <c r="K63" s="40">
        <v>40634</v>
      </c>
      <c r="L63" s="40">
        <v>40817</v>
      </c>
      <c r="M63" s="40">
        <v>40452</v>
      </c>
      <c r="N63" s="46"/>
    </row>
    <row r="64" spans="1:14" ht="12.75">
      <c r="A64" s="138" t="s">
        <v>243</v>
      </c>
      <c r="B64" s="112" t="s">
        <v>237</v>
      </c>
      <c r="C64" s="84">
        <v>0</v>
      </c>
      <c r="D64" s="84">
        <v>660000</v>
      </c>
      <c r="E64" s="84">
        <f t="shared" si="3"/>
        <v>-660000</v>
      </c>
      <c r="F64" s="30">
        <f t="shared" si="6"/>
        <v>0</v>
      </c>
      <c r="G64" s="30">
        <f t="shared" si="4"/>
        <v>0.0258237611361067</v>
      </c>
      <c r="H64" s="29"/>
      <c r="I64" s="29"/>
      <c r="J64" s="38">
        <f t="shared" si="5"/>
        <v>0</v>
      </c>
      <c r="K64" s="40">
        <v>40817</v>
      </c>
      <c r="L64" s="40">
        <v>41153</v>
      </c>
      <c r="M64" s="40" t="s">
        <v>137</v>
      </c>
      <c r="N64" s="46" t="s">
        <v>137</v>
      </c>
    </row>
    <row r="65" spans="1:14" ht="12.75">
      <c r="A65" s="138" t="s">
        <v>214</v>
      </c>
      <c r="B65" s="112" t="s">
        <v>228</v>
      </c>
      <c r="C65" s="84">
        <v>0</v>
      </c>
      <c r="D65" s="84">
        <v>1000000</v>
      </c>
      <c r="E65" s="84">
        <f t="shared" si="3"/>
        <v>-1000000</v>
      </c>
      <c r="F65" s="30">
        <f t="shared" si="6"/>
        <v>0</v>
      </c>
      <c r="G65" s="30">
        <f t="shared" si="4"/>
        <v>0.03912691081228288</v>
      </c>
      <c r="H65" s="29"/>
      <c r="I65" s="29"/>
      <c r="J65" s="38">
        <f t="shared" si="5"/>
        <v>0</v>
      </c>
      <c r="K65" s="40">
        <v>40756</v>
      </c>
      <c r="L65" s="40">
        <v>40878</v>
      </c>
      <c r="M65" s="40" t="s">
        <v>137</v>
      </c>
      <c r="N65" s="46" t="s">
        <v>137</v>
      </c>
    </row>
    <row r="66" spans="1:14" ht="12.75">
      <c r="A66" s="116" t="s">
        <v>215</v>
      </c>
      <c r="B66" s="112" t="s">
        <v>229</v>
      </c>
      <c r="C66" s="84">
        <v>138043.15</v>
      </c>
      <c r="D66" s="84"/>
      <c r="E66" s="84">
        <f t="shared" si="3"/>
        <v>138043.15</v>
      </c>
      <c r="F66" s="30"/>
      <c r="G66" s="30">
        <f t="shared" si="4"/>
        <v>0</v>
      </c>
      <c r="H66" s="29">
        <v>2808875.57</v>
      </c>
      <c r="I66" s="29">
        <v>2756632</v>
      </c>
      <c r="J66" s="38">
        <f t="shared" si="5"/>
        <v>52243.56999999983</v>
      </c>
      <c r="K66" s="40">
        <v>40238</v>
      </c>
      <c r="L66" s="40">
        <v>40513</v>
      </c>
      <c r="M66" s="40">
        <v>40299</v>
      </c>
      <c r="N66" s="46">
        <v>40848</v>
      </c>
    </row>
    <row r="67" spans="1:14" ht="12.75">
      <c r="A67" s="116" t="s">
        <v>244</v>
      </c>
      <c r="B67" s="112" t="s">
        <v>238</v>
      </c>
      <c r="C67" s="84">
        <v>447813.89</v>
      </c>
      <c r="D67" s="84"/>
      <c r="E67" s="84">
        <f t="shared" si="3"/>
        <v>447813.89</v>
      </c>
      <c r="F67" s="30"/>
      <c r="G67" s="30">
        <f t="shared" si="4"/>
        <v>0</v>
      </c>
      <c r="H67" s="29"/>
      <c r="I67" s="29"/>
      <c r="J67" s="38">
        <f t="shared" si="5"/>
        <v>0</v>
      </c>
      <c r="K67" s="40">
        <v>40817</v>
      </c>
      <c r="L67" s="40">
        <v>41091</v>
      </c>
      <c r="M67" s="40">
        <v>40817</v>
      </c>
      <c r="N67" s="46"/>
    </row>
    <row r="68" spans="1:14" ht="12.75">
      <c r="A68" s="116" t="s">
        <v>245</v>
      </c>
      <c r="B68" s="112" t="s">
        <v>239</v>
      </c>
      <c r="C68" s="84">
        <v>344375.07</v>
      </c>
      <c r="D68" s="84">
        <v>4700000</v>
      </c>
      <c r="E68" s="84">
        <f t="shared" si="3"/>
        <v>-4355624.93</v>
      </c>
      <c r="F68" s="30">
        <f t="shared" si="6"/>
        <v>0.0732712914893617</v>
      </c>
      <c r="G68" s="30">
        <f t="shared" si="4"/>
        <v>0.18389648081772952</v>
      </c>
      <c r="H68" s="29"/>
      <c r="I68" s="29"/>
      <c r="J68" s="38">
        <f t="shared" si="5"/>
        <v>0</v>
      </c>
      <c r="K68" s="40">
        <v>40575</v>
      </c>
      <c r="L68" s="46" t="s">
        <v>137</v>
      </c>
      <c r="M68" s="46" t="s">
        <v>137</v>
      </c>
      <c r="N68" s="46" t="s">
        <v>137</v>
      </c>
    </row>
    <row r="69" spans="1:14" ht="12.75">
      <c r="A69" s="116" t="s">
        <v>246</v>
      </c>
      <c r="B69" s="112" t="s">
        <v>240</v>
      </c>
      <c r="C69" s="84">
        <v>0</v>
      </c>
      <c r="D69" s="84">
        <v>140000</v>
      </c>
      <c r="E69" s="84">
        <f t="shared" si="3"/>
        <v>-140000</v>
      </c>
      <c r="F69" s="30">
        <f t="shared" si="6"/>
        <v>0</v>
      </c>
      <c r="G69" s="30">
        <f t="shared" si="4"/>
        <v>0.005477767513719603</v>
      </c>
      <c r="H69" s="29"/>
      <c r="I69" s="29"/>
      <c r="J69" s="38">
        <f t="shared" si="5"/>
        <v>0</v>
      </c>
      <c r="K69" s="40">
        <v>40634</v>
      </c>
      <c r="L69" s="40">
        <v>40725</v>
      </c>
      <c r="M69" s="40" t="s">
        <v>137</v>
      </c>
      <c r="N69" s="46" t="s">
        <v>137</v>
      </c>
    </row>
    <row r="70" spans="1:14" ht="12.75">
      <c r="A70" s="116" t="s">
        <v>216</v>
      </c>
      <c r="B70" s="112" t="s">
        <v>241</v>
      </c>
      <c r="C70" s="84">
        <v>3511543.81</v>
      </c>
      <c r="D70" s="84">
        <v>2304462</v>
      </c>
      <c r="E70" s="84">
        <f>C70-D70</f>
        <v>1207081.81</v>
      </c>
      <c r="F70" s="30">
        <f t="shared" si="6"/>
        <v>1.5238020023762597</v>
      </c>
      <c r="G70" s="30">
        <f t="shared" si="4"/>
        <v>0.09016647914429503</v>
      </c>
      <c r="H70" s="29"/>
      <c r="I70" s="29"/>
      <c r="J70" s="38"/>
      <c r="K70" s="40">
        <v>40179</v>
      </c>
      <c r="L70" s="40">
        <v>41974</v>
      </c>
      <c r="M70" s="40">
        <v>40210</v>
      </c>
      <c r="N70" s="46"/>
    </row>
    <row r="71" spans="1:14" ht="12.75">
      <c r="A71" s="116" t="s">
        <v>247</v>
      </c>
      <c r="B71" s="112" t="s">
        <v>242</v>
      </c>
      <c r="C71" s="84">
        <v>300972.07</v>
      </c>
      <c r="D71" s="84"/>
      <c r="E71" s="84">
        <f>C71-D71</f>
        <v>300972.07</v>
      </c>
      <c r="F71" s="30"/>
      <c r="G71" s="30">
        <f t="shared" si="4"/>
        <v>0</v>
      </c>
      <c r="H71" s="29"/>
      <c r="I71" s="29"/>
      <c r="J71" s="38"/>
      <c r="K71" s="40">
        <v>40787</v>
      </c>
      <c r="L71" s="40">
        <v>41974</v>
      </c>
      <c r="M71" s="40">
        <v>40817</v>
      </c>
      <c r="N71" s="46"/>
    </row>
    <row r="72" spans="1:14" ht="12.75">
      <c r="A72" s="116"/>
      <c r="B72" s="112" t="s">
        <v>236</v>
      </c>
      <c r="C72" s="84">
        <v>0</v>
      </c>
      <c r="D72" s="84">
        <v>114262.32</v>
      </c>
      <c r="E72" s="84">
        <f>C72-D72</f>
        <v>-114262.32</v>
      </c>
      <c r="F72" s="30">
        <f t="shared" si="6"/>
        <v>0</v>
      </c>
      <c r="G72" s="30">
        <f t="shared" si="4"/>
        <v>0.004470731603844527</v>
      </c>
      <c r="H72" s="29"/>
      <c r="I72" s="29"/>
      <c r="J72" s="38"/>
      <c r="K72" s="40">
        <v>40544</v>
      </c>
      <c r="L72" s="40">
        <v>40878</v>
      </c>
      <c r="M72" s="40" t="s">
        <v>137</v>
      </c>
      <c r="N72" s="46" t="s">
        <v>137</v>
      </c>
    </row>
    <row r="73" spans="1:14" ht="12.75">
      <c r="A73" s="116" t="s">
        <v>248</v>
      </c>
      <c r="B73" s="112" t="s">
        <v>249</v>
      </c>
      <c r="C73" s="84">
        <v>-83705.15</v>
      </c>
      <c r="D73" s="84"/>
      <c r="E73" s="84">
        <f>C73-D73</f>
        <v>-83705.15</v>
      </c>
      <c r="F73" s="30"/>
      <c r="G73" s="30">
        <f t="shared" si="4"/>
        <v>0</v>
      </c>
      <c r="H73" s="29"/>
      <c r="I73" s="29"/>
      <c r="J73" s="38"/>
      <c r="K73" s="40"/>
      <c r="L73" s="40" t="s">
        <v>137</v>
      </c>
      <c r="M73" s="40" t="s">
        <v>137</v>
      </c>
      <c r="N73" s="46" t="s">
        <v>137</v>
      </c>
    </row>
    <row r="74" spans="1:14" ht="12.75">
      <c r="A74" s="120" t="s">
        <v>234</v>
      </c>
      <c r="B74" s="121" t="s">
        <v>235</v>
      </c>
      <c r="C74" s="84">
        <v>-1090.75</v>
      </c>
      <c r="D74" s="84"/>
      <c r="E74" s="84">
        <f>C74-D74</f>
        <v>-1090.75</v>
      </c>
      <c r="F74" s="30"/>
      <c r="G74" s="62">
        <f t="shared" si="4"/>
        <v>0</v>
      </c>
      <c r="H74" s="31"/>
      <c r="I74" s="31"/>
      <c r="J74" s="39"/>
      <c r="K74" s="43">
        <v>39814</v>
      </c>
      <c r="L74" s="43" t="s">
        <v>137</v>
      </c>
      <c r="M74" s="43" t="s">
        <v>137</v>
      </c>
      <c r="N74" s="44" t="s">
        <v>137</v>
      </c>
    </row>
    <row r="75" spans="3:14" ht="12">
      <c r="C75" s="68">
        <f>SUM(C56:C74)</f>
        <v>6243649.07</v>
      </c>
      <c r="D75" s="34">
        <f>SUM(D56:D74)</f>
        <v>12260966.22</v>
      </c>
      <c r="E75" s="34">
        <f>SUM(E56:E74)</f>
        <v>-6017317.15</v>
      </c>
      <c r="F75" s="36">
        <f>C75/D75</f>
        <v>0.5092297750413344</v>
      </c>
      <c r="G75" s="35"/>
      <c r="H75" s="28"/>
      <c r="I75" s="28"/>
      <c r="J75" s="28"/>
      <c r="K75" s="28"/>
      <c r="L75" s="28"/>
      <c r="M75" s="28"/>
      <c r="N75" s="28"/>
    </row>
    <row r="77" ht="12">
      <c r="C77" s="122"/>
    </row>
    <row r="78" ht="12">
      <c r="C78" s="126"/>
    </row>
    <row r="80" ht="12">
      <c r="C80" s="124"/>
    </row>
    <row r="82" ht="12">
      <c r="C82" s="124"/>
    </row>
  </sheetData>
  <sheetProtection/>
  <mergeCells count="6">
    <mergeCell ref="A1:N1"/>
    <mergeCell ref="A2:N2"/>
    <mergeCell ref="A3:N3"/>
    <mergeCell ref="A42:N42"/>
    <mergeCell ref="A43:N43"/>
    <mergeCell ref="A44:N44"/>
  </mergeCells>
  <printOptions horizontalCentered="1"/>
  <pageMargins left="0.25" right="0.25" top="1" bottom="0.5" header="0" footer="0"/>
  <pageSetup fitToHeight="2" fitToWidth="2" horizontalDpi="600" verticalDpi="600" orientation="landscape" scale="69" r:id="rId1"/>
  <rowBreaks count="1" manualBreakCount="1">
    <brk id="41" max="255" man="1"/>
  </rowBreaks>
  <colBreaks count="1" manualBreakCount="1">
    <brk id="14" max="6553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dimension ref="A1:Z82"/>
  <sheetViews>
    <sheetView tabSelected="1" view="pageBreakPreview" zoomScale="80" zoomScaleSheetLayoutView="80" workbookViewId="0" topLeftCell="A1">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9.66015625" style="1" customWidth="1"/>
    <col min="17" max="17" width="57.5" style="1" customWidth="1"/>
    <col min="18" max="18" width="79.16015625" style="13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2010</v>
      </c>
      <c r="W4" s="2"/>
    </row>
    <row r="5" spans="1:12" ht="12">
      <c r="A5" s="2" t="s">
        <v>2</v>
      </c>
      <c r="L5" s="2" t="s">
        <v>73</v>
      </c>
    </row>
    <row r="6" spans="1:16" ht="15.75">
      <c r="A6" s="2" t="s">
        <v>3</v>
      </c>
      <c r="L6" s="2"/>
      <c r="P6" s="5" t="s">
        <v>55</v>
      </c>
    </row>
    <row r="7" spans="12:21" ht="19.5">
      <c r="L7" s="2" t="s">
        <v>4</v>
      </c>
      <c r="P7" s="6"/>
      <c r="U7" s="5" t="s">
        <v>204</v>
      </c>
    </row>
    <row r="8" spans="12:13" ht="12">
      <c r="L8" s="4" t="s">
        <v>312</v>
      </c>
      <c r="M8" s="4"/>
    </row>
    <row r="9" spans="17:24" ht="12.75">
      <c r="Q9" s="7"/>
      <c r="R9" s="132"/>
      <c r="S9" s="7"/>
      <c r="T9" s="8" t="s">
        <v>5</v>
      </c>
      <c r="U9" s="7"/>
      <c r="V9" s="7"/>
      <c r="W9" s="7"/>
      <c r="X9" s="7"/>
    </row>
    <row r="10" spans="17:24" ht="12.75">
      <c r="Q10" s="7"/>
      <c r="R10" s="132"/>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132"/>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33" t="s">
        <v>18</v>
      </c>
      <c r="S12" s="17" t="s">
        <v>19</v>
      </c>
      <c r="T12" s="17" t="s">
        <v>19</v>
      </c>
      <c r="U12" s="16" t="s">
        <v>20</v>
      </c>
      <c r="V12" s="16" t="s">
        <v>21</v>
      </c>
      <c r="W12" s="16" t="s">
        <v>20</v>
      </c>
      <c r="X12" s="16"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72" t="s">
        <v>206</v>
      </c>
      <c r="Q13" s="70" t="s">
        <v>220</v>
      </c>
      <c r="R13" s="134" t="s">
        <v>253</v>
      </c>
      <c r="S13" s="29">
        <v>2133802</v>
      </c>
      <c r="T13" s="29">
        <v>2200060</v>
      </c>
      <c r="U13" s="40">
        <v>37347</v>
      </c>
      <c r="V13" s="40">
        <v>37956</v>
      </c>
      <c r="W13" s="40">
        <v>37043</v>
      </c>
      <c r="X13" s="46">
        <v>40483</v>
      </c>
      <c r="Y13" s="78"/>
      <c r="Z13" s="78"/>
    </row>
    <row r="14" spans="1:24"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2"/>
      <c r="Q14" s="70"/>
      <c r="R14" s="97"/>
      <c r="S14" s="29"/>
      <c r="T14" s="29"/>
      <c r="U14" s="40"/>
      <c r="V14" s="40"/>
      <c r="W14" s="40"/>
      <c r="X14" s="46"/>
    </row>
    <row r="15" spans="1:24" ht="12.75">
      <c r="A15" s="9" t="s">
        <v>148</v>
      </c>
      <c r="B15" s="14" t="s">
        <v>79</v>
      </c>
      <c r="C15" s="82">
        <v>2112707.45</v>
      </c>
      <c r="D15" s="82">
        <v>3560000</v>
      </c>
      <c r="E15" s="84">
        <f aca="true" t="shared" si="0" ref="E15:E34">C15-D15</f>
        <v>-1447292.5499999998</v>
      </c>
      <c r="F15" s="26">
        <f>C15/D15</f>
        <v>0.5934571488764045</v>
      </c>
      <c r="G15" s="27">
        <f aca="true" t="shared" si="1" ref="G15:G34">D15/(D$35+D$75)</f>
        <v>0.07016589393256752</v>
      </c>
      <c r="H15" s="28"/>
      <c r="I15" s="28"/>
      <c r="J15" s="28"/>
      <c r="K15" s="28"/>
      <c r="L15" s="28"/>
      <c r="M15" s="28"/>
      <c r="N15" s="28"/>
      <c r="P15" s="72"/>
      <c r="Q15" s="70"/>
      <c r="R15" s="97"/>
      <c r="S15" s="29"/>
      <c r="T15" s="29"/>
      <c r="U15" s="105"/>
      <c r="V15" s="105"/>
      <c r="W15" s="105"/>
      <c r="X15" s="106"/>
    </row>
    <row r="16" spans="1:24" ht="12.75">
      <c r="A16" s="9" t="s">
        <v>38</v>
      </c>
      <c r="B16" s="14" t="s">
        <v>163</v>
      </c>
      <c r="C16" s="82">
        <v>82272.64</v>
      </c>
      <c r="D16" s="82">
        <v>400000</v>
      </c>
      <c r="E16" s="84">
        <f t="shared" si="0"/>
        <v>-317727.36</v>
      </c>
      <c r="F16" s="26">
        <f aca="true" t="shared" si="2" ref="F16:F34">C16/D16</f>
        <v>0.2056816</v>
      </c>
      <c r="G16" s="30">
        <f t="shared" si="1"/>
        <v>0.007883808307030057</v>
      </c>
      <c r="H16" s="28"/>
      <c r="I16" s="28"/>
      <c r="J16" s="28"/>
      <c r="K16" s="28"/>
      <c r="L16" s="28"/>
      <c r="M16" s="28"/>
      <c r="N16" s="28"/>
      <c r="P16" s="104"/>
      <c r="Q16" s="107"/>
      <c r="R16" s="135"/>
      <c r="S16" s="109"/>
      <c r="T16" s="109"/>
      <c r="U16" s="110"/>
      <c r="V16" s="110"/>
      <c r="W16" s="110"/>
      <c r="X16" s="111"/>
    </row>
    <row r="17" spans="1:24" ht="12.75">
      <c r="A17" s="9" t="s">
        <v>39</v>
      </c>
      <c r="B17" s="14" t="s">
        <v>164</v>
      </c>
      <c r="C17" s="82">
        <v>999913.76</v>
      </c>
      <c r="D17" s="82">
        <v>565000</v>
      </c>
      <c r="E17" s="84">
        <f t="shared" si="0"/>
        <v>434913.76</v>
      </c>
      <c r="F17" s="26">
        <f t="shared" si="2"/>
        <v>1.7697588672566371</v>
      </c>
      <c r="G17" s="30">
        <f t="shared" si="1"/>
        <v>0.011135879233679957</v>
      </c>
      <c r="H17" s="28"/>
      <c r="I17" s="28"/>
      <c r="J17" s="28"/>
      <c r="K17" s="28"/>
      <c r="L17" s="28"/>
      <c r="M17" s="28"/>
      <c r="N17" s="28"/>
      <c r="P17" s="59"/>
      <c r="Q17" s="17" t="s">
        <v>32</v>
      </c>
      <c r="R17" s="136"/>
      <c r="S17" s="55">
        <f>SUM(S13:S16)</f>
        <v>2133802</v>
      </c>
      <c r="T17" s="55">
        <f>SUM(T13:T16)</f>
        <v>2200060</v>
      </c>
      <c r="U17" s="60"/>
      <c r="V17" s="60"/>
      <c r="W17" s="60"/>
      <c r="X17" s="60"/>
    </row>
    <row r="18" spans="1:24" ht="12.75">
      <c r="A18" s="9" t="s">
        <v>40</v>
      </c>
      <c r="B18" s="14" t="s">
        <v>165</v>
      </c>
      <c r="C18" s="82">
        <v>269041.7</v>
      </c>
      <c r="D18" s="82">
        <v>244400</v>
      </c>
      <c r="E18" s="84">
        <f t="shared" si="0"/>
        <v>24641.70000000001</v>
      </c>
      <c r="F18" s="26">
        <f t="shared" si="2"/>
        <v>1.100825286415712</v>
      </c>
      <c r="G18" s="30">
        <f t="shared" si="1"/>
        <v>0.004817006875595365</v>
      </c>
      <c r="H18" s="28"/>
      <c r="I18" s="28"/>
      <c r="J18" s="28"/>
      <c r="K18" s="28"/>
      <c r="L18" s="28"/>
      <c r="M18" s="28"/>
      <c r="N18" s="28"/>
      <c r="P18" s="59"/>
      <c r="Q18" s="59"/>
      <c r="R18" s="137"/>
      <c r="S18" s="80"/>
      <c r="T18" s="80"/>
      <c r="U18" s="60"/>
      <c r="V18" s="60"/>
      <c r="W18" s="60"/>
      <c r="X18" s="60"/>
    </row>
    <row r="19" spans="1:24" ht="12.75">
      <c r="A19" s="9" t="s">
        <v>149</v>
      </c>
      <c r="B19" s="14" t="s">
        <v>166</v>
      </c>
      <c r="C19" s="82">
        <v>727692.99</v>
      </c>
      <c r="D19" s="82">
        <v>950000</v>
      </c>
      <c r="E19" s="84">
        <f t="shared" si="0"/>
        <v>-222307.01</v>
      </c>
      <c r="F19" s="26">
        <f t="shared" si="2"/>
        <v>0.7659926210526316</v>
      </c>
      <c r="G19" s="30">
        <f t="shared" si="1"/>
        <v>0.018724044729196386</v>
      </c>
      <c r="H19" s="28"/>
      <c r="I19" s="28"/>
      <c r="J19" s="28"/>
      <c r="K19" s="28"/>
      <c r="L19" s="28"/>
      <c r="M19" s="28"/>
      <c r="N19" s="28"/>
      <c r="P19" s="59"/>
      <c r="Q19" s="59"/>
      <c r="R19" s="137"/>
      <c r="S19" s="80"/>
      <c r="T19" s="80"/>
      <c r="U19" s="60"/>
      <c r="V19" s="60"/>
      <c r="W19" s="60"/>
      <c r="X19" s="60"/>
    </row>
    <row r="20" spans="1:24" ht="12.75">
      <c r="A20" s="9" t="s">
        <v>41</v>
      </c>
      <c r="B20" s="14" t="s">
        <v>167</v>
      </c>
      <c r="C20" s="82">
        <v>107570.94</v>
      </c>
      <c r="D20" s="82">
        <v>200000</v>
      </c>
      <c r="E20" s="84">
        <f t="shared" si="0"/>
        <v>-92429.06</v>
      </c>
      <c r="F20" s="26">
        <f t="shared" si="2"/>
        <v>0.5378547</v>
      </c>
      <c r="G20" s="30">
        <f t="shared" si="1"/>
        <v>0.003941904153515028</v>
      </c>
      <c r="H20" s="28"/>
      <c r="I20" s="28"/>
      <c r="J20" s="28"/>
      <c r="K20" s="28"/>
      <c r="L20" s="28"/>
      <c r="M20" s="28"/>
      <c r="N20" s="28"/>
      <c r="P20" s="59"/>
      <c r="Q20" s="59"/>
      <c r="R20" s="137"/>
      <c r="S20" s="80"/>
      <c r="T20" s="80"/>
      <c r="U20" s="60"/>
      <c r="V20" s="60"/>
      <c r="W20" s="60"/>
      <c r="X20" s="60"/>
    </row>
    <row r="21" spans="1:24" ht="12.75">
      <c r="A21" s="9" t="s">
        <v>42</v>
      </c>
      <c r="B21" s="14" t="s">
        <v>168</v>
      </c>
      <c r="C21" s="82">
        <v>162530.41</v>
      </c>
      <c r="D21" s="82">
        <v>175000</v>
      </c>
      <c r="E21" s="84">
        <f t="shared" si="0"/>
        <v>-12469.589999999997</v>
      </c>
      <c r="F21" s="26">
        <f t="shared" si="2"/>
        <v>0.9287452</v>
      </c>
      <c r="G21" s="30">
        <f t="shared" si="1"/>
        <v>0.00344916613432565</v>
      </c>
      <c r="H21" s="28"/>
      <c r="I21" s="28"/>
      <c r="J21" s="28"/>
      <c r="K21" s="28"/>
      <c r="L21" s="28"/>
      <c r="M21" s="28"/>
      <c r="N21" s="28"/>
      <c r="P21" s="59"/>
      <c r="Q21" s="59"/>
      <c r="R21" s="137"/>
      <c r="S21" s="80"/>
      <c r="T21" s="80"/>
      <c r="U21" s="60"/>
      <c r="V21" s="60"/>
      <c r="W21" s="60"/>
      <c r="X21" s="60"/>
    </row>
    <row r="22" spans="1:24" ht="12.75">
      <c r="A22" s="9" t="s">
        <v>43</v>
      </c>
      <c r="B22" s="14" t="s">
        <v>169</v>
      </c>
      <c r="C22" s="82">
        <v>611401.46</v>
      </c>
      <c r="D22" s="82">
        <v>874660</v>
      </c>
      <c r="E22" s="84">
        <f t="shared" si="0"/>
        <v>-263258.54000000004</v>
      </c>
      <c r="F22" s="26">
        <f t="shared" si="2"/>
        <v>0.6990161434157273</v>
      </c>
      <c r="G22" s="30">
        <f t="shared" si="1"/>
        <v>0.017239129434567273</v>
      </c>
      <c r="H22" s="28"/>
      <c r="I22" s="28"/>
      <c r="J22" s="28"/>
      <c r="K22" s="28"/>
      <c r="L22" s="28"/>
      <c r="M22" s="28"/>
      <c r="N22" s="28"/>
      <c r="P22" s="59"/>
      <c r="Q22" s="59"/>
      <c r="R22" s="137"/>
      <c r="S22" s="80"/>
      <c r="T22" s="80"/>
      <c r="U22" s="60"/>
      <c r="V22" s="60"/>
      <c r="W22" s="60"/>
      <c r="X22" s="60"/>
    </row>
    <row r="23" spans="1:24" ht="12.75">
      <c r="A23" s="9" t="s">
        <v>44</v>
      </c>
      <c r="B23" s="14" t="s">
        <v>170</v>
      </c>
      <c r="C23" s="82">
        <v>294286.13</v>
      </c>
      <c r="D23" s="82">
        <v>1240975</v>
      </c>
      <c r="E23" s="84">
        <f t="shared" si="0"/>
        <v>-946688.87</v>
      </c>
      <c r="F23" s="26">
        <f t="shared" si="2"/>
        <v>0.23714106247104091</v>
      </c>
      <c r="G23" s="30">
        <f t="shared" si="1"/>
        <v>0.024459022534541564</v>
      </c>
      <c r="H23" s="28"/>
      <c r="I23" s="28"/>
      <c r="J23" s="28"/>
      <c r="K23" s="28"/>
      <c r="L23" s="28"/>
      <c r="M23" s="28"/>
      <c r="N23" s="28"/>
      <c r="P23" s="59"/>
      <c r="Q23" s="59"/>
      <c r="R23" s="137"/>
      <c r="S23" s="80"/>
      <c r="T23" s="80"/>
      <c r="U23" s="60"/>
      <c r="V23" s="60"/>
      <c r="W23" s="60"/>
      <c r="X23" s="60"/>
    </row>
    <row r="24" spans="1:24" ht="12.75">
      <c r="A24" s="9" t="s">
        <v>151</v>
      </c>
      <c r="B24" s="14" t="s">
        <v>87</v>
      </c>
      <c r="C24" s="82">
        <v>436639.89</v>
      </c>
      <c r="D24" s="82">
        <v>971340</v>
      </c>
      <c r="E24" s="84">
        <f t="shared" si="0"/>
        <v>-534700.11</v>
      </c>
      <c r="F24" s="26">
        <f t="shared" si="2"/>
        <v>0.4495232256470443</v>
      </c>
      <c r="G24" s="30">
        <f t="shared" si="1"/>
        <v>0.01914464590237644</v>
      </c>
      <c r="H24" s="28"/>
      <c r="I24" s="28"/>
      <c r="J24" s="28"/>
      <c r="K24" s="28"/>
      <c r="L24" s="28"/>
      <c r="M24" s="28"/>
      <c r="N24" s="28"/>
      <c r="P24" s="59"/>
      <c r="Q24" s="59"/>
      <c r="R24" s="137"/>
      <c r="S24" s="80"/>
      <c r="T24" s="80"/>
      <c r="U24" s="60"/>
      <c r="V24" s="60"/>
      <c r="W24" s="60"/>
      <c r="X24" s="60"/>
    </row>
    <row r="25" spans="1:24" ht="12.75">
      <c r="A25" s="9" t="s">
        <v>150</v>
      </c>
      <c r="B25" s="14" t="s">
        <v>171</v>
      </c>
      <c r="C25" s="82">
        <v>2666026.5700000003</v>
      </c>
      <c r="D25" s="82">
        <v>1584929</v>
      </c>
      <c r="E25" s="84">
        <f t="shared" si="0"/>
        <v>1081097.5700000003</v>
      </c>
      <c r="F25" s="26">
        <f t="shared" si="2"/>
        <v>1.6821110409362188</v>
      </c>
      <c r="G25" s="30">
        <f t="shared" si="1"/>
        <v>0.031238191040632104</v>
      </c>
      <c r="H25" s="28"/>
      <c r="I25" s="28"/>
      <c r="J25" s="28"/>
      <c r="K25" s="28"/>
      <c r="L25" s="28"/>
      <c r="M25" s="28"/>
      <c r="N25" s="28"/>
      <c r="P25" s="59"/>
      <c r="Q25" s="59"/>
      <c r="R25" s="137"/>
      <c r="S25" s="80"/>
      <c r="T25" s="80"/>
      <c r="U25" s="60"/>
      <c r="V25" s="60"/>
      <c r="W25" s="60"/>
      <c r="X25" s="60"/>
    </row>
    <row r="26" spans="1:24" ht="12.75">
      <c r="A26" s="9" t="s">
        <v>152</v>
      </c>
      <c r="B26" s="14" t="s">
        <v>172</v>
      </c>
      <c r="C26" s="82">
        <v>139407.75000000006</v>
      </c>
      <c r="D26" s="82">
        <v>111090</v>
      </c>
      <c r="E26" s="84">
        <f t="shared" si="0"/>
        <v>28317.75000000006</v>
      </c>
      <c r="F26" s="26">
        <f t="shared" si="2"/>
        <v>1.254908182554686</v>
      </c>
      <c r="G26" s="30">
        <f t="shared" si="1"/>
        <v>0.0021895306620699226</v>
      </c>
      <c r="H26" s="28"/>
      <c r="I26" s="28"/>
      <c r="J26" s="28"/>
      <c r="K26" s="28"/>
      <c r="L26" s="28"/>
      <c r="M26" s="28"/>
      <c r="N26" s="28"/>
      <c r="P26" s="59"/>
      <c r="Q26" s="59"/>
      <c r="R26" s="137"/>
      <c r="S26" s="80"/>
      <c r="T26" s="80"/>
      <c r="U26" s="60"/>
      <c r="V26" s="60"/>
      <c r="W26" s="60"/>
      <c r="X26" s="60"/>
    </row>
    <row r="27" spans="1:24" ht="12.75">
      <c r="A27" s="9" t="s">
        <v>153</v>
      </c>
      <c r="B27" s="14" t="s">
        <v>173</v>
      </c>
      <c r="C27" s="82">
        <v>487125.09</v>
      </c>
      <c r="D27" s="82">
        <v>103500</v>
      </c>
      <c r="E27" s="84">
        <f t="shared" si="0"/>
        <v>383625.09</v>
      </c>
      <c r="F27" s="26">
        <f t="shared" si="2"/>
        <v>4.706522608695653</v>
      </c>
      <c r="G27" s="30">
        <f t="shared" si="1"/>
        <v>0.0020399353994440274</v>
      </c>
      <c r="H27" s="28"/>
      <c r="I27" s="28"/>
      <c r="J27" s="28"/>
      <c r="K27" s="28"/>
      <c r="L27" s="28"/>
      <c r="M27" s="28"/>
      <c r="N27" s="28"/>
      <c r="P27" s="59"/>
      <c r="Q27" s="59"/>
      <c r="R27" s="137"/>
      <c r="S27" s="80"/>
      <c r="T27" s="80"/>
      <c r="U27" s="60"/>
      <c r="V27" s="60"/>
      <c r="W27" s="60"/>
      <c r="X27" s="60"/>
    </row>
    <row r="28" spans="1:24" ht="12.75">
      <c r="A28" s="9" t="s">
        <v>154</v>
      </c>
      <c r="B28" s="81" t="s">
        <v>174</v>
      </c>
      <c r="C28" s="82">
        <v>25404.800000000003</v>
      </c>
      <c r="D28" s="82">
        <v>10000</v>
      </c>
      <c r="E28" s="84">
        <f t="shared" si="0"/>
        <v>15404.800000000003</v>
      </c>
      <c r="F28" s="26">
        <f t="shared" si="2"/>
        <v>2.54048</v>
      </c>
      <c r="G28" s="30">
        <f t="shared" si="1"/>
        <v>0.00019709520767575143</v>
      </c>
      <c r="H28" s="28"/>
      <c r="I28" s="28"/>
      <c r="J28" s="28"/>
      <c r="K28" s="28"/>
      <c r="L28" s="28"/>
      <c r="M28" s="28"/>
      <c r="N28" s="28"/>
      <c r="P28" s="59"/>
      <c r="U28" s="60"/>
      <c r="V28" s="60"/>
      <c r="W28" s="60"/>
      <c r="X28" s="60"/>
    </row>
    <row r="29" spans="1:24" ht="12.75">
      <c r="A29" s="9" t="s">
        <v>155</v>
      </c>
      <c r="B29" s="81" t="s">
        <v>89</v>
      </c>
      <c r="C29" s="82">
        <v>147296.29</v>
      </c>
      <c r="D29" s="82">
        <v>80000</v>
      </c>
      <c r="E29" s="84">
        <f t="shared" si="0"/>
        <v>67296.29000000001</v>
      </c>
      <c r="F29" s="26">
        <f t="shared" si="2"/>
        <v>1.8412036250000001</v>
      </c>
      <c r="G29" s="30">
        <f t="shared" si="1"/>
        <v>0.0015767616614060114</v>
      </c>
      <c r="H29" s="28"/>
      <c r="I29" s="28"/>
      <c r="J29" s="28"/>
      <c r="K29" s="28"/>
      <c r="L29" s="28"/>
      <c r="M29" s="28"/>
      <c r="N29" s="28"/>
      <c r="P29" s="59"/>
      <c r="U29" s="60"/>
      <c r="V29" s="60"/>
      <c r="W29" s="60"/>
      <c r="X29" s="60"/>
    </row>
    <row r="30" spans="1:24" ht="12.75">
      <c r="A30" s="9" t="s">
        <v>156</v>
      </c>
      <c r="B30" s="81" t="s">
        <v>90</v>
      </c>
      <c r="C30" s="82">
        <v>814084.24</v>
      </c>
      <c r="D30" s="82">
        <v>250000</v>
      </c>
      <c r="E30" s="84">
        <f t="shared" si="0"/>
        <v>564084.24</v>
      </c>
      <c r="F30" s="26">
        <f t="shared" si="2"/>
        <v>3.25633696</v>
      </c>
      <c r="G30" s="30">
        <f t="shared" si="1"/>
        <v>0.004927380191893786</v>
      </c>
      <c r="H30" s="28"/>
      <c r="I30" s="28"/>
      <c r="J30" s="28"/>
      <c r="K30" s="28"/>
      <c r="L30" s="28"/>
      <c r="M30" s="28"/>
      <c r="N30" s="28"/>
      <c r="P30" s="59"/>
      <c r="U30" s="60"/>
      <c r="V30" s="60"/>
      <c r="W30" s="60"/>
      <c r="X30" s="60"/>
    </row>
    <row r="31" spans="1:24" ht="12.75">
      <c r="A31" s="9" t="s">
        <v>157</v>
      </c>
      <c r="B31" s="81" t="s">
        <v>91</v>
      </c>
      <c r="C31" s="82">
        <v>129297.22</v>
      </c>
      <c r="D31" s="82">
        <v>117000</v>
      </c>
      <c r="E31" s="84">
        <f t="shared" si="0"/>
        <v>12297.220000000001</v>
      </c>
      <c r="F31" s="26">
        <f t="shared" si="2"/>
        <v>1.1051044444444444</v>
      </c>
      <c r="G31" s="30">
        <f t="shared" si="1"/>
        <v>0.002306013929806292</v>
      </c>
      <c r="H31" s="28"/>
      <c r="I31" s="28"/>
      <c r="J31" s="28"/>
      <c r="K31" s="28"/>
      <c r="L31" s="28"/>
      <c r="M31" s="28"/>
      <c r="N31" s="28"/>
      <c r="P31" s="59"/>
      <c r="U31" s="60"/>
      <c r="V31" s="60"/>
      <c r="W31" s="60"/>
      <c r="X31" s="60"/>
    </row>
    <row r="32" spans="1:24" ht="12.75" customHeight="1">
      <c r="A32" s="9" t="s">
        <v>158</v>
      </c>
      <c r="B32" s="81" t="s">
        <v>175</v>
      </c>
      <c r="C32" s="82">
        <v>1882344.3599999999</v>
      </c>
      <c r="D32" s="82">
        <v>750000</v>
      </c>
      <c r="E32" s="84">
        <f t="shared" si="0"/>
        <v>1132344.3599999999</v>
      </c>
      <c r="F32" s="26">
        <f t="shared" si="2"/>
        <v>2.5097924799999998</v>
      </c>
      <c r="G32" s="30">
        <f t="shared" si="1"/>
        <v>0.014782140575681358</v>
      </c>
      <c r="H32" s="28"/>
      <c r="I32" s="28"/>
      <c r="J32" s="28"/>
      <c r="K32" s="28"/>
      <c r="L32" s="28"/>
      <c r="M32" s="28"/>
      <c r="N32" s="28"/>
      <c r="P32" s="7"/>
      <c r="U32" s="7"/>
      <c r="V32" s="7"/>
      <c r="W32" s="7"/>
      <c r="X32" s="7"/>
    </row>
    <row r="33" spans="1:14" ht="12.75">
      <c r="A33" s="9" t="s">
        <v>159</v>
      </c>
      <c r="B33" s="14" t="s">
        <v>176</v>
      </c>
      <c r="C33" s="82">
        <v>-11627.94</v>
      </c>
      <c r="D33" s="82">
        <v>0</v>
      </c>
      <c r="E33" s="84">
        <f t="shared" si="0"/>
        <v>-11627.94</v>
      </c>
      <c r="F33" s="26" t="e">
        <f t="shared" si="2"/>
        <v>#DIV/0!</v>
      </c>
      <c r="G33" s="30">
        <f t="shared" si="1"/>
        <v>0</v>
      </c>
      <c r="H33" s="28"/>
      <c r="I33" s="28"/>
      <c r="J33" s="28"/>
      <c r="K33" s="28"/>
      <c r="L33" s="28"/>
      <c r="M33" s="28"/>
      <c r="N33" s="28"/>
    </row>
    <row r="34" spans="1:14" ht="12.75">
      <c r="A34" s="17" t="s">
        <v>160</v>
      </c>
      <c r="B34" s="23" t="s">
        <v>177</v>
      </c>
      <c r="C34" s="82">
        <v>-46.07</v>
      </c>
      <c r="D34" s="83">
        <v>100000</v>
      </c>
      <c r="E34" s="84">
        <f t="shared" si="0"/>
        <v>-100046.07</v>
      </c>
      <c r="F34" s="62">
        <f t="shared" si="2"/>
        <v>-0.0004607</v>
      </c>
      <c r="G34" s="62">
        <f t="shared" si="1"/>
        <v>0.001970952076757514</v>
      </c>
      <c r="H34" s="28"/>
      <c r="I34" s="28"/>
      <c r="J34" s="28"/>
      <c r="K34" s="28"/>
      <c r="L34" s="28"/>
      <c r="M34" s="28"/>
      <c r="N34" s="28"/>
    </row>
    <row r="35" spans="1:14" ht="12.75">
      <c r="A35" s="24"/>
      <c r="B35" s="25" t="s">
        <v>31</v>
      </c>
      <c r="C35" s="34">
        <f>SUM(C15:C34)</f>
        <v>12083369.680000002</v>
      </c>
      <c r="D35" s="34">
        <f>SUM(D15:D34)</f>
        <v>12287894</v>
      </c>
      <c r="E35" s="34">
        <f>SUM(E15:E34)</f>
        <v>-204524.3199999996</v>
      </c>
      <c r="F35" s="32">
        <f>C35/D35</f>
        <v>0.983355624649757</v>
      </c>
      <c r="G35" s="35"/>
      <c r="H35" s="28"/>
      <c r="I35" s="28"/>
      <c r="J35" s="28"/>
      <c r="K35" s="28"/>
      <c r="L35" s="28"/>
      <c r="M35" s="28"/>
      <c r="N35" s="28"/>
    </row>
    <row r="36" spans="1:14" ht="12.75">
      <c r="A36" s="24"/>
      <c r="B36" s="25" t="s">
        <v>161</v>
      </c>
      <c r="C36" s="34">
        <f>C15</f>
        <v>2112707.45</v>
      </c>
      <c r="D36" s="34">
        <f>D15</f>
        <v>3560000</v>
      </c>
      <c r="E36" s="34">
        <f>E15</f>
        <v>-1447292.5499999998</v>
      </c>
      <c r="F36" s="35"/>
      <c r="G36" s="35"/>
      <c r="H36" s="28"/>
      <c r="I36" s="28"/>
      <c r="J36" s="28"/>
      <c r="K36" s="28"/>
      <c r="L36" s="28"/>
      <c r="M36" s="28"/>
      <c r="N36" s="28"/>
    </row>
    <row r="37" spans="1:14" ht="12.75">
      <c r="A37" s="24"/>
      <c r="B37" s="25" t="s">
        <v>162</v>
      </c>
      <c r="C37" s="34">
        <f>C35-C36</f>
        <v>9970662.23</v>
      </c>
      <c r="D37" s="34">
        <f>D35-D36</f>
        <v>8727894</v>
      </c>
      <c r="E37" s="34">
        <f>E35-E36</f>
        <v>1242768.2300000002</v>
      </c>
      <c r="F37" s="36">
        <f>C37/D37</f>
        <v>1.142390389938283</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2010</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8"/>
      <c r="B52" s="12"/>
      <c r="C52" s="12"/>
      <c r="D52" s="12"/>
      <c r="E52" s="12"/>
      <c r="F52" s="12"/>
      <c r="G52" s="12"/>
      <c r="H52" s="12" t="s">
        <v>8</v>
      </c>
      <c r="I52" s="12" t="s">
        <v>8</v>
      </c>
      <c r="J52" s="12"/>
      <c r="K52" s="12" t="s">
        <v>9</v>
      </c>
      <c r="L52" s="12" t="s">
        <v>9</v>
      </c>
      <c r="M52" s="12"/>
      <c r="N52" s="12"/>
    </row>
    <row r="53" spans="1:14" ht="12.75">
      <c r="A53" s="9"/>
      <c r="B53" s="15"/>
      <c r="C53" s="15"/>
      <c r="D53" s="15" t="s">
        <v>12</v>
      </c>
      <c r="E53" s="15"/>
      <c r="F53" s="15"/>
      <c r="G53" s="15" t="s">
        <v>13</v>
      </c>
      <c r="H53" s="15" t="s">
        <v>14</v>
      </c>
      <c r="I53" s="15" t="s">
        <v>15</v>
      </c>
      <c r="J53" s="15"/>
      <c r="K53" s="15" t="s">
        <v>16</v>
      </c>
      <c r="L53" s="15" t="s">
        <v>16</v>
      </c>
      <c r="M53" s="15" t="s">
        <v>9</v>
      </c>
      <c r="N53" s="15" t="s">
        <v>9</v>
      </c>
    </row>
    <row r="54" spans="1:14" ht="12.75">
      <c r="A54" s="9"/>
      <c r="B54" s="15"/>
      <c r="C54" s="15" t="s">
        <v>12</v>
      </c>
      <c r="D54" s="15" t="s">
        <v>16</v>
      </c>
      <c r="E54" s="15" t="s">
        <v>22</v>
      </c>
      <c r="F54" s="15" t="s">
        <v>22</v>
      </c>
      <c r="G54" s="15" t="s">
        <v>23</v>
      </c>
      <c r="H54" s="15" t="s">
        <v>24</v>
      </c>
      <c r="I54" s="15" t="s">
        <v>24</v>
      </c>
      <c r="J54" s="15"/>
      <c r="K54" s="15" t="s">
        <v>15</v>
      </c>
      <c r="L54" s="15" t="s">
        <v>15</v>
      </c>
      <c r="M54" s="15" t="s">
        <v>14</v>
      </c>
      <c r="N54" s="15" t="s">
        <v>14</v>
      </c>
    </row>
    <row r="55" spans="1:14" ht="12.75">
      <c r="A55" s="17" t="s">
        <v>25</v>
      </c>
      <c r="B55" s="20" t="s">
        <v>26</v>
      </c>
      <c r="C55" s="125" t="s">
        <v>14</v>
      </c>
      <c r="D55" s="20" t="s">
        <v>15</v>
      </c>
      <c r="E55" s="20" t="s">
        <v>27</v>
      </c>
      <c r="F55" s="20" t="s">
        <v>13</v>
      </c>
      <c r="G55" s="20" t="s">
        <v>15</v>
      </c>
      <c r="H55" s="20" t="s">
        <v>28</v>
      </c>
      <c r="I55" s="20" t="s">
        <v>28</v>
      </c>
      <c r="J55" s="20" t="s">
        <v>22</v>
      </c>
      <c r="K55" s="20" t="s">
        <v>29</v>
      </c>
      <c r="L55" s="20" t="s">
        <v>30</v>
      </c>
      <c r="M55" s="20" t="s">
        <v>29</v>
      </c>
      <c r="N55" s="20" t="s">
        <v>30</v>
      </c>
    </row>
    <row r="56" spans="1:14" ht="12.75">
      <c r="A56" s="50"/>
      <c r="B56" s="51" t="s">
        <v>17</v>
      </c>
      <c r="C56" s="52"/>
      <c r="D56" s="52"/>
      <c r="E56" s="52"/>
      <c r="F56" s="53"/>
      <c r="G56" s="53"/>
      <c r="H56" s="54"/>
      <c r="I56" s="54"/>
      <c r="J56" s="54"/>
      <c r="K56" s="54"/>
      <c r="L56" s="54"/>
      <c r="M56" s="54"/>
      <c r="N56" s="54"/>
    </row>
    <row r="57" spans="1:14" ht="12.75">
      <c r="A57" s="117" t="s">
        <v>206</v>
      </c>
      <c r="B57" s="112" t="s">
        <v>220</v>
      </c>
      <c r="C57" s="84">
        <v>-2114107.58</v>
      </c>
      <c r="D57" s="84">
        <v>128360</v>
      </c>
      <c r="E57" s="85">
        <f aca="true" t="shared" si="3" ref="E57:E70">C57-D57</f>
        <v>-2242467.58</v>
      </c>
      <c r="F57" s="30">
        <f>C57/D57</f>
        <v>-16.470143191025244</v>
      </c>
      <c r="G57" s="49">
        <f aca="true" t="shared" si="4" ref="G57:G74">D57/(D$35+D$75)</f>
        <v>0.0025299140857259453</v>
      </c>
      <c r="H57" s="29">
        <v>2133802</v>
      </c>
      <c r="I57" s="29">
        <v>2200060</v>
      </c>
      <c r="J57" s="38">
        <f aca="true" t="shared" si="5" ref="J57:J70">H57-I57</f>
        <v>-66258</v>
      </c>
      <c r="K57" s="40">
        <v>37347</v>
      </c>
      <c r="L57" s="40">
        <v>37956</v>
      </c>
      <c r="M57" s="40">
        <v>37043</v>
      </c>
      <c r="N57" s="46">
        <v>40483</v>
      </c>
    </row>
    <row r="58" spans="1:14" ht="12.75">
      <c r="A58" s="116" t="s">
        <v>207</v>
      </c>
      <c r="B58" s="112" t="s">
        <v>221</v>
      </c>
      <c r="C58" s="84">
        <v>30789846.79</v>
      </c>
      <c r="D58" s="84">
        <v>29181785.1</v>
      </c>
      <c r="E58" s="85">
        <f t="shared" si="3"/>
        <v>1608061.6899999976</v>
      </c>
      <c r="F58" s="30">
        <f>C58/D58</f>
        <v>1.055104980195334</v>
      </c>
      <c r="G58" s="49">
        <f t="shared" si="4"/>
        <v>0.5751589994633649</v>
      </c>
      <c r="H58" s="29"/>
      <c r="I58" s="29"/>
      <c r="J58" s="38">
        <f t="shared" si="5"/>
        <v>0</v>
      </c>
      <c r="K58" s="42">
        <v>38838</v>
      </c>
      <c r="L58" s="40">
        <v>40513</v>
      </c>
      <c r="M58" s="40">
        <v>38838</v>
      </c>
      <c r="N58" s="46"/>
    </row>
    <row r="59" spans="1:14" ht="12.75">
      <c r="A59" s="117" t="s">
        <v>208</v>
      </c>
      <c r="B59" s="112" t="s">
        <v>222</v>
      </c>
      <c r="C59" s="84">
        <v>-91967.18</v>
      </c>
      <c r="D59" s="84">
        <v>0</v>
      </c>
      <c r="E59" s="85">
        <f>C59-D59</f>
        <v>-91967.18</v>
      </c>
      <c r="F59" s="30"/>
      <c r="G59" s="49">
        <f t="shared" si="4"/>
        <v>0</v>
      </c>
      <c r="H59" s="29"/>
      <c r="I59" s="29"/>
      <c r="J59" s="38">
        <f>H59-I59</f>
        <v>0</v>
      </c>
      <c r="K59" s="40">
        <v>39083</v>
      </c>
      <c r="L59" s="40" t="s">
        <v>137</v>
      </c>
      <c r="M59" s="40" t="s">
        <v>137</v>
      </c>
      <c r="N59" s="46" t="s">
        <v>137</v>
      </c>
    </row>
    <row r="60" spans="1:14" ht="12.75">
      <c r="A60" s="117" t="s">
        <v>209</v>
      </c>
      <c r="B60" s="112" t="s">
        <v>223</v>
      </c>
      <c r="C60" s="84">
        <v>1565365.02</v>
      </c>
      <c r="D60" s="84">
        <v>1151928.69</v>
      </c>
      <c r="E60" s="84">
        <f t="shared" si="3"/>
        <v>413436.3300000001</v>
      </c>
      <c r="F60" s="30">
        <f>C60/D60</f>
        <v>1.3589079198991043</v>
      </c>
      <c r="G60" s="87">
        <f t="shared" si="4"/>
        <v>0.022703962438320627</v>
      </c>
      <c r="H60" s="29"/>
      <c r="I60" s="29"/>
      <c r="J60" s="38">
        <f t="shared" si="5"/>
        <v>0</v>
      </c>
      <c r="K60" s="40">
        <v>39417</v>
      </c>
      <c r="L60" s="101">
        <v>39965</v>
      </c>
      <c r="M60" s="101">
        <v>39508</v>
      </c>
      <c r="N60" s="102"/>
    </row>
    <row r="61" spans="1:14" ht="12.75">
      <c r="A61" s="117" t="s">
        <v>210</v>
      </c>
      <c r="B61" s="112" t="s">
        <v>224</v>
      </c>
      <c r="C61" s="84">
        <v>41892.66</v>
      </c>
      <c r="D61" s="84">
        <v>0</v>
      </c>
      <c r="E61" s="84">
        <f>C61-D61</f>
        <v>41892.66</v>
      </c>
      <c r="F61" s="30"/>
      <c r="G61" s="87">
        <f t="shared" si="4"/>
        <v>0</v>
      </c>
      <c r="H61" s="29"/>
      <c r="I61" s="29"/>
      <c r="J61" s="38">
        <f>H61-I61</f>
        <v>0</v>
      </c>
      <c r="K61" s="40">
        <v>39569</v>
      </c>
      <c r="L61" s="40">
        <v>39934</v>
      </c>
      <c r="M61" s="102">
        <v>39569</v>
      </c>
      <c r="N61" s="102" t="s">
        <v>137</v>
      </c>
    </row>
    <row r="62" spans="1:14" ht="12.75">
      <c r="A62" s="117" t="s">
        <v>211</v>
      </c>
      <c r="B62" s="112" t="s">
        <v>225</v>
      </c>
      <c r="C62" s="84">
        <v>549929</v>
      </c>
      <c r="D62" s="84">
        <v>532854</v>
      </c>
      <c r="E62" s="84">
        <f t="shared" si="3"/>
        <v>17075</v>
      </c>
      <c r="F62" s="30">
        <f>C62/D62</f>
        <v>1.032044424926903</v>
      </c>
      <c r="G62" s="87">
        <f t="shared" si="4"/>
        <v>0.010502296979085486</v>
      </c>
      <c r="H62" s="29"/>
      <c r="I62" s="29"/>
      <c r="J62" s="38">
        <f t="shared" si="5"/>
        <v>0</v>
      </c>
      <c r="K62" s="40">
        <v>39934</v>
      </c>
      <c r="L62" s="40">
        <v>39995</v>
      </c>
      <c r="M62" s="40">
        <v>40330</v>
      </c>
      <c r="N62" s="46"/>
    </row>
    <row r="63" spans="1:14" ht="12.75">
      <c r="A63" s="117" t="s">
        <v>212</v>
      </c>
      <c r="B63" s="112" t="s">
        <v>226</v>
      </c>
      <c r="C63" s="84">
        <v>1215244.17</v>
      </c>
      <c r="D63" s="84">
        <v>3200000</v>
      </c>
      <c r="E63" s="84">
        <f t="shared" si="3"/>
        <v>-1984755.83</v>
      </c>
      <c r="F63" s="30">
        <f>C63/D63</f>
        <v>0.37976380312499997</v>
      </c>
      <c r="G63" s="87">
        <f t="shared" si="4"/>
        <v>0.06307046645624045</v>
      </c>
      <c r="H63" s="29"/>
      <c r="I63" s="29"/>
      <c r="J63" s="38">
        <f t="shared" si="5"/>
        <v>0</v>
      </c>
      <c r="K63" s="40">
        <v>40210</v>
      </c>
      <c r="L63" s="40">
        <v>40452</v>
      </c>
      <c r="M63" s="40">
        <v>40422</v>
      </c>
      <c r="N63" s="46"/>
    </row>
    <row r="64" spans="1:14" ht="12.75">
      <c r="A64" s="117" t="s">
        <v>213</v>
      </c>
      <c r="B64" s="112" t="s">
        <v>227</v>
      </c>
      <c r="C64" s="84">
        <v>243564.41</v>
      </c>
      <c r="D64" s="84">
        <v>0</v>
      </c>
      <c r="E64" s="84">
        <f t="shared" si="3"/>
        <v>243564.41</v>
      </c>
      <c r="F64" s="30"/>
      <c r="G64" s="87">
        <f t="shared" si="4"/>
        <v>0</v>
      </c>
      <c r="H64" s="29"/>
      <c r="I64" s="29"/>
      <c r="J64" s="38">
        <f t="shared" si="5"/>
        <v>0</v>
      </c>
      <c r="K64" s="40">
        <v>40634</v>
      </c>
      <c r="L64" s="40">
        <v>40817</v>
      </c>
      <c r="M64" s="40">
        <v>40452</v>
      </c>
      <c r="N64" s="46"/>
    </row>
    <row r="65" spans="1:14" ht="12.75">
      <c r="A65" s="138" t="s">
        <v>214</v>
      </c>
      <c r="B65" s="112" t="s">
        <v>228</v>
      </c>
      <c r="C65" s="84">
        <v>0</v>
      </c>
      <c r="D65" s="84">
        <v>50000</v>
      </c>
      <c r="E65" s="84">
        <f t="shared" si="3"/>
        <v>-50000</v>
      </c>
      <c r="F65" s="30">
        <f>C65/D65</f>
        <v>0</v>
      </c>
      <c r="G65" s="30">
        <f t="shared" si="4"/>
        <v>0.000985476038378757</v>
      </c>
      <c r="H65" s="29"/>
      <c r="I65" s="29"/>
      <c r="J65" s="38">
        <f t="shared" si="5"/>
        <v>0</v>
      </c>
      <c r="K65" s="40">
        <v>40483</v>
      </c>
      <c r="L65" s="40">
        <v>40787</v>
      </c>
      <c r="M65" s="40" t="s">
        <v>137</v>
      </c>
      <c r="N65" s="46" t="s">
        <v>137</v>
      </c>
    </row>
    <row r="66" spans="1:14" ht="12.75">
      <c r="A66" s="138" t="s">
        <v>215</v>
      </c>
      <c r="B66" s="112" t="s">
        <v>229</v>
      </c>
      <c r="C66" s="84">
        <v>2670832.42</v>
      </c>
      <c r="D66" s="84"/>
      <c r="E66" s="84">
        <f t="shared" si="3"/>
        <v>2670832.42</v>
      </c>
      <c r="F66" s="30"/>
      <c r="G66" s="30">
        <f t="shared" si="4"/>
        <v>0</v>
      </c>
      <c r="H66" s="29"/>
      <c r="I66" s="29"/>
      <c r="J66" s="38">
        <f t="shared" si="5"/>
        <v>0</v>
      </c>
      <c r="K66" s="40">
        <v>40238</v>
      </c>
      <c r="L66" s="40">
        <v>40513</v>
      </c>
      <c r="M66" s="40">
        <v>40299</v>
      </c>
      <c r="N66" s="46"/>
    </row>
    <row r="67" spans="1:14" ht="12.75">
      <c r="A67" s="116" t="s">
        <v>196</v>
      </c>
      <c r="B67" s="112" t="s">
        <v>230</v>
      </c>
      <c r="C67" s="84">
        <v>984.1700000000001</v>
      </c>
      <c r="D67" s="84">
        <v>0</v>
      </c>
      <c r="E67" s="84">
        <f t="shared" si="3"/>
        <v>984.1700000000001</v>
      </c>
      <c r="F67" s="30"/>
      <c r="G67" s="30">
        <f t="shared" si="4"/>
        <v>0</v>
      </c>
      <c r="H67" s="29"/>
      <c r="I67" s="29"/>
      <c r="J67" s="38">
        <f t="shared" si="5"/>
        <v>0</v>
      </c>
      <c r="K67" s="40">
        <v>39814</v>
      </c>
      <c r="L67" s="40">
        <v>40178</v>
      </c>
      <c r="M67" s="40">
        <v>39814</v>
      </c>
      <c r="N67" s="46"/>
    </row>
    <row r="68" spans="1:14" ht="12.75">
      <c r="A68" s="116" t="s">
        <v>216</v>
      </c>
      <c r="B68" s="112" t="s">
        <v>230</v>
      </c>
      <c r="C68" s="84">
        <v>1011336.0800000001</v>
      </c>
      <c r="D68" s="84">
        <v>4036079.01</v>
      </c>
      <c r="E68" s="84">
        <f t="shared" si="3"/>
        <v>-3024742.9299999997</v>
      </c>
      <c r="F68" s="30">
        <f>C68/D68</f>
        <v>0.25057390539042</v>
      </c>
      <c r="G68" s="30">
        <f t="shared" si="4"/>
        <v>0.07954918306716913</v>
      </c>
      <c r="H68" s="29"/>
      <c r="I68" s="29"/>
      <c r="J68" s="38">
        <f t="shared" si="5"/>
        <v>0</v>
      </c>
      <c r="K68" s="40">
        <v>40179</v>
      </c>
      <c r="L68" s="40">
        <v>41974</v>
      </c>
      <c r="M68" s="40">
        <v>40210</v>
      </c>
      <c r="N68" s="46"/>
    </row>
    <row r="69" spans="1:14" ht="12.75">
      <c r="A69" s="116" t="s">
        <v>217</v>
      </c>
      <c r="B69" s="112" t="s">
        <v>231</v>
      </c>
      <c r="C69" s="84">
        <v>-943.2900000000081</v>
      </c>
      <c r="D69" s="84"/>
      <c r="E69" s="84">
        <f t="shared" si="3"/>
        <v>-943.2900000000081</v>
      </c>
      <c r="F69" s="30"/>
      <c r="G69" s="30">
        <f t="shared" si="4"/>
        <v>0</v>
      </c>
      <c r="H69" s="29"/>
      <c r="I69" s="29"/>
      <c r="J69" s="38">
        <f t="shared" si="5"/>
        <v>0</v>
      </c>
      <c r="K69" s="40">
        <v>40179</v>
      </c>
      <c r="L69" s="40">
        <v>40513</v>
      </c>
      <c r="M69" s="40">
        <v>40179</v>
      </c>
      <c r="N69" s="46" t="s">
        <v>137</v>
      </c>
    </row>
    <row r="70" spans="1:14" ht="12.75">
      <c r="A70" s="116" t="s">
        <v>218</v>
      </c>
      <c r="B70" s="112" t="s">
        <v>232</v>
      </c>
      <c r="C70" s="84">
        <v>-150954.98</v>
      </c>
      <c r="D70" s="84">
        <v>0</v>
      </c>
      <c r="E70" s="84">
        <f t="shared" si="3"/>
        <v>-150954.98</v>
      </c>
      <c r="F70" s="30"/>
      <c r="G70" s="30">
        <f t="shared" si="4"/>
        <v>0</v>
      </c>
      <c r="H70" s="29"/>
      <c r="I70" s="29"/>
      <c r="J70" s="38">
        <f t="shared" si="5"/>
        <v>0</v>
      </c>
      <c r="K70" s="40">
        <v>37347</v>
      </c>
      <c r="L70" s="40">
        <v>37956</v>
      </c>
      <c r="M70" s="40">
        <v>37316</v>
      </c>
      <c r="N70" s="46" t="s">
        <v>137</v>
      </c>
    </row>
    <row r="71" spans="1:14" ht="12.75">
      <c r="A71" s="116" t="s">
        <v>219</v>
      </c>
      <c r="B71" s="112" t="s">
        <v>233</v>
      </c>
      <c r="C71" s="84">
        <v>-36976.84</v>
      </c>
      <c r="D71" s="84">
        <v>0</v>
      </c>
      <c r="E71" s="84">
        <f>C71-D71</f>
        <v>-36976.84</v>
      </c>
      <c r="F71" s="30"/>
      <c r="G71" s="30">
        <f t="shared" si="4"/>
        <v>0</v>
      </c>
      <c r="H71" s="29"/>
      <c r="I71" s="29"/>
      <c r="J71" s="38">
        <f>H71-I71</f>
        <v>0</v>
      </c>
      <c r="K71" s="40">
        <v>37987</v>
      </c>
      <c r="L71" s="40" t="s">
        <v>137</v>
      </c>
      <c r="M71" s="40" t="s">
        <v>137</v>
      </c>
      <c r="N71" s="46" t="s">
        <v>137</v>
      </c>
    </row>
    <row r="72" spans="1:14" ht="12.75">
      <c r="A72" s="116" t="s">
        <v>234</v>
      </c>
      <c r="B72" s="112" t="s">
        <v>235</v>
      </c>
      <c r="C72" s="84">
        <v>-989.46</v>
      </c>
      <c r="D72" s="84">
        <v>0</v>
      </c>
      <c r="E72" s="84">
        <f>C72-D72</f>
        <v>-989.46</v>
      </c>
      <c r="F72" s="30"/>
      <c r="G72" s="30">
        <f t="shared" si="4"/>
        <v>0</v>
      </c>
      <c r="H72" s="29"/>
      <c r="I72" s="29"/>
      <c r="J72" s="38">
        <f>H72-I72</f>
        <v>0</v>
      </c>
      <c r="K72" s="40">
        <v>39814</v>
      </c>
      <c r="L72" s="40" t="s">
        <v>137</v>
      </c>
      <c r="M72" s="40" t="s">
        <v>137</v>
      </c>
      <c r="N72" s="46" t="s">
        <v>137</v>
      </c>
    </row>
    <row r="73" spans="1:14" ht="12.75">
      <c r="A73" s="116"/>
      <c r="B73" s="112" t="s">
        <v>236</v>
      </c>
      <c r="C73" s="84">
        <v>0</v>
      </c>
      <c r="D73" s="84">
        <v>168000</v>
      </c>
      <c r="E73" s="84">
        <f>C73-D73</f>
        <v>-168000</v>
      </c>
      <c r="F73" s="30">
        <f>C73/D73</f>
        <v>0</v>
      </c>
      <c r="G73" s="30">
        <f t="shared" si="4"/>
        <v>0.003311199488952624</v>
      </c>
      <c r="H73" s="29"/>
      <c r="I73" s="29"/>
      <c r="J73" s="38">
        <f>H73-I73</f>
        <v>0</v>
      </c>
      <c r="K73" s="40">
        <v>40179</v>
      </c>
      <c r="L73" s="40">
        <v>40513</v>
      </c>
      <c r="M73" s="40" t="s">
        <v>137</v>
      </c>
      <c r="N73" s="46" t="s">
        <v>137</v>
      </c>
    </row>
    <row r="74" spans="1:14" ht="12.75">
      <c r="A74" s="71"/>
      <c r="B74" s="67"/>
      <c r="C74" s="84">
        <v>0</v>
      </c>
      <c r="D74" s="84">
        <v>0</v>
      </c>
      <c r="E74" s="84">
        <f>C74-D74</f>
        <v>0</v>
      </c>
      <c r="F74" s="30"/>
      <c r="G74" s="62">
        <f t="shared" si="4"/>
        <v>0</v>
      </c>
      <c r="H74" s="31"/>
      <c r="I74" s="31"/>
      <c r="J74" s="39"/>
      <c r="K74" s="43"/>
      <c r="L74" s="43"/>
      <c r="M74" s="43"/>
      <c r="N74" s="44"/>
    </row>
    <row r="75" spans="3:14" ht="12">
      <c r="C75" s="68">
        <f>SUM(C56:C74)</f>
        <v>35693055.39</v>
      </c>
      <c r="D75" s="34">
        <f>SUM(D56:D74)</f>
        <v>38449006.800000004</v>
      </c>
      <c r="E75" s="34">
        <f>SUM(E56:E74)</f>
        <v>-2755951.410000002</v>
      </c>
      <c r="F75" s="36">
        <f>C75/D75</f>
        <v>0.9283219089550058</v>
      </c>
      <c r="G75" s="35"/>
      <c r="H75" s="28"/>
      <c r="I75" s="28"/>
      <c r="J75" s="28"/>
      <c r="K75" s="28"/>
      <c r="L75" s="28"/>
      <c r="M75" s="28"/>
      <c r="N75" s="28"/>
    </row>
    <row r="77" ht="12">
      <c r="C77" s="122"/>
    </row>
    <row r="78" ht="12">
      <c r="C78" s="126"/>
    </row>
    <row r="80" ht="12">
      <c r="C80" s="124"/>
    </row>
    <row r="82" ht="12">
      <c r="C82" s="124"/>
    </row>
  </sheetData>
  <sheetProtection/>
  <mergeCells count="6">
    <mergeCell ref="A1:N1"/>
    <mergeCell ref="A2:N2"/>
    <mergeCell ref="A3:N3"/>
    <mergeCell ref="A42:N42"/>
    <mergeCell ref="A43:N43"/>
    <mergeCell ref="A44:N44"/>
  </mergeCells>
  <printOptions horizontalCentered="1"/>
  <pageMargins left="0.25" right="0.25" top="1" bottom="0.5" header="0" footer="0"/>
  <pageSetup horizontalDpi="600" verticalDpi="600" orientation="landscape" scale="69" r:id="rId1"/>
  <rowBreaks count="1" manualBreakCount="1">
    <brk id="41" max="255" man="1"/>
  </rowBreaks>
  <colBreaks count="1" manualBreakCount="1">
    <brk id="14" max="65535" man="1"/>
  </colBreaks>
  <customProperties>
    <customPr name="_pios_id" r:id="rId2"/>
  </customProperties>
</worksheet>
</file>

<file path=xl/worksheets/sheet7.xml><?xml version="1.0" encoding="utf-8"?>
<worksheet xmlns="http://schemas.openxmlformats.org/spreadsheetml/2006/main" xmlns:r="http://schemas.openxmlformats.org/officeDocument/2006/relationships">
  <dimension ref="A1:Z79"/>
  <sheetViews>
    <sheetView tabSelected="1" view="pageBreakPreview" zoomScale="90" zoomScaleSheetLayoutView="90" zoomScalePageLayoutView="0" workbookViewId="0" topLeftCell="C11">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7.83203125" style="1" customWidth="1"/>
    <col min="17" max="17" width="57.5" style="1" customWidth="1"/>
    <col min="18" max="18" width="88" style="13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2009</v>
      </c>
      <c r="W4" s="2"/>
    </row>
    <row r="5" spans="1:12" ht="12">
      <c r="A5" s="2" t="s">
        <v>2</v>
      </c>
      <c r="L5" s="2" t="s">
        <v>73</v>
      </c>
    </row>
    <row r="6" spans="1:16" ht="15.75">
      <c r="A6" s="2" t="s">
        <v>3</v>
      </c>
      <c r="L6" s="2"/>
      <c r="P6" s="5" t="s">
        <v>55</v>
      </c>
    </row>
    <row r="7" spans="12:21" ht="19.5">
      <c r="L7" s="2" t="s">
        <v>4</v>
      </c>
      <c r="P7" s="6"/>
      <c r="U7" s="5" t="s">
        <v>198</v>
      </c>
    </row>
    <row r="8" spans="12:13" ht="12">
      <c r="L8" s="4" t="s">
        <v>312</v>
      </c>
      <c r="M8" s="4"/>
    </row>
    <row r="9" spans="17:24" ht="12.75">
      <c r="Q9" s="7"/>
      <c r="R9" s="132"/>
      <c r="S9" s="7"/>
      <c r="T9" s="8" t="s">
        <v>5</v>
      </c>
      <c r="U9" s="7"/>
      <c r="V9" s="7"/>
      <c r="W9" s="7"/>
      <c r="X9" s="7"/>
    </row>
    <row r="10" spans="17:24" ht="12.75">
      <c r="Q10" s="7"/>
      <c r="R10" s="132"/>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132"/>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33" t="s">
        <v>18</v>
      </c>
      <c r="S12" s="17" t="s">
        <v>19</v>
      </c>
      <c r="T12" s="17" t="s">
        <v>19</v>
      </c>
      <c r="U12" s="16" t="s">
        <v>20</v>
      </c>
      <c r="V12" s="16" t="s">
        <v>21</v>
      </c>
      <c r="W12" s="16" t="s">
        <v>20</v>
      </c>
      <c r="X12" s="16" t="s">
        <v>21</v>
      </c>
    </row>
    <row r="13" spans="1:26" ht="25.5">
      <c r="A13" s="9"/>
      <c r="B13" s="15"/>
      <c r="C13" s="15" t="s">
        <v>12</v>
      </c>
      <c r="D13" s="15" t="s">
        <v>16</v>
      </c>
      <c r="E13" s="15" t="s">
        <v>22</v>
      </c>
      <c r="F13" s="15" t="s">
        <v>22</v>
      </c>
      <c r="G13" s="15" t="s">
        <v>23</v>
      </c>
      <c r="H13" s="15" t="s">
        <v>24</v>
      </c>
      <c r="I13" s="15" t="s">
        <v>24</v>
      </c>
      <c r="J13" s="15"/>
      <c r="K13" s="15" t="s">
        <v>15</v>
      </c>
      <c r="L13" s="15" t="s">
        <v>15</v>
      </c>
      <c r="M13" s="15" t="s">
        <v>14</v>
      </c>
      <c r="N13" s="15" t="s">
        <v>14</v>
      </c>
      <c r="P13" s="72" t="s">
        <v>116</v>
      </c>
      <c r="Q13" s="70" t="s">
        <v>117</v>
      </c>
      <c r="R13" s="134" t="s">
        <v>201</v>
      </c>
      <c r="S13" s="29">
        <v>7529869.92</v>
      </c>
      <c r="T13" s="29">
        <v>6239562</v>
      </c>
      <c r="U13" s="40">
        <v>38687</v>
      </c>
      <c r="V13" s="40">
        <v>39264</v>
      </c>
      <c r="W13" s="40">
        <v>38687</v>
      </c>
      <c r="X13" s="46">
        <v>39995</v>
      </c>
      <c r="Y13" s="78"/>
      <c r="Z13" s="78"/>
    </row>
    <row r="14" spans="1:24" ht="38.2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2" t="s">
        <v>119</v>
      </c>
      <c r="Q14" s="70" t="s">
        <v>121</v>
      </c>
      <c r="R14" s="97" t="s">
        <v>202</v>
      </c>
      <c r="S14" s="29">
        <v>442102.82</v>
      </c>
      <c r="T14" s="29">
        <v>200000</v>
      </c>
      <c r="U14" s="40">
        <v>38777</v>
      </c>
      <c r="V14" s="40">
        <v>39326</v>
      </c>
      <c r="W14" s="40">
        <v>38930</v>
      </c>
      <c r="X14" s="46">
        <v>39814</v>
      </c>
    </row>
    <row r="15" spans="1:24" ht="12.75">
      <c r="A15" s="9" t="s">
        <v>148</v>
      </c>
      <c r="B15" s="14" t="s">
        <v>79</v>
      </c>
      <c r="C15" s="82">
        <f>3.23+2492976.63+12614+41556.78</f>
        <v>2547150.6399999997</v>
      </c>
      <c r="D15" s="82">
        <v>4700000</v>
      </c>
      <c r="E15" s="84">
        <f aca="true" t="shared" si="0" ref="E15:E34">C15-D15</f>
        <v>-2152849.3600000003</v>
      </c>
      <c r="F15" s="26">
        <f>C15/D15</f>
        <v>0.541946944680851</v>
      </c>
      <c r="G15" s="27">
        <f aca="true" t="shared" si="1" ref="G15:G34">D15/(D$35+D$72)</f>
        <v>0.05692219923065024</v>
      </c>
      <c r="H15" s="28"/>
      <c r="I15" s="28"/>
      <c r="J15" s="28"/>
      <c r="K15" s="28"/>
      <c r="L15" s="28"/>
      <c r="M15" s="28"/>
      <c r="N15" s="28"/>
      <c r="P15" s="72"/>
      <c r="Q15" s="70"/>
      <c r="R15" s="97"/>
      <c r="S15" s="29"/>
      <c r="T15" s="29"/>
      <c r="U15" s="105"/>
      <c r="V15" s="105"/>
      <c r="W15" s="105"/>
      <c r="X15" s="106"/>
    </row>
    <row r="16" spans="1:24" ht="12.75">
      <c r="A16" s="9" t="s">
        <v>38</v>
      </c>
      <c r="B16" s="14" t="s">
        <v>163</v>
      </c>
      <c r="C16" s="82">
        <f>216996.58-8560.45+432596.36</f>
        <v>641032.49</v>
      </c>
      <c r="D16" s="82">
        <v>560000</v>
      </c>
      <c r="E16" s="84">
        <f t="shared" si="0"/>
        <v>81032.48999999999</v>
      </c>
      <c r="F16" s="26">
        <f aca="true" t="shared" si="2" ref="F16:F34">C16/D16</f>
        <v>1.144700875</v>
      </c>
      <c r="G16" s="30">
        <f t="shared" si="1"/>
        <v>0.00678221948280088</v>
      </c>
      <c r="H16" s="28"/>
      <c r="I16" s="28"/>
      <c r="J16" s="28"/>
      <c r="K16" s="28"/>
      <c r="L16" s="28"/>
      <c r="M16" s="28"/>
      <c r="N16" s="28"/>
      <c r="P16" s="104"/>
      <c r="Q16" s="107"/>
      <c r="R16" s="135"/>
      <c r="S16" s="109"/>
      <c r="T16" s="109"/>
      <c r="U16" s="110"/>
      <c r="V16" s="110"/>
      <c r="W16" s="110"/>
      <c r="X16" s="111"/>
    </row>
    <row r="17" spans="1:24" ht="12.75">
      <c r="A17" s="9" t="s">
        <v>39</v>
      </c>
      <c r="B17" s="14" t="s">
        <v>164</v>
      </c>
      <c r="C17" s="82">
        <f>120+591602.95+1000</f>
        <v>592722.95</v>
      </c>
      <c r="D17" s="82">
        <v>1005300</v>
      </c>
      <c r="E17" s="84">
        <f t="shared" si="0"/>
        <v>-412577.05000000005</v>
      </c>
      <c r="F17" s="26">
        <f t="shared" si="2"/>
        <v>0.5895980801750721</v>
      </c>
      <c r="G17" s="30">
        <f t="shared" si="1"/>
        <v>0.012175295082249507</v>
      </c>
      <c r="H17" s="28"/>
      <c r="I17" s="28"/>
      <c r="J17" s="28"/>
      <c r="K17" s="28"/>
      <c r="L17" s="28"/>
      <c r="M17" s="28"/>
      <c r="N17" s="28"/>
      <c r="P17" s="59"/>
      <c r="Q17" s="17" t="s">
        <v>32</v>
      </c>
      <c r="R17" s="136"/>
      <c r="S17" s="55">
        <f>SUM(S13:S16)</f>
        <v>7971972.74</v>
      </c>
      <c r="T17" s="55">
        <f>SUM(T13:T16)</f>
        <v>6439562</v>
      </c>
      <c r="U17" s="60"/>
      <c r="V17" s="60"/>
      <c r="W17" s="60"/>
      <c r="X17" s="60"/>
    </row>
    <row r="18" spans="1:24" ht="12.75">
      <c r="A18" s="9" t="s">
        <v>40</v>
      </c>
      <c r="B18" s="14" t="s">
        <v>165</v>
      </c>
      <c r="C18" s="82">
        <f>198750.39-416.5</f>
        <v>198333.89</v>
      </c>
      <c r="D18" s="82">
        <v>239400</v>
      </c>
      <c r="E18" s="84">
        <f t="shared" si="0"/>
        <v>-41066.109999999986</v>
      </c>
      <c r="F18" s="26">
        <f t="shared" si="2"/>
        <v>0.8284623642439433</v>
      </c>
      <c r="G18" s="30">
        <f t="shared" si="1"/>
        <v>0.002899398828897376</v>
      </c>
      <c r="H18" s="28"/>
      <c r="I18" s="28"/>
      <c r="J18" s="28"/>
      <c r="K18" s="28"/>
      <c r="L18" s="28"/>
      <c r="M18" s="28"/>
      <c r="N18" s="28"/>
      <c r="P18" s="59"/>
      <c r="Q18" s="59"/>
      <c r="R18" s="137"/>
      <c r="S18" s="80"/>
      <c r="T18" s="80"/>
      <c r="U18" s="60"/>
      <c r="V18" s="60"/>
      <c r="W18" s="60"/>
      <c r="X18" s="60"/>
    </row>
    <row r="19" spans="1:24" ht="12.75">
      <c r="A19" s="9" t="s">
        <v>149</v>
      </c>
      <c r="B19" s="14" t="s">
        <v>166</v>
      </c>
      <c r="C19" s="82">
        <v>1540243.32</v>
      </c>
      <c r="D19" s="82">
        <v>1005300</v>
      </c>
      <c r="E19" s="84">
        <f t="shared" si="0"/>
        <v>534943.3200000001</v>
      </c>
      <c r="F19" s="26">
        <f t="shared" si="2"/>
        <v>1.532123067740973</v>
      </c>
      <c r="G19" s="30">
        <f t="shared" si="1"/>
        <v>0.012175295082249507</v>
      </c>
      <c r="H19" s="28"/>
      <c r="I19" s="28"/>
      <c r="J19" s="28"/>
      <c r="K19" s="28"/>
      <c r="L19" s="28"/>
      <c r="M19" s="28"/>
      <c r="N19" s="28"/>
      <c r="P19" s="59"/>
      <c r="Q19" s="59"/>
      <c r="R19" s="137"/>
      <c r="S19" s="80"/>
      <c r="T19" s="80"/>
      <c r="U19" s="60"/>
      <c r="V19" s="60"/>
      <c r="W19" s="60"/>
      <c r="X19" s="60"/>
    </row>
    <row r="20" spans="1:24" ht="12.75">
      <c r="A20" s="9" t="s">
        <v>41</v>
      </c>
      <c r="B20" s="14" t="s">
        <v>167</v>
      </c>
      <c r="C20" s="82">
        <f>45484.19+19688.63</f>
        <v>65172.82000000001</v>
      </c>
      <c r="D20" s="82">
        <v>192000</v>
      </c>
      <c r="E20" s="84">
        <f t="shared" si="0"/>
        <v>-126827.18</v>
      </c>
      <c r="F20" s="26">
        <f t="shared" si="2"/>
        <v>0.3394417708333334</v>
      </c>
      <c r="G20" s="30">
        <f t="shared" si="1"/>
        <v>0.002325332394103159</v>
      </c>
      <c r="H20" s="28"/>
      <c r="I20" s="28"/>
      <c r="J20" s="28"/>
      <c r="K20" s="28"/>
      <c r="L20" s="28"/>
      <c r="M20" s="28"/>
      <c r="N20" s="28"/>
      <c r="P20" s="59"/>
      <c r="Q20" s="59"/>
      <c r="R20" s="137"/>
      <c r="S20" s="80"/>
      <c r="T20" s="80"/>
      <c r="U20" s="60"/>
      <c r="V20" s="60"/>
      <c r="W20" s="60"/>
      <c r="X20" s="60"/>
    </row>
    <row r="21" spans="1:24" ht="12.75">
      <c r="A21" s="9" t="s">
        <v>42</v>
      </c>
      <c r="B21" s="14" t="s">
        <v>168</v>
      </c>
      <c r="C21" s="82">
        <f>180748.9+1921.77</f>
        <v>182670.66999999998</v>
      </c>
      <c r="D21" s="82">
        <v>150000</v>
      </c>
      <c r="E21" s="84">
        <f t="shared" si="0"/>
        <v>32670.669999999984</v>
      </c>
      <c r="F21" s="26">
        <f t="shared" si="2"/>
        <v>1.2178044666666665</v>
      </c>
      <c r="G21" s="30">
        <f t="shared" si="1"/>
        <v>0.0018166659328930927</v>
      </c>
      <c r="H21" s="28"/>
      <c r="I21" s="28"/>
      <c r="J21" s="28"/>
      <c r="K21" s="28"/>
      <c r="L21" s="28"/>
      <c r="M21" s="28"/>
      <c r="N21" s="28"/>
      <c r="P21" s="59"/>
      <c r="Q21" s="59"/>
      <c r="R21" s="137"/>
      <c r="S21" s="80"/>
      <c r="T21" s="80"/>
      <c r="U21" s="60"/>
      <c r="V21" s="60"/>
      <c r="W21" s="60"/>
      <c r="X21" s="60"/>
    </row>
    <row r="22" spans="1:24" ht="12.75">
      <c r="A22" s="9" t="s">
        <v>43</v>
      </c>
      <c r="B22" s="14" t="s">
        <v>169</v>
      </c>
      <c r="C22" s="82">
        <f>-679.65+1264241.98+33710.45</f>
        <v>1297272.78</v>
      </c>
      <c r="D22" s="82">
        <v>980000</v>
      </c>
      <c r="E22" s="84">
        <f t="shared" si="0"/>
        <v>317272.78</v>
      </c>
      <c r="F22" s="26">
        <f t="shared" si="2"/>
        <v>1.3237477346938775</v>
      </c>
      <c r="G22" s="30">
        <f t="shared" si="1"/>
        <v>0.01186888409490154</v>
      </c>
      <c r="H22" s="28"/>
      <c r="I22" s="28"/>
      <c r="J22" s="28"/>
      <c r="K22" s="28"/>
      <c r="L22" s="28"/>
      <c r="M22" s="28"/>
      <c r="N22" s="28"/>
      <c r="P22" s="59"/>
      <c r="Q22" s="59"/>
      <c r="R22" s="137"/>
      <c r="S22" s="80"/>
      <c r="T22" s="80"/>
      <c r="U22" s="60"/>
      <c r="V22" s="60"/>
      <c r="W22" s="60"/>
      <c r="X22" s="60"/>
    </row>
    <row r="23" spans="1:24" ht="12.75">
      <c r="A23" s="9" t="s">
        <v>44</v>
      </c>
      <c r="B23" s="14" t="s">
        <v>170</v>
      </c>
      <c r="C23" s="82">
        <f>720612.42+14989.71</f>
        <v>735602.13</v>
      </c>
      <c r="D23" s="82">
        <v>1400000</v>
      </c>
      <c r="E23" s="84">
        <f t="shared" si="0"/>
        <v>-664397.87</v>
      </c>
      <c r="F23" s="26">
        <f t="shared" si="2"/>
        <v>0.5254300928571428</v>
      </c>
      <c r="G23" s="30">
        <f t="shared" si="1"/>
        <v>0.016955548707002197</v>
      </c>
      <c r="H23" s="28"/>
      <c r="I23" s="28"/>
      <c r="J23" s="28"/>
      <c r="K23" s="28"/>
      <c r="L23" s="28"/>
      <c r="M23" s="28"/>
      <c r="N23" s="28"/>
      <c r="P23" s="59"/>
      <c r="Q23" s="59"/>
      <c r="R23" s="137"/>
      <c r="S23" s="80"/>
      <c r="T23" s="80"/>
      <c r="U23" s="60"/>
      <c r="V23" s="60"/>
      <c r="W23" s="60"/>
      <c r="X23" s="60"/>
    </row>
    <row r="24" spans="1:24" ht="12.75">
      <c r="A24" s="9" t="s">
        <v>151</v>
      </c>
      <c r="B24" s="14" t="s">
        <v>87</v>
      </c>
      <c r="C24" s="82">
        <f>603411.24-595+12932.03</f>
        <v>615748.27</v>
      </c>
      <c r="D24" s="82">
        <v>1215048</v>
      </c>
      <c r="E24" s="84">
        <f t="shared" si="0"/>
        <v>-599299.73</v>
      </c>
      <c r="F24" s="26">
        <f t="shared" si="2"/>
        <v>0.5067686790974513</v>
      </c>
      <c r="G24" s="30">
        <f t="shared" si="1"/>
        <v>0.014715575389532576</v>
      </c>
      <c r="H24" s="28"/>
      <c r="I24" s="28"/>
      <c r="J24" s="28"/>
      <c r="K24" s="28"/>
      <c r="L24" s="28"/>
      <c r="M24" s="28"/>
      <c r="N24" s="28"/>
      <c r="P24" s="59"/>
      <c r="Q24" s="59"/>
      <c r="R24" s="137"/>
      <c r="S24" s="80"/>
      <c r="T24" s="80"/>
      <c r="U24" s="60"/>
      <c r="V24" s="60"/>
      <c r="W24" s="60"/>
      <c r="X24" s="60"/>
    </row>
    <row r="25" spans="1:24" ht="12.75">
      <c r="A25" s="9" t="s">
        <v>150</v>
      </c>
      <c r="B25" s="14" t="s">
        <v>171</v>
      </c>
      <c r="C25" s="82">
        <f>1899636.18-1070.02+5485.45</f>
        <v>1904051.6099999999</v>
      </c>
      <c r="D25" s="82">
        <v>2000000</v>
      </c>
      <c r="E25" s="84">
        <f t="shared" si="0"/>
        <v>-95948.39000000013</v>
      </c>
      <c r="F25" s="26">
        <f t="shared" si="2"/>
        <v>0.9520258049999999</v>
      </c>
      <c r="G25" s="30">
        <f t="shared" si="1"/>
        <v>0.02422221243857457</v>
      </c>
      <c r="H25" s="28"/>
      <c r="I25" s="28"/>
      <c r="J25" s="28"/>
      <c r="K25" s="28"/>
      <c r="L25" s="28"/>
      <c r="M25" s="28"/>
      <c r="N25" s="28"/>
      <c r="P25" s="59"/>
      <c r="Q25" s="59"/>
      <c r="R25" s="137"/>
      <c r="S25" s="80"/>
      <c r="T25" s="80"/>
      <c r="U25" s="60"/>
      <c r="V25" s="60"/>
      <c r="W25" s="60"/>
      <c r="X25" s="60"/>
    </row>
    <row r="26" spans="1:24" ht="12.75">
      <c r="A26" s="9" t="s">
        <v>152</v>
      </c>
      <c r="B26" s="14" t="s">
        <v>172</v>
      </c>
      <c r="C26" s="82">
        <f>102273.33+14850</f>
        <v>117123.33</v>
      </c>
      <c r="D26" s="82">
        <v>102000</v>
      </c>
      <c r="E26" s="84">
        <f t="shared" si="0"/>
        <v>15123.330000000002</v>
      </c>
      <c r="F26" s="26">
        <f t="shared" si="2"/>
        <v>1.1482679411764707</v>
      </c>
      <c r="G26" s="30">
        <f t="shared" si="1"/>
        <v>0.0012353328343673031</v>
      </c>
      <c r="H26" s="28"/>
      <c r="I26" s="28"/>
      <c r="J26" s="28"/>
      <c r="K26" s="28"/>
      <c r="L26" s="28"/>
      <c r="M26" s="28"/>
      <c r="N26" s="28"/>
      <c r="P26" s="59"/>
      <c r="Q26" s="59"/>
      <c r="R26" s="137"/>
      <c r="S26" s="80"/>
      <c r="T26" s="80"/>
      <c r="U26" s="60"/>
      <c r="V26" s="60"/>
      <c r="W26" s="60"/>
      <c r="X26" s="60"/>
    </row>
    <row r="27" spans="1:24" ht="12.75">
      <c r="A27" s="9" t="s">
        <v>153</v>
      </c>
      <c r="B27" s="14" t="s">
        <v>173</v>
      </c>
      <c r="C27" s="82">
        <f>44900.23+19174.09</f>
        <v>64074.32000000001</v>
      </c>
      <c r="D27" s="82">
        <v>90000</v>
      </c>
      <c r="E27" s="84">
        <f t="shared" si="0"/>
        <v>-25925.679999999993</v>
      </c>
      <c r="F27" s="26">
        <f t="shared" si="2"/>
        <v>0.711936888888889</v>
      </c>
      <c r="G27" s="30">
        <f t="shared" si="1"/>
        <v>0.0010899995597358557</v>
      </c>
      <c r="H27" s="28"/>
      <c r="I27" s="28"/>
      <c r="J27" s="28"/>
      <c r="K27" s="28"/>
      <c r="L27" s="28"/>
      <c r="M27" s="28"/>
      <c r="N27" s="28"/>
      <c r="P27" s="59"/>
      <c r="Q27" s="59"/>
      <c r="R27" s="137"/>
      <c r="S27" s="80"/>
      <c r="T27" s="80"/>
      <c r="U27" s="60"/>
      <c r="V27" s="60"/>
      <c r="W27" s="60"/>
      <c r="X27" s="60"/>
    </row>
    <row r="28" spans="1:24" ht="12.75">
      <c r="A28" s="9" t="s">
        <v>154</v>
      </c>
      <c r="B28" s="81" t="s">
        <v>174</v>
      </c>
      <c r="C28" s="82">
        <v>14279.9</v>
      </c>
      <c r="D28" s="82">
        <v>10000</v>
      </c>
      <c r="E28" s="84">
        <f t="shared" si="0"/>
        <v>4279.9</v>
      </c>
      <c r="F28" s="26">
        <f t="shared" si="2"/>
        <v>1.4279899999999999</v>
      </c>
      <c r="G28" s="30">
        <f t="shared" si="1"/>
        <v>0.00012111106219287285</v>
      </c>
      <c r="H28" s="28"/>
      <c r="I28" s="28"/>
      <c r="J28" s="28"/>
      <c r="K28" s="28"/>
      <c r="L28" s="28"/>
      <c r="M28" s="28"/>
      <c r="N28" s="28"/>
      <c r="P28" s="59"/>
      <c r="U28" s="60"/>
      <c r="V28" s="60"/>
      <c r="W28" s="60"/>
      <c r="X28" s="60"/>
    </row>
    <row r="29" spans="1:24" ht="12.75">
      <c r="A29" s="9" t="s">
        <v>155</v>
      </c>
      <c r="B29" s="81" t="s">
        <v>89</v>
      </c>
      <c r="C29" s="82">
        <v>1039331.44</v>
      </c>
      <c r="D29" s="82">
        <v>560000</v>
      </c>
      <c r="E29" s="84">
        <f t="shared" si="0"/>
        <v>479331.43999999994</v>
      </c>
      <c r="F29" s="26">
        <f t="shared" si="2"/>
        <v>1.8559489999999998</v>
      </c>
      <c r="G29" s="30">
        <f t="shared" si="1"/>
        <v>0.00678221948280088</v>
      </c>
      <c r="H29" s="28"/>
      <c r="I29" s="28"/>
      <c r="J29" s="28"/>
      <c r="K29" s="28"/>
      <c r="L29" s="28"/>
      <c r="M29" s="28"/>
      <c r="N29" s="28"/>
      <c r="P29" s="59"/>
      <c r="U29" s="60"/>
      <c r="V29" s="60"/>
      <c r="W29" s="60"/>
      <c r="X29" s="60"/>
    </row>
    <row r="30" spans="1:24" ht="12.75">
      <c r="A30" s="9" t="s">
        <v>156</v>
      </c>
      <c r="B30" s="81" t="s">
        <v>90</v>
      </c>
      <c r="C30" s="82">
        <v>141312.41</v>
      </c>
      <c r="D30" s="82">
        <v>500000</v>
      </c>
      <c r="E30" s="84">
        <f t="shared" si="0"/>
        <v>-358687.58999999997</v>
      </c>
      <c r="F30" s="26">
        <f t="shared" si="2"/>
        <v>0.28262482</v>
      </c>
      <c r="G30" s="30">
        <f t="shared" si="1"/>
        <v>0.006055553109643642</v>
      </c>
      <c r="H30" s="28"/>
      <c r="I30" s="28"/>
      <c r="J30" s="28"/>
      <c r="K30" s="28"/>
      <c r="L30" s="28"/>
      <c r="M30" s="28"/>
      <c r="N30" s="28"/>
      <c r="P30" s="59"/>
      <c r="U30" s="60"/>
      <c r="V30" s="60"/>
      <c r="W30" s="60"/>
      <c r="X30" s="60"/>
    </row>
    <row r="31" spans="1:24" ht="12.75">
      <c r="A31" s="9" t="s">
        <v>157</v>
      </c>
      <c r="B31" s="81" t="s">
        <v>91</v>
      </c>
      <c r="C31" s="82">
        <f>44577.6+6457.1</f>
        <v>51034.7</v>
      </c>
      <c r="D31" s="82">
        <v>257200</v>
      </c>
      <c r="E31" s="84">
        <f t="shared" si="0"/>
        <v>-206165.3</v>
      </c>
      <c r="F31" s="26">
        <f t="shared" si="2"/>
        <v>0.19842418351477448</v>
      </c>
      <c r="G31" s="30">
        <f t="shared" si="1"/>
        <v>0.0031149765196006895</v>
      </c>
      <c r="H31" s="28"/>
      <c r="I31" s="28"/>
      <c r="J31" s="28"/>
      <c r="K31" s="28"/>
      <c r="L31" s="28"/>
      <c r="M31" s="28"/>
      <c r="N31" s="28"/>
      <c r="P31" s="59"/>
      <c r="U31" s="60"/>
      <c r="V31" s="60"/>
      <c r="W31" s="60"/>
      <c r="X31" s="60"/>
    </row>
    <row r="32" spans="1:24" ht="12.75" customHeight="1">
      <c r="A32" s="9" t="s">
        <v>158</v>
      </c>
      <c r="B32" s="81" t="s">
        <v>175</v>
      </c>
      <c r="C32" s="82">
        <f>719063.23+1684.58</f>
        <v>720747.8099999999</v>
      </c>
      <c r="D32" s="82">
        <v>800000</v>
      </c>
      <c r="E32" s="84">
        <f t="shared" si="0"/>
        <v>-79252.19000000006</v>
      </c>
      <c r="F32" s="26">
        <f t="shared" si="2"/>
        <v>0.9009347624999999</v>
      </c>
      <c r="G32" s="30">
        <f t="shared" si="1"/>
        <v>0.009688884975429827</v>
      </c>
      <c r="H32" s="28"/>
      <c r="I32" s="28"/>
      <c r="J32" s="28"/>
      <c r="K32" s="28"/>
      <c r="L32" s="28"/>
      <c r="M32" s="28"/>
      <c r="N32" s="28"/>
      <c r="P32" s="7"/>
      <c r="U32" s="7"/>
      <c r="V32" s="7"/>
      <c r="W32" s="7"/>
      <c r="X32" s="7"/>
    </row>
    <row r="33" spans="1:14" ht="12.75">
      <c r="A33" s="9" t="s">
        <v>159</v>
      </c>
      <c r="B33" s="14" t="s">
        <v>176</v>
      </c>
      <c r="C33" s="82">
        <v>58419.74</v>
      </c>
      <c r="D33" s="82">
        <v>40000</v>
      </c>
      <c r="E33" s="84">
        <f t="shared" si="0"/>
        <v>18419.739999999998</v>
      </c>
      <c r="F33" s="26">
        <f t="shared" si="2"/>
        <v>1.4604935</v>
      </c>
      <c r="G33" s="30">
        <f t="shared" si="1"/>
        <v>0.0004844442487714914</v>
      </c>
      <c r="H33" s="28"/>
      <c r="I33" s="28"/>
      <c r="J33" s="28"/>
      <c r="K33" s="28"/>
      <c r="L33" s="28"/>
      <c r="M33" s="28"/>
      <c r="N33" s="28"/>
    </row>
    <row r="34" spans="1:14" ht="12.75">
      <c r="A34" s="17" t="s">
        <v>160</v>
      </c>
      <c r="B34" s="23" t="s">
        <v>177</v>
      </c>
      <c r="C34" s="82">
        <f>38679.74+152.29</f>
        <v>38832.03</v>
      </c>
      <c r="D34" s="83">
        <v>150000</v>
      </c>
      <c r="E34" s="84">
        <f t="shared" si="0"/>
        <v>-111167.97</v>
      </c>
      <c r="F34" s="62">
        <f t="shared" si="2"/>
        <v>0.2588802</v>
      </c>
      <c r="G34" s="62">
        <f t="shared" si="1"/>
        <v>0.0018166659328930927</v>
      </c>
      <c r="H34" s="28"/>
      <c r="I34" s="28"/>
      <c r="J34" s="28"/>
      <c r="K34" s="28"/>
      <c r="L34" s="28"/>
      <c r="M34" s="28"/>
      <c r="N34" s="28"/>
    </row>
    <row r="35" spans="1:14" ht="12.75">
      <c r="A35" s="24"/>
      <c r="B35" s="25" t="s">
        <v>31</v>
      </c>
      <c r="C35" s="34">
        <f>SUM(C15:C34)</f>
        <v>12565157.25</v>
      </c>
      <c r="D35" s="34">
        <f>SUM(D15:D34)</f>
        <v>15956248</v>
      </c>
      <c r="E35" s="34">
        <f>SUM(E15:E34)</f>
        <v>-3391090.75</v>
      </c>
      <c r="F35" s="32">
        <f>C35/D35</f>
        <v>0.7874756803729799</v>
      </c>
      <c r="G35" s="35"/>
      <c r="H35" s="28"/>
      <c r="I35" s="28"/>
      <c r="J35" s="28"/>
      <c r="K35" s="28"/>
      <c r="L35" s="28"/>
      <c r="M35" s="28"/>
      <c r="N35" s="28"/>
    </row>
    <row r="36" spans="1:14" ht="12.75">
      <c r="A36" s="24"/>
      <c r="B36" s="25" t="s">
        <v>161</v>
      </c>
      <c r="C36" s="34">
        <f>C15</f>
        <v>2547150.6399999997</v>
      </c>
      <c r="D36" s="34">
        <f>D15</f>
        <v>4700000</v>
      </c>
      <c r="E36" s="34">
        <f>E15</f>
        <v>-2152849.3600000003</v>
      </c>
      <c r="F36" s="35"/>
      <c r="G36" s="35"/>
      <c r="H36" s="28"/>
      <c r="I36" s="28"/>
      <c r="J36" s="28"/>
      <c r="K36" s="28"/>
      <c r="L36" s="28"/>
      <c r="M36" s="28"/>
      <c r="N36" s="28"/>
    </row>
    <row r="37" spans="1:14" ht="12.75">
      <c r="A37" s="24"/>
      <c r="B37" s="25" t="s">
        <v>162</v>
      </c>
      <c r="C37" s="34">
        <f>C35-C36</f>
        <v>10018006.61</v>
      </c>
      <c r="D37" s="34">
        <f>D35-D36</f>
        <v>11256248</v>
      </c>
      <c r="E37" s="34">
        <f>E35-E36</f>
        <v>-1238241.3899999997</v>
      </c>
      <c r="F37" s="36">
        <f>C37/D37</f>
        <v>0.8899951928919831</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2009</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8"/>
      <c r="B52" s="12"/>
      <c r="C52" s="12"/>
      <c r="D52" s="12"/>
      <c r="E52" s="12"/>
      <c r="F52" s="12"/>
      <c r="G52" s="12"/>
      <c r="H52" s="12" t="s">
        <v>8</v>
      </c>
      <c r="I52" s="12" t="s">
        <v>8</v>
      </c>
      <c r="J52" s="12"/>
      <c r="K52" s="12" t="s">
        <v>9</v>
      </c>
      <c r="L52" s="12" t="s">
        <v>9</v>
      </c>
      <c r="M52" s="12"/>
      <c r="N52" s="12"/>
    </row>
    <row r="53" spans="1:14" ht="12.75">
      <c r="A53" s="9"/>
      <c r="B53" s="15"/>
      <c r="C53" s="15"/>
      <c r="D53" s="15" t="s">
        <v>12</v>
      </c>
      <c r="E53" s="15"/>
      <c r="F53" s="15"/>
      <c r="G53" s="15" t="s">
        <v>13</v>
      </c>
      <c r="H53" s="15" t="s">
        <v>14</v>
      </c>
      <c r="I53" s="15" t="s">
        <v>15</v>
      </c>
      <c r="J53" s="15"/>
      <c r="K53" s="15" t="s">
        <v>16</v>
      </c>
      <c r="L53" s="15" t="s">
        <v>16</v>
      </c>
      <c r="M53" s="15" t="s">
        <v>9</v>
      </c>
      <c r="N53" s="15" t="s">
        <v>9</v>
      </c>
    </row>
    <row r="54" spans="1:14" ht="12.75">
      <c r="A54" s="9"/>
      <c r="B54" s="15"/>
      <c r="C54" s="15" t="s">
        <v>12</v>
      </c>
      <c r="D54" s="15" t="s">
        <v>16</v>
      </c>
      <c r="E54" s="15" t="s">
        <v>22</v>
      </c>
      <c r="F54" s="15" t="s">
        <v>22</v>
      </c>
      <c r="G54" s="15" t="s">
        <v>23</v>
      </c>
      <c r="H54" s="15" t="s">
        <v>24</v>
      </c>
      <c r="I54" s="15" t="s">
        <v>24</v>
      </c>
      <c r="J54" s="15"/>
      <c r="K54" s="15" t="s">
        <v>15</v>
      </c>
      <c r="L54" s="15" t="s">
        <v>15</v>
      </c>
      <c r="M54" s="15" t="s">
        <v>14</v>
      </c>
      <c r="N54" s="15" t="s">
        <v>14</v>
      </c>
    </row>
    <row r="55" spans="1:14" ht="12.75">
      <c r="A55" s="17" t="s">
        <v>25</v>
      </c>
      <c r="B55" s="20" t="s">
        <v>26</v>
      </c>
      <c r="C55" s="125" t="s">
        <v>14</v>
      </c>
      <c r="D55" s="20" t="s">
        <v>15</v>
      </c>
      <c r="E55" s="20" t="s">
        <v>27</v>
      </c>
      <c r="F55" s="20" t="s">
        <v>13</v>
      </c>
      <c r="G55" s="20" t="s">
        <v>15</v>
      </c>
      <c r="H55" s="20" t="s">
        <v>28</v>
      </c>
      <c r="I55" s="20" t="s">
        <v>28</v>
      </c>
      <c r="J55" s="20" t="s">
        <v>22</v>
      </c>
      <c r="K55" s="20" t="s">
        <v>29</v>
      </c>
      <c r="L55" s="20" t="s">
        <v>30</v>
      </c>
      <c r="M55" s="20" t="s">
        <v>29</v>
      </c>
      <c r="N55" s="20" t="s">
        <v>30</v>
      </c>
    </row>
    <row r="56" spans="1:14" ht="12.75">
      <c r="A56" s="50"/>
      <c r="B56" s="51" t="s">
        <v>17</v>
      </c>
      <c r="C56" s="52"/>
      <c r="D56" s="52"/>
      <c r="E56" s="52"/>
      <c r="F56" s="53"/>
      <c r="G56" s="53"/>
      <c r="H56" s="54"/>
      <c r="I56" s="54"/>
      <c r="J56" s="54"/>
      <c r="K56" s="54"/>
      <c r="L56" s="54"/>
      <c r="M56" s="54"/>
      <c r="N56" s="54"/>
    </row>
    <row r="57" spans="1:14" ht="12.75">
      <c r="A57" s="72" t="s">
        <v>57</v>
      </c>
      <c r="B57" s="70" t="s">
        <v>72</v>
      </c>
      <c r="C57" s="84">
        <v>19206.22</v>
      </c>
      <c r="D57" s="84">
        <v>0</v>
      </c>
      <c r="E57" s="85">
        <f aca="true" t="shared" si="3" ref="E57:E70">C57-D57</f>
        <v>19206.22</v>
      </c>
      <c r="F57" s="30"/>
      <c r="G57" s="49">
        <f aca="true" t="shared" si="4" ref="G57:G71">D57/(D$35+D$72)</f>
        <v>0</v>
      </c>
      <c r="H57" s="29"/>
      <c r="I57" s="29"/>
      <c r="J57" s="38">
        <f aca="true" t="shared" si="5" ref="J57:J70">H57-I57</f>
        <v>0</v>
      </c>
      <c r="K57" s="40">
        <v>37257</v>
      </c>
      <c r="L57" s="40">
        <v>37591</v>
      </c>
      <c r="M57" s="40">
        <v>37257</v>
      </c>
      <c r="N57" s="46">
        <v>37561</v>
      </c>
    </row>
    <row r="58" spans="1:14" ht="12.75">
      <c r="A58" s="69" t="s">
        <v>59</v>
      </c>
      <c r="B58" s="70" t="s">
        <v>68</v>
      </c>
      <c r="C58" s="84">
        <v>106607.45</v>
      </c>
      <c r="D58" s="84">
        <v>64200</v>
      </c>
      <c r="E58" s="85">
        <f t="shared" si="3"/>
        <v>42407.45</v>
      </c>
      <c r="F58" s="30">
        <f>C58/D58</f>
        <v>1.6605521806853583</v>
      </c>
      <c r="G58" s="49">
        <f t="shared" si="4"/>
        <v>0.0007775330192782437</v>
      </c>
      <c r="H58" s="29"/>
      <c r="I58" s="29"/>
      <c r="J58" s="38">
        <f t="shared" si="5"/>
        <v>0</v>
      </c>
      <c r="K58" s="42">
        <v>37347</v>
      </c>
      <c r="L58" s="40">
        <v>37956</v>
      </c>
      <c r="M58" s="40">
        <v>37043</v>
      </c>
      <c r="N58" s="46"/>
    </row>
    <row r="59" spans="1:14" ht="12.75">
      <c r="A59" s="72" t="s">
        <v>64</v>
      </c>
      <c r="B59" s="70" t="s">
        <v>54</v>
      </c>
      <c r="C59" s="84">
        <v>267429</v>
      </c>
      <c r="D59" s="84">
        <v>0</v>
      </c>
      <c r="E59" s="85">
        <f>C59-D59</f>
        <v>267429</v>
      </c>
      <c r="F59" s="30"/>
      <c r="G59" s="49">
        <f t="shared" si="4"/>
        <v>0</v>
      </c>
      <c r="H59" s="29"/>
      <c r="I59" s="29"/>
      <c r="J59" s="38">
        <f>H59-I59</f>
        <v>0</v>
      </c>
      <c r="K59" s="40">
        <v>37622</v>
      </c>
      <c r="L59" s="40">
        <v>37956</v>
      </c>
      <c r="M59" s="40">
        <v>37622</v>
      </c>
      <c r="N59" s="46">
        <v>37895</v>
      </c>
    </row>
    <row r="60" spans="1:14" ht="12.75">
      <c r="A60" s="72" t="s">
        <v>98</v>
      </c>
      <c r="B60" s="70" t="s">
        <v>101</v>
      </c>
      <c r="C60" s="84">
        <f>25025.5+943.29</f>
        <v>25968.79</v>
      </c>
      <c r="D60" s="84">
        <v>49930</v>
      </c>
      <c r="E60" s="84">
        <f t="shared" si="3"/>
        <v>-23961.21</v>
      </c>
      <c r="F60" s="30">
        <f>C60/D60</f>
        <v>0.5201039455237333</v>
      </c>
      <c r="G60" s="87">
        <f t="shared" si="4"/>
        <v>0.0006047075335290142</v>
      </c>
      <c r="H60" s="29"/>
      <c r="I60" s="29"/>
      <c r="J60" s="38">
        <f t="shared" si="5"/>
        <v>0</v>
      </c>
      <c r="K60" s="40">
        <v>37987</v>
      </c>
      <c r="L60" s="101" t="s">
        <v>183</v>
      </c>
      <c r="M60" s="101" t="s">
        <v>137</v>
      </c>
      <c r="N60" s="102" t="s">
        <v>137</v>
      </c>
    </row>
    <row r="61" spans="1:14" ht="12.75">
      <c r="A61" s="72" t="s">
        <v>108</v>
      </c>
      <c r="B61" s="70" t="s">
        <v>194</v>
      </c>
      <c r="C61" s="84">
        <v>0</v>
      </c>
      <c r="D61" s="84">
        <v>122869.69</v>
      </c>
      <c r="E61" s="84">
        <f>C61-D61</f>
        <v>-122869.69</v>
      </c>
      <c r="F61" s="30">
        <f>C61/D61</f>
        <v>0</v>
      </c>
      <c r="G61" s="87">
        <f t="shared" si="4"/>
        <v>0.0014880878667209007</v>
      </c>
      <c r="H61" s="29"/>
      <c r="I61" s="29"/>
      <c r="J61" s="38">
        <f>H61-I61</f>
        <v>0</v>
      </c>
      <c r="K61" s="40">
        <v>38534</v>
      </c>
      <c r="L61" s="40">
        <v>39417</v>
      </c>
      <c r="M61" s="102" t="s">
        <v>137</v>
      </c>
      <c r="N61" s="102" t="s">
        <v>137</v>
      </c>
    </row>
    <row r="62" spans="1:14" ht="12.75">
      <c r="A62" s="72" t="s">
        <v>116</v>
      </c>
      <c r="B62" s="70" t="s">
        <v>117</v>
      </c>
      <c r="C62" s="84">
        <v>163785.98</v>
      </c>
      <c r="D62" s="84">
        <v>80000</v>
      </c>
      <c r="E62" s="84">
        <f t="shared" si="3"/>
        <v>83785.98000000001</v>
      </c>
      <c r="F62" s="30">
        <f>C62/D62</f>
        <v>2.04732475</v>
      </c>
      <c r="G62" s="87">
        <f t="shared" si="4"/>
        <v>0.0009688884975429828</v>
      </c>
      <c r="H62" s="29">
        <v>7529869.92</v>
      </c>
      <c r="I62" s="29">
        <v>6239562</v>
      </c>
      <c r="J62" s="38">
        <f t="shared" si="5"/>
        <v>1290307.92</v>
      </c>
      <c r="K62" s="40">
        <v>38687</v>
      </c>
      <c r="L62" s="40">
        <v>39264</v>
      </c>
      <c r="M62" s="40">
        <v>38687</v>
      </c>
      <c r="N62" s="46">
        <v>39995</v>
      </c>
    </row>
    <row r="63" spans="1:14" ht="12.75">
      <c r="A63" s="72" t="s">
        <v>119</v>
      </c>
      <c r="B63" s="70" t="s">
        <v>121</v>
      </c>
      <c r="C63" s="84">
        <v>-1929.18</v>
      </c>
      <c r="D63" s="84">
        <v>0</v>
      </c>
      <c r="E63" s="84">
        <f t="shared" si="3"/>
        <v>-1929.18</v>
      </c>
      <c r="F63" s="30"/>
      <c r="G63" s="87">
        <f t="shared" si="4"/>
        <v>0</v>
      </c>
      <c r="H63" s="29">
        <v>442102.82</v>
      </c>
      <c r="I63" s="29">
        <v>200000</v>
      </c>
      <c r="J63" s="38">
        <f t="shared" si="5"/>
        <v>242102.82</v>
      </c>
      <c r="K63" s="40">
        <v>38777</v>
      </c>
      <c r="L63" s="40">
        <v>39326</v>
      </c>
      <c r="M63" s="40">
        <v>38930</v>
      </c>
      <c r="N63" s="46">
        <v>39814</v>
      </c>
    </row>
    <row r="64" spans="1:14" ht="12.75">
      <c r="A64" s="72" t="s">
        <v>125</v>
      </c>
      <c r="B64" s="70" t="s">
        <v>128</v>
      </c>
      <c r="C64" s="84">
        <v>86106959.74</v>
      </c>
      <c r="D64" s="84">
        <v>59986790</v>
      </c>
      <c r="E64" s="84">
        <f t="shared" si="3"/>
        <v>26120169.739999995</v>
      </c>
      <c r="F64" s="30">
        <f>C64/D64</f>
        <v>1.4354320299519276</v>
      </c>
      <c r="G64" s="87">
        <f t="shared" si="4"/>
        <v>0.7265063854440803</v>
      </c>
      <c r="H64" s="29"/>
      <c r="I64" s="29"/>
      <c r="J64" s="38">
        <f t="shared" si="5"/>
        <v>0</v>
      </c>
      <c r="K64" s="40">
        <v>38838</v>
      </c>
      <c r="L64" s="40">
        <v>40513</v>
      </c>
      <c r="M64" s="40">
        <v>38838</v>
      </c>
      <c r="N64" s="46"/>
    </row>
    <row r="65" spans="1:14" ht="12.75">
      <c r="A65" s="100">
        <v>12020701</v>
      </c>
      <c r="B65" s="70" t="s">
        <v>182</v>
      </c>
      <c r="C65" s="84">
        <v>0</v>
      </c>
      <c r="D65" s="84">
        <v>815288</v>
      </c>
      <c r="E65" s="84">
        <f t="shared" si="3"/>
        <v>-815288</v>
      </c>
      <c r="F65" s="30">
        <f>C65/D65</f>
        <v>0</v>
      </c>
      <c r="G65" s="30">
        <f t="shared" si="4"/>
        <v>0.009874039567310292</v>
      </c>
      <c r="H65" s="29"/>
      <c r="I65" s="29"/>
      <c r="J65" s="38">
        <f t="shared" si="5"/>
        <v>0</v>
      </c>
      <c r="K65" s="40">
        <v>39083</v>
      </c>
      <c r="L65" s="40">
        <v>40087</v>
      </c>
      <c r="M65" s="40">
        <v>39114</v>
      </c>
      <c r="N65" s="46">
        <v>39783</v>
      </c>
    </row>
    <row r="66" spans="1:14" ht="12.75">
      <c r="A66" s="100">
        <v>12020702</v>
      </c>
      <c r="B66" s="70" t="s">
        <v>178</v>
      </c>
      <c r="C66" s="84">
        <v>-23290.19</v>
      </c>
      <c r="D66" s="84">
        <v>0</v>
      </c>
      <c r="E66" s="84">
        <f t="shared" si="3"/>
        <v>-23290.19</v>
      </c>
      <c r="F66" s="30"/>
      <c r="G66" s="30">
        <f t="shared" si="4"/>
        <v>0</v>
      </c>
      <c r="H66" s="29"/>
      <c r="I66" s="29"/>
      <c r="J66" s="38">
        <f t="shared" si="5"/>
        <v>0</v>
      </c>
      <c r="K66" s="40">
        <v>39083</v>
      </c>
      <c r="L66" s="40">
        <v>39417</v>
      </c>
      <c r="M66" s="40">
        <v>39142</v>
      </c>
      <c r="N66" s="46"/>
    </row>
    <row r="67" spans="1:14" ht="12.75">
      <c r="A67" s="69" t="s">
        <v>184</v>
      </c>
      <c r="B67" s="70" t="s">
        <v>180</v>
      </c>
      <c r="C67" s="84">
        <v>1264105.24</v>
      </c>
      <c r="D67" s="84">
        <v>2470076</v>
      </c>
      <c r="E67" s="84">
        <f t="shared" si="3"/>
        <v>-1205970.76</v>
      </c>
      <c r="F67" s="30">
        <f>C67/D67</f>
        <v>0.5117677512756692</v>
      </c>
      <c r="G67" s="30">
        <f t="shared" si="4"/>
        <v>0.02991535280571226</v>
      </c>
      <c r="H67" s="29"/>
      <c r="I67" s="29"/>
      <c r="J67" s="38">
        <f t="shared" si="5"/>
        <v>0</v>
      </c>
      <c r="K67" s="40">
        <v>39417</v>
      </c>
      <c r="L67" s="40">
        <v>39965</v>
      </c>
      <c r="M67" s="40">
        <v>39508</v>
      </c>
      <c r="N67" s="46"/>
    </row>
    <row r="68" spans="1:14" ht="12.75">
      <c r="A68" s="69" t="s">
        <v>190</v>
      </c>
      <c r="B68" s="70" t="s">
        <v>191</v>
      </c>
      <c r="C68" s="84">
        <v>2185.07</v>
      </c>
      <c r="D68" s="84">
        <v>29123</v>
      </c>
      <c r="E68" s="84">
        <f t="shared" si="3"/>
        <v>-26937.93</v>
      </c>
      <c r="F68" s="30">
        <f>C68/D68</f>
        <v>0.07502901486797377</v>
      </c>
      <c r="G68" s="30">
        <f t="shared" si="4"/>
        <v>0.0003527117464243036</v>
      </c>
      <c r="H68" s="29"/>
      <c r="I68" s="29"/>
      <c r="J68" s="38">
        <f t="shared" si="5"/>
        <v>0</v>
      </c>
      <c r="K68" s="40">
        <v>39539</v>
      </c>
      <c r="L68" s="40">
        <v>39814</v>
      </c>
      <c r="M68" s="40">
        <v>39539</v>
      </c>
      <c r="N68" s="46"/>
    </row>
    <row r="69" spans="1:14" ht="12.75">
      <c r="A69" s="69" t="s">
        <v>189</v>
      </c>
      <c r="B69" s="70" t="s">
        <v>193</v>
      </c>
      <c r="C69" s="84">
        <v>25590.42</v>
      </c>
      <c r="D69" s="84">
        <v>2637494</v>
      </c>
      <c r="E69" s="84">
        <f t="shared" si="3"/>
        <v>-2611903.58</v>
      </c>
      <c r="F69" s="30">
        <f>C69/D69</f>
        <v>0.0097025509821065</v>
      </c>
      <c r="G69" s="30">
        <f t="shared" si="4"/>
        <v>0.0319429699867329</v>
      </c>
      <c r="H69" s="29"/>
      <c r="I69" s="29"/>
      <c r="J69" s="38">
        <f t="shared" si="5"/>
        <v>0</v>
      </c>
      <c r="K69" s="40">
        <v>39569</v>
      </c>
      <c r="L69" s="40">
        <v>39934</v>
      </c>
      <c r="M69" s="40">
        <v>39569</v>
      </c>
      <c r="N69" s="46"/>
    </row>
    <row r="70" spans="1:14" ht="12.75">
      <c r="A70" s="69" t="s">
        <v>196</v>
      </c>
      <c r="B70" s="70" t="s">
        <v>195</v>
      </c>
      <c r="C70" s="84">
        <v>211055.62</v>
      </c>
      <c r="D70" s="84">
        <v>356822</v>
      </c>
      <c r="E70" s="84">
        <f t="shared" si="3"/>
        <v>-145766.38</v>
      </c>
      <c r="F70" s="30">
        <f>C70/D70</f>
        <v>0.5914871280358274</v>
      </c>
      <c r="G70" s="30">
        <f t="shared" si="4"/>
        <v>0.004321509143378527</v>
      </c>
      <c r="H70" s="29"/>
      <c r="I70" s="29"/>
      <c r="J70" s="38">
        <f t="shared" si="5"/>
        <v>0</v>
      </c>
      <c r="K70" s="40">
        <v>39814</v>
      </c>
      <c r="L70" s="40">
        <v>40178</v>
      </c>
      <c r="M70" s="40">
        <v>39814</v>
      </c>
      <c r="N70" s="46"/>
    </row>
    <row r="71" spans="1:14" ht="12.75">
      <c r="A71" s="71"/>
      <c r="B71" s="67"/>
      <c r="C71" s="84">
        <v>0</v>
      </c>
      <c r="D71" s="84">
        <v>0</v>
      </c>
      <c r="E71" s="84">
        <f>C71-D71</f>
        <v>0</v>
      </c>
      <c r="F71" s="30"/>
      <c r="G71" s="62">
        <f t="shared" si="4"/>
        <v>0</v>
      </c>
      <c r="H71" s="31"/>
      <c r="I71" s="31"/>
      <c r="J71" s="39"/>
      <c r="K71" s="43"/>
      <c r="L71" s="43"/>
      <c r="M71" s="43"/>
      <c r="N71" s="44"/>
    </row>
    <row r="72" spans="3:14" ht="12">
      <c r="C72" s="68">
        <f>SUM(C56:C71)</f>
        <v>88167674.16</v>
      </c>
      <c r="D72" s="34">
        <f>SUM(D56:D71)</f>
        <v>66612592.69</v>
      </c>
      <c r="E72" s="34">
        <f>SUM(E56:E71)</f>
        <v>21555081.469999995</v>
      </c>
      <c r="F72" s="36">
        <f>C72/D72</f>
        <v>1.323588687957433</v>
      </c>
      <c r="G72" s="35"/>
      <c r="H72" s="28"/>
      <c r="I72" s="28"/>
      <c r="J72" s="28"/>
      <c r="K72" s="28"/>
      <c r="L72" s="28"/>
      <c r="M72" s="28"/>
      <c r="N72" s="28"/>
    </row>
    <row r="74" ht="12">
      <c r="C74" s="122"/>
    </row>
    <row r="75" ht="12">
      <c r="C75" s="126"/>
    </row>
    <row r="77" ht="12">
      <c r="C77" s="124"/>
    </row>
    <row r="79" ht="12">
      <c r="C79" s="124"/>
    </row>
  </sheetData>
  <sheetProtection/>
  <mergeCells count="6">
    <mergeCell ref="A43:N43"/>
    <mergeCell ref="A44:N44"/>
    <mergeCell ref="A1:N1"/>
    <mergeCell ref="A2:N2"/>
    <mergeCell ref="A3:N3"/>
    <mergeCell ref="A42:N42"/>
  </mergeCells>
  <printOptions horizontalCentered="1"/>
  <pageMargins left="0.25" right="0.25" top="1" bottom="0.5" header="0" footer="0"/>
  <pageSetup horizontalDpi="600" verticalDpi="600" orientation="landscape" scale="70" r:id="rId1"/>
  <rowBreaks count="1" manualBreakCount="1">
    <brk id="41" max="255" man="1"/>
  </rowBreaks>
  <colBreaks count="1" manualBreakCount="1">
    <brk id="14" max="65535" man="1"/>
  </colBreaks>
  <customProperties>
    <customPr name="_pios_id" r:id="rId2"/>
  </customProperties>
</worksheet>
</file>

<file path=xl/worksheets/sheet8.xml><?xml version="1.0" encoding="utf-8"?>
<worksheet xmlns="http://schemas.openxmlformats.org/spreadsheetml/2006/main" xmlns:r="http://schemas.openxmlformats.org/officeDocument/2006/relationships">
  <dimension ref="A1:Z89"/>
  <sheetViews>
    <sheetView tabSelected="1" view="pageBreakPreview" zoomScale="60" zoomScalePageLayoutView="0" workbookViewId="0" topLeftCell="A4">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4" width="12.66015625" style="1" customWidth="1"/>
    <col min="5" max="5" width="13.832031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11.16015625" style="1" customWidth="1"/>
    <col min="17" max="17" width="57.5" style="1" customWidth="1"/>
    <col min="18" max="18" width="73" style="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2008</v>
      </c>
      <c r="W4" s="2"/>
    </row>
    <row r="5" spans="1:12" ht="12">
      <c r="A5" s="2" t="s">
        <v>2</v>
      </c>
      <c r="L5" s="2" t="s">
        <v>73</v>
      </c>
    </row>
    <row r="6" spans="1:16" ht="15.75">
      <c r="A6" s="2" t="s">
        <v>3</v>
      </c>
      <c r="L6" s="2"/>
      <c r="P6" s="5" t="s">
        <v>55</v>
      </c>
    </row>
    <row r="7" spans="12:21" ht="19.5">
      <c r="L7" s="2" t="s">
        <v>4</v>
      </c>
      <c r="P7" s="6"/>
      <c r="U7" s="5" t="s">
        <v>192</v>
      </c>
    </row>
    <row r="8" spans="12:13" ht="12">
      <c r="L8" s="4" t="s">
        <v>312</v>
      </c>
      <c r="M8" s="4"/>
    </row>
    <row r="9" spans="17:24" ht="12.75">
      <c r="Q9" s="7"/>
      <c r="R9" s="7"/>
      <c r="S9" s="7"/>
      <c r="T9" s="8" t="s">
        <v>5</v>
      </c>
      <c r="U9" s="7"/>
      <c r="V9" s="7"/>
      <c r="W9" s="7"/>
      <c r="X9" s="7"/>
    </row>
    <row r="10" spans="17:24" ht="12.75">
      <c r="Q10" s="7"/>
      <c r="R10" s="7"/>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7"/>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6" t="s">
        <v>18</v>
      </c>
      <c r="S12" s="17" t="s">
        <v>19</v>
      </c>
      <c r="T12" s="17" t="s">
        <v>19</v>
      </c>
      <c r="U12" s="16" t="s">
        <v>20</v>
      </c>
      <c r="V12" s="16" t="s">
        <v>21</v>
      </c>
      <c r="W12" s="16" t="s">
        <v>20</v>
      </c>
      <c r="X12" s="16"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72" t="s">
        <v>99</v>
      </c>
      <c r="Q13" s="70" t="s">
        <v>100</v>
      </c>
      <c r="R13" s="18" t="s">
        <v>199</v>
      </c>
      <c r="S13" s="29">
        <v>2285900.34</v>
      </c>
      <c r="T13" s="98">
        <v>2150001</v>
      </c>
      <c r="U13" s="40">
        <v>38261</v>
      </c>
      <c r="V13" s="40">
        <v>39417</v>
      </c>
      <c r="W13" s="40">
        <v>38261</v>
      </c>
      <c r="X13" s="46">
        <v>39692</v>
      </c>
      <c r="Y13" s="78"/>
      <c r="Z13" s="78"/>
    </row>
    <row r="14" spans="1:24" ht="25.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2" t="s">
        <v>104</v>
      </c>
      <c r="Q14" s="70" t="s">
        <v>105</v>
      </c>
      <c r="R14" s="97" t="s">
        <v>203</v>
      </c>
      <c r="S14" s="29">
        <v>1236263.92</v>
      </c>
      <c r="T14" s="29">
        <v>994000</v>
      </c>
      <c r="U14" s="40">
        <v>38443</v>
      </c>
      <c r="V14" s="40">
        <v>39052</v>
      </c>
      <c r="W14" s="40">
        <v>38443</v>
      </c>
      <c r="X14" s="46">
        <v>39753</v>
      </c>
    </row>
    <row r="15" spans="1:24" ht="25.5">
      <c r="A15" s="9" t="s">
        <v>148</v>
      </c>
      <c r="B15" s="14" t="s">
        <v>79</v>
      </c>
      <c r="C15" s="82">
        <f>2525.31+4041206.71+80469.17+64664.34</f>
        <v>4188865.53</v>
      </c>
      <c r="D15" s="82">
        <v>4000000</v>
      </c>
      <c r="E15" s="84">
        <f aca="true" t="shared" si="0" ref="E15:E34">C15-D15</f>
        <v>188865.5299999998</v>
      </c>
      <c r="F15" s="26">
        <f aca="true" t="shared" si="1" ref="F15:F35">C15/D15</f>
        <v>1.0472163825</v>
      </c>
      <c r="G15" s="27">
        <f aca="true" t="shared" si="2" ref="G15:G34">D15/(D$35+D$82)</f>
        <v>0.07235945121796242</v>
      </c>
      <c r="H15" s="28"/>
      <c r="I15" s="28"/>
      <c r="J15" s="28"/>
      <c r="K15" s="28"/>
      <c r="L15" s="28"/>
      <c r="M15" s="28"/>
      <c r="N15" s="28"/>
      <c r="P15" s="72" t="s">
        <v>114</v>
      </c>
      <c r="Q15" s="70" t="s">
        <v>115</v>
      </c>
      <c r="R15" s="97" t="s">
        <v>203</v>
      </c>
      <c r="S15" s="29">
        <v>2199181.21</v>
      </c>
      <c r="T15" s="29">
        <v>1910000</v>
      </c>
      <c r="U15" s="40">
        <v>38443</v>
      </c>
      <c r="V15" s="40">
        <v>39783</v>
      </c>
      <c r="W15" s="40">
        <v>38443</v>
      </c>
      <c r="X15" s="46">
        <v>39722</v>
      </c>
    </row>
    <row r="16" spans="1:24" ht="12.75">
      <c r="A16" s="9" t="s">
        <v>38</v>
      </c>
      <c r="B16" s="14" t="s">
        <v>163</v>
      </c>
      <c r="C16" s="82">
        <f>-5696-81.73-13323.56+1926.47+67116.03</f>
        <v>49941.21</v>
      </c>
      <c r="D16" s="82">
        <v>535000</v>
      </c>
      <c r="E16" s="84">
        <f t="shared" si="0"/>
        <v>-485058.79</v>
      </c>
      <c r="F16" s="26">
        <f t="shared" si="1"/>
        <v>0.09334805607476636</v>
      </c>
      <c r="G16" s="30">
        <f t="shared" si="2"/>
        <v>0.009678076600402473</v>
      </c>
      <c r="H16" s="28"/>
      <c r="I16" s="28"/>
      <c r="J16" s="28"/>
      <c r="K16" s="28"/>
      <c r="L16" s="28"/>
      <c r="M16" s="28"/>
      <c r="N16" s="28"/>
      <c r="P16" s="130">
        <v>12020701</v>
      </c>
      <c r="Q16" s="107" t="s">
        <v>182</v>
      </c>
      <c r="R16" s="108" t="s">
        <v>200</v>
      </c>
      <c r="S16" s="127">
        <v>194940.26</v>
      </c>
      <c r="T16" s="74">
        <v>1150000</v>
      </c>
      <c r="U16" s="128">
        <v>39083</v>
      </c>
      <c r="V16" s="128">
        <v>40087</v>
      </c>
      <c r="W16" s="128">
        <v>39114</v>
      </c>
      <c r="X16" s="129">
        <v>39783</v>
      </c>
    </row>
    <row r="17" spans="1:24" ht="12.75">
      <c r="A17" s="9" t="s">
        <v>39</v>
      </c>
      <c r="B17" s="14" t="s">
        <v>164</v>
      </c>
      <c r="C17" s="82">
        <f>-46119.57-68070.46+1106491.2</f>
        <v>992301.1699999999</v>
      </c>
      <c r="D17" s="82">
        <v>1886000</v>
      </c>
      <c r="E17" s="84">
        <f t="shared" si="0"/>
        <v>-893698.8300000001</v>
      </c>
      <c r="F17" s="26">
        <f t="shared" si="1"/>
        <v>0.5261405991516437</v>
      </c>
      <c r="G17" s="30">
        <f t="shared" si="2"/>
        <v>0.034117481249269284</v>
      </c>
      <c r="H17" s="28"/>
      <c r="I17" s="28"/>
      <c r="J17" s="28"/>
      <c r="K17" s="28"/>
      <c r="L17" s="28"/>
      <c r="M17" s="28"/>
      <c r="N17" s="28"/>
      <c r="P17" s="59"/>
      <c r="Q17" s="17" t="s">
        <v>32</v>
      </c>
      <c r="R17" s="55"/>
      <c r="S17" s="55">
        <f>SUM(S13:S16)</f>
        <v>5916285.7299999995</v>
      </c>
      <c r="T17" s="55">
        <f>SUM(T13:T16)</f>
        <v>6204001</v>
      </c>
      <c r="U17" s="60"/>
      <c r="V17" s="60"/>
      <c r="W17" s="60"/>
      <c r="X17" s="60"/>
    </row>
    <row r="18" spans="1:24" ht="12.75">
      <c r="A18" s="9" t="s">
        <v>40</v>
      </c>
      <c r="B18" s="14" t="s">
        <v>165</v>
      </c>
      <c r="C18" s="82">
        <f>222891.41+48295.65</f>
        <v>271187.06</v>
      </c>
      <c r="D18" s="82">
        <v>221937</v>
      </c>
      <c r="E18" s="84">
        <f t="shared" si="0"/>
        <v>49250.06</v>
      </c>
      <c r="F18" s="26">
        <f t="shared" si="1"/>
        <v>1.2219100916025718</v>
      </c>
      <c r="G18" s="30">
        <f t="shared" si="2"/>
        <v>0.004014809881240231</v>
      </c>
      <c r="H18" s="28"/>
      <c r="I18" s="28"/>
      <c r="J18" s="28"/>
      <c r="K18" s="28"/>
      <c r="L18" s="28"/>
      <c r="M18" s="28"/>
      <c r="N18" s="28"/>
      <c r="P18" s="59"/>
      <c r="Q18" s="59"/>
      <c r="R18" s="80"/>
      <c r="S18" s="80"/>
      <c r="T18" s="80"/>
      <c r="U18" s="60"/>
      <c r="V18" s="60"/>
      <c r="W18" s="60"/>
      <c r="X18" s="60"/>
    </row>
    <row r="19" spans="1:24" ht="12.75">
      <c r="A19" s="9" t="s">
        <v>149</v>
      </c>
      <c r="B19" s="14" t="s">
        <v>166</v>
      </c>
      <c r="C19" s="82">
        <v>145362.95</v>
      </c>
      <c r="D19" s="82">
        <v>0</v>
      </c>
      <c r="E19" s="84">
        <f t="shared" si="0"/>
        <v>145362.95</v>
      </c>
      <c r="F19" s="26"/>
      <c r="G19" s="30">
        <f t="shared" si="2"/>
        <v>0</v>
      </c>
      <c r="H19" s="28"/>
      <c r="I19" s="28"/>
      <c r="J19" s="28"/>
      <c r="K19" s="28"/>
      <c r="L19" s="28"/>
      <c r="M19" s="28"/>
      <c r="N19" s="28"/>
      <c r="P19" s="59"/>
      <c r="Q19" s="59"/>
      <c r="R19" s="80"/>
      <c r="S19" s="80"/>
      <c r="T19" s="80"/>
      <c r="U19" s="60"/>
      <c r="V19" s="60"/>
      <c r="W19" s="60"/>
      <c r="X19" s="60"/>
    </row>
    <row r="20" spans="1:24" ht="12.75">
      <c r="A20" s="9" t="s">
        <v>41</v>
      </c>
      <c r="B20" s="14" t="s">
        <v>167</v>
      </c>
      <c r="C20" s="82">
        <f>111.7-2622.58+92513.9+20737.38</f>
        <v>110740.4</v>
      </c>
      <c r="D20" s="82">
        <v>427992</v>
      </c>
      <c r="E20" s="84">
        <f t="shared" si="0"/>
        <v>-317251.6</v>
      </c>
      <c r="F20" s="26">
        <f t="shared" si="1"/>
        <v>0.2587440886745547</v>
      </c>
      <c r="G20" s="30">
        <f t="shared" si="2"/>
        <v>0.007742316561419544</v>
      </c>
      <c r="H20" s="28"/>
      <c r="I20" s="28"/>
      <c r="J20" s="28"/>
      <c r="K20" s="28"/>
      <c r="L20" s="28"/>
      <c r="M20" s="28"/>
      <c r="N20" s="28"/>
      <c r="P20" s="59"/>
      <c r="Q20" s="59"/>
      <c r="R20" s="80"/>
      <c r="S20" s="80"/>
      <c r="T20" s="80"/>
      <c r="U20" s="60"/>
      <c r="V20" s="60"/>
      <c r="W20" s="60"/>
      <c r="X20" s="60"/>
    </row>
    <row r="21" spans="1:24" ht="12.75">
      <c r="A21" s="9" t="s">
        <v>42</v>
      </c>
      <c r="B21" s="14" t="s">
        <v>168</v>
      </c>
      <c r="C21" s="82">
        <f>-4083.75+118008.48+15434.84</f>
        <v>129359.56999999999</v>
      </c>
      <c r="D21" s="82">
        <v>125000</v>
      </c>
      <c r="E21" s="84">
        <f t="shared" si="0"/>
        <v>4359.569999999992</v>
      </c>
      <c r="F21" s="26">
        <f t="shared" si="1"/>
        <v>1.0348765599999998</v>
      </c>
      <c r="G21" s="30">
        <f t="shared" si="2"/>
        <v>0.0022612328505613255</v>
      </c>
      <c r="H21" s="28"/>
      <c r="I21" s="28"/>
      <c r="J21" s="28"/>
      <c r="K21" s="28"/>
      <c r="L21" s="28"/>
      <c r="M21" s="28"/>
      <c r="N21" s="28"/>
      <c r="P21" s="59"/>
      <c r="Q21" s="59"/>
      <c r="R21" s="80"/>
      <c r="S21" s="80"/>
      <c r="T21" s="80"/>
      <c r="U21" s="60"/>
      <c r="V21" s="60"/>
      <c r="W21" s="60"/>
      <c r="X21" s="60"/>
    </row>
    <row r="22" spans="1:24" ht="12.75">
      <c r="A22" s="9" t="s">
        <v>43</v>
      </c>
      <c r="B22" s="14" t="s">
        <v>169</v>
      </c>
      <c r="C22" s="82">
        <f>2595.98+42161.61+1071525.77+17531.64+24004.34</f>
        <v>1157819.34</v>
      </c>
      <c r="D22" s="82">
        <v>855915</v>
      </c>
      <c r="E22" s="84">
        <f t="shared" si="0"/>
        <v>301904.3400000001</v>
      </c>
      <c r="F22" s="26">
        <f t="shared" si="1"/>
        <v>1.3527270114438934</v>
      </c>
      <c r="G22" s="30">
        <f t="shared" si="2"/>
        <v>0.015483384922305577</v>
      </c>
      <c r="H22" s="28"/>
      <c r="I22" s="28"/>
      <c r="J22" s="28"/>
      <c r="K22" s="28"/>
      <c r="L22" s="28"/>
      <c r="M22" s="28"/>
      <c r="N22" s="28"/>
      <c r="P22" s="59"/>
      <c r="Q22" s="59"/>
      <c r="R22" s="80"/>
      <c r="S22" s="80"/>
      <c r="T22" s="80"/>
      <c r="U22" s="60"/>
      <c r="V22" s="60"/>
      <c r="W22" s="60"/>
      <c r="X22" s="60"/>
    </row>
    <row r="23" spans="1:24" ht="12.75">
      <c r="A23" s="9" t="s">
        <v>44</v>
      </c>
      <c r="B23" s="14" t="s">
        <v>170</v>
      </c>
      <c r="C23" s="82">
        <f>185.6+1081249.05+55716.71</f>
        <v>1137151.36</v>
      </c>
      <c r="D23" s="82">
        <v>641603</v>
      </c>
      <c r="E23" s="84">
        <f t="shared" si="0"/>
        <v>495548.3600000001</v>
      </c>
      <c r="F23" s="26">
        <f t="shared" si="1"/>
        <v>1.7723597925820174</v>
      </c>
      <c r="G23" s="30">
        <f t="shared" si="2"/>
        <v>0.011606510244949585</v>
      </c>
      <c r="H23" s="28"/>
      <c r="I23" s="28"/>
      <c r="J23" s="28"/>
      <c r="K23" s="28"/>
      <c r="L23" s="28"/>
      <c r="M23" s="28"/>
      <c r="N23" s="28"/>
      <c r="P23" s="59"/>
      <c r="Q23" s="59"/>
      <c r="R23" s="80"/>
      <c r="S23" s="80"/>
      <c r="T23" s="80"/>
      <c r="U23" s="60"/>
      <c r="V23" s="60"/>
      <c r="W23" s="60"/>
      <c r="X23" s="60"/>
    </row>
    <row r="24" spans="1:24" ht="12.75">
      <c r="A24" s="9" t="s">
        <v>151</v>
      </c>
      <c r="B24" s="14" t="s">
        <v>87</v>
      </c>
      <c r="C24" s="82">
        <f>-890444.14+1541576.44-6910.25+12760.94</f>
        <v>656982.9899999999</v>
      </c>
      <c r="D24" s="82">
        <v>1149930</v>
      </c>
      <c r="E24" s="84">
        <f t="shared" si="0"/>
        <v>-492947.0100000001</v>
      </c>
      <c r="F24" s="26">
        <f t="shared" si="1"/>
        <v>0.5713243327854738</v>
      </c>
      <c r="G24" s="30">
        <f t="shared" si="2"/>
        <v>0.02080207593476788</v>
      </c>
      <c r="H24" s="28"/>
      <c r="I24" s="28"/>
      <c r="J24" s="28"/>
      <c r="K24" s="28"/>
      <c r="L24" s="28"/>
      <c r="M24" s="28"/>
      <c r="N24" s="28"/>
      <c r="P24" s="59"/>
      <c r="Q24" s="59"/>
      <c r="R24" s="80"/>
      <c r="S24" s="80"/>
      <c r="T24" s="80"/>
      <c r="U24" s="60"/>
      <c r="V24" s="60"/>
      <c r="W24" s="60"/>
      <c r="X24" s="60"/>
    </row>
    <row r="25" spans="1:24" ht="12.75">
      <c r="A25" s="9" t="s">
        <v>150</v>
      </c>
      <c r="B25" s="14" t="s">
        <v>171</v>
      </c>
      <c r="C25" s="82">
        <f>-1407206.17+13093.81+2997280.47-1040.48+54385.12</f>
        <v>1656512.7500000005</v>
      </c>
      <c r="D25" s="82">
        <v>1473399</v>
      </c>
      <c r="E25" s="84">
        <f t="shared" si="0"/>
        <v>183113.75000000047</v>
      </c>
      <c r="F25" s="26">
        <f t="shared" si="1"/>
        <v>1.1242798115106638</v>
      </c>
      <c r="G25" s="30">
        <f t="shared" si="2"/>
        <v>0.026653585766273653</v>
      </c>
      <c r="H25" s="28"/>
      <c r="I25" s="28"/>
      <c r="J25" s="28"/>
      <c r="K25" s="28"/>
      <c r="L25" s="28"/>
      <c r="M25" s="28"/>
      <c r="N25" s="28"/>
      <c r="P25" s="59"/>
      <c r="Q25" s="59"/>
      <c r="R25" s="80"/>
      <c r="S25" s="80"/>
      <c r="T25" s="80"/>
      <c r="U25" s="60"/>
      <c r="V25" s="60"/>
      <c r="W25" s="60"/>
      <c r="X25" s="60"/>
    </row>
    <row r="26" spans="1:24" ht="12.75">
      <c r="A26" s="9" t="s">
        <v>152</v>
      </c>
      <c r="B26" s="14" t="s">
        <v>172</v>
      </c>
      <c r="C26" s="82">
        <f>-11849.15+271196.87+610.36</f>
        <v>259958.08</v>
      </c>
      <c r="D26" s="82">
        <v>259750</v>
      </c>
      <c r="E26" s="84">
        <f t="shared" si="0"/>
        <v>208.0799999999872</v>
      </c>
      <c r="F26" s="26">
        <f t="shared" si="1"/>
        <v>1.0008010779595764</v>
      </c>
      <c r="G26" s="30">
        <f t="shared" si="2"/>
        <v>0.004698841863466435</v>
      </c>
      <c r="H26" s="28"/>
      <c r="I26" s="28"/>
      <c r="J26" s="28"/>
      <c r="K26" s="28"/>
      <c r="L26" s="28"/>
      <c r="M26" s="28"/>
      <c r="N26" s="28"/>
      <c r="P26" s="59"/>
      <c r="Q26" s="59"/>
      <c r="R26" s="80"/>
      <c r="S26" s="80"/>
      <c r="T26" s="80"/>
      <c r="U26" s="60"/>
      <c r="V26" s="60"/>
      <c r="W26" s="60"/>
      <c r="X26" s="60"/>
    </row>
    <row r="27" spans="1:24" ht="12.75">
      <c r="A27" s="9" t="s">
        <v>153</v>
      </c>
      <c r="B27" s="14" t="s">
        <v>173</v>
      </c>
      <c r="C27" s="82">
        <v>45277.97</v>
      </c>
      <c r="D27" s="82">
        <v>51000</v>
      </c>
      <c r="E27" s="84">
        <f t="shared" si="0"/>
        <v>-5722.029999999999</v>
      </c>
      <c r="F27" s="26">
        <f t="shared" si="1"/>
        <v>0.8878033333333334</v>
      </c>
      <c r="G27" s="30">
        <f t="shared" si="2"/>
        <v>0.0009225830030290209</v>
      </c>
      <c r="H27" s="28"/>
      <c r="I27" s="28"/>
      <c r="J27" s="28"/>
      <c r="K27" s="28"/>
      <c r="L27" s="28"/>
      <c r="M27" s="28"/>
      <c r="N27" s="28"/>
      <c r="P27" s="59"/>
      <c r="Q27" s="59"/>
      <c r="R27" s="80"/>
      <c r="S27" s="80"/>
      <c r="T27" s="80"/>
      <c r="U27" s="60"/>
      <c r="V27" s="60"/>
      <c r="W27" s="60"/>
      <c r="X27" s="60"/>
    </row>
    <row r="28" spans="1:24" ht="12.75">
      <c r="A28" s="9" t="s">
        <v>154</v>
      </c>
      <c r="B28" s="81" t="s">
        <v>174</v>
      </c>
      <c r="C28" s="82">
        <v>36285.69</v>
      </c>
      <c r="D28" s="82">
        <v>10000</v>
      </c>
      <c r="E28" s="84">
        <f t="shared" si="0"/>
        <v>26285.690000000002</v>
      </c>
      <c r="F28" s="26">
        <f t="shared" si="1"/>
        <v>3.628569</v>
      </c>
      <c r="G28" s="30">
        <f t="shared" si="2"/>
        <v>0.00018089862804490607</v>
      </c>
      <c r="H28" s="28"/>
      <c r="I28" s="28"/>
      <c r="J28" s="28"/>
      <c r="K28" s="28"/>
      <c r="L28" s="28"/>
      <c r="M28" s="28"/>
      <c r="N28" s="28"/>
      <c r="P28" s="59"/>
      <c r="U28" s="60"/>
      <c r="V28" s="60"/>
      <c r="W28" s="60"/>
      <c r="X28" s="60"/>
    </row>
    <row r="29" spans="1:24" ht="12.75">
      <c r="A29" s="9" t="s">
        <v>155</v>
      </c>
      <c r="B29" s="81" t="s">
        <v>89</v>
      </c>
      <c r="C29" s="82">
        <v>1800000</v>
      </c>
      <c r="D29" s="82">
        <v>146300</v>
      </c>
      <c r="E29" s="84">
        <f t="shared" si="0"/>
        <v>1653700</v>
      </c>
      <c r="F29" s="26">
        <f t="shared" si="1"/>
        <v>12.303485987696513</v>
      </c>
      <c r="G29" s="30">
        <f t="shared" si="2"/>
        <v>0.002646546928296976</v>
      </c>
      <c r="H29" s="28"/>
      <c r="I29" s="28"/>
      <c r="J29" s="28"/>
      <c r="K29" s="28"/>
      <c r="L29" s="28"/>
      <c r="M29" s="28"/>
      <c r="N29" s="28"/>
      <c r="P29" s="59"/>
      <c r="U29" s="60"/>
      <c r="V29" s="60"/>
      <c r="W29" s="60"/>
      <c r="X29" s="60"/>
    </row>
    <row r="30" spans="1:24" ht="12.75">
      <c r="A30" s="9" t="s">
        <v>156</v>
      </c>
      <c r="B30" s="81" t="s">
        <v>90</v>
      </c>
      <c r="C30" s="82">
        <f>353938.27+102031.41</f>
        <v>455969.68000000005</v>
      </c>
      <c r="D30" s="82">
        <v>500000</v>
      </c>
      <c r="E30" s="84">
        <f t="shared" si="0"/>
        <v>-44030.31999999995</v>
      </c>
      <c r="F30" s="26">
        <f t="shared" si="1"/>
        <v>0.9119393600000001</v>
      </c>
      <c r="G30" s="30">
        <f t="shared" si="2"/>
        <v>0.009044931402245302</v>
      </c>
      <c r="H30" s="28"/>
      <c r="I30" s="28"/>
      <c r="J30" s="28"/>
      <c r="K30" s="28"/>
      <c r="L30" s="28"/>
      <c r="M30" s="28"/>
      <c r="N30" s="28"/>
      <c r="P30" s="59"/>
      <c r="U30" s="60"/>
      <c r="V30" s="60"/>
      <c r="W30" s="60"/>
      <c r="X30" s="60"/>
    </row>
    <row r="31" spans="1:24" ht="12.75">
      <c r="A31" s="9" t="s">
        <v>157</v>
      </c>
      <c r="B31" s="81" t="s">
        <v>91</v>
      </c>
      <c r="C31" s="82">
        <f>207764.65+16362.94</f>
        <v>224127.59</v>
      </c>
      <c r="D31" s="82">
        <v>218014</v>
      </c>
      <c r="E31" s="84">
        <f t="shared" si="0"/>
        <v>6113.5899999999965</v>
      </c>
      <c r="F31" s="26">
        <f t="shared" si="1"/>
        <v>1.028042189951104</v>
      </c>
      <c r="G31" s="30">
        <f t="shared" si="2"/>
        <v>0.003943843349458215</v>
      </c>
      <c r="H31" s="28"/>
      <c r="I31" s="28"/>
      <c r="J31" s="28"/>
      <c r="K31" s="28"/>
      <c r="L31" s="28"/>
      <c r="M31" s="28"/>
      <c r="N31" s="28"/>
      <c r="P31" s="59"/>
      <c r="U31" s="60"/>
      <c r="V31" s="60"/>
      <c r="W31" s="60"/>
      <c r="X31" s="60"/>
    </row>
    <row r="32" spans="1:24" ht="12.75" customHeight="1">
      <c r="A32" s="9" t="s">
        <v>158</v>
      </c>
      <c r="B32" s="81" t="s">
        <v>175</v>
      </c>
      <c r="C32" s="82">
        <f>811875.56+1623.67+44716.72</f>
        <v>858215.9500000001</v>
      </c>
      <c r="D32" s="82">
        <v>820600</v>
      </c>
      <c r="E32" s="84">
        <f t="shared" si="0"/>
        <v>37615.95000000007</v>
      </c>
      <c r="F32" s="26">
        <f t="shared" si="1"/>
        <v>1.0458395686083355</v>
      </c>
      <c r="G32" s="30">
        <f t="shared" si="2"/>
        <v>0.01484454141736499</v>
      </c>
      <c r="H32" s="28"/>
      <c r="I32" s="28"/>
      <c r="J32" s="28"/>
      <c r="K32" s="28"/>
      <c r="L32" s="28"/>
      <c r="M32" s="28"/>
      <c r="N32" s="28"/>
      <c r="P32" s="7"/>
      <c r="U32" s="7"/>
      <c r="V32" s="7"/>
      <c r="W32" s="7"/>
      <c r="X32" s="7"/>
    </row>
    <row r="33" spans="1:14" ht="12.75">
      <c r="A33" s="9" t="s">
        <v>159</v>
      </c>
      <c r="B33" s="14" t="s">
        <v>176</v>
      </c>
      <c r="C33" s="82">
        <f>769.91+96482.37</f>
        <v>97252.28</v>
      </c>
      <c r="D33" s="82">
        <v>0</v>
      </c>
      <c r="E33" s="84">
        <f t="shared" si="0"/>
        <v>97252.28</v>
      </c>
      <c r="F33" s="26"/>
      <c r="G33" s="30">
        <f t="shared" si="2"/>
        <v>0</v>
      </c>
      <c r="H33" s="28"/>
      <c r="I33" s="28"/>
      <c r="J33" s="28"/>
      <c r="K33" s="28"/>
      <c r="L33" s="28"/>
      <c r="M33" s="28"/>
      <c r="N33" s="28"/>
    </row>
    <row r="34" spans="1:14" ht="12.75">
      <c r="A34" s="17" t="s">
        <v>160</v>
      </c>
      <c r="B34" s="23" t="s">
        <v>177</v>
      </c>
      <c r="C34" s="82">
        <f>-20536.19+90614.77+35276.85</f>
        <v>105355.43</v>
      </c>
      <c r="D34" s="83">
        <v>81000</v>
      </c>
      <c r="E34" s="84">
        <f t="shared" si="0"/>
        <v>24355.429999999993</v>
      </c>
      <c r="F34" s="62">
        <f t="shared" si="1"/>
        <v>1.3006843209876542</v>
      </c>
      <c r="G34" s="62">
        <f t="shared" si="2"/>
        <v>0.0014652788871637392</v>
      </c>
      <c r="H34" s="28"/>
      <c r="I34" s="28"/>
      <c r="J34" s="28"/>
      <c r="K34" s="28"/>
      <c r="L34" s="28"/>
      <c r="M34" s="28"/>
      <c r="N34" s="28"/>
    </row>
    <row r="35" spans="1:14" ht="12.75">
      <c r="A35" s="24"/>
      <c r="B35" s="25" t="s">
        <v>31</v>
      </c>
      <c r="C35" s="34">
        <f>SUM(C15:C34)</f>
        <v>14378666.999999998</v>
      </c>
      <c r="D35" s="34">
        <f>SUM(D15:D34)</f>
        <v>13403440</v>
      </c>
      <c r="E35" s="34">
        <f>SUM(E15:E34)</f>
        <v>975227.0000000005</v>
      </c>
      <c r="F35" s="32">
        <f t="shared" si="1"/>
        <v>1.0727594557815008</v>
      </c>
      <c r="G35" s="35"/>
      <c r="H35" s="28"/>
      <c r="I35" s="28"/>
      <c r="J35" s="28"/>
      <c r="K35" s="28"/>
      <c r="L35" s="28"/>
      <c r="M35" s="28"/>
      <c r="N35" s="28"/>
    </row>
    <row r="36" spans="1:14" ht="12.75">
      <c r="A36" s="24"/>
      <c r="B36" s="25" t="s">
        <v>161</v>
      </c>
      <c r="C36" s="34">
        <f>C15</f>
        <v>4188865.53</v>
      </c>
      <c r="D36" s="34">
        <f>D15</f>
        <v>4000000</v>
      </c>
      <c r="E36" s="34">
        <f>E15</f>
        <v>188865.5299999998</v>
      </c>
      <c r="F36" s="35"/>
      <c r="G36" s="35"/>
      <c r="H36" s="28"/>
      <c r="I36" s="28"/>
      <c r="J36" s="28"/>
      <c r="K36" s="28"/>
      <c r="L36" s="28"/>
      <c r="M36" s="28"/>
      <c r="N36" s="28"/>
    </row>
    <row r="37" spans="1:14" ht="12.75">
      <c r="A37" s="24"/>
      <c r="B37" s="25" t="s">
        <v>162</v>
      </c>
      <c r="C37" s="34">
        <f>C35-C36</f>
        <v>10189801.469999999</v>
      </c>
      <c r="D37" s="34">
        <f>D35-D36</f>
        <v>9403440</v>
      </c>
      <c r="E37" s="34">
        <f>E35-E36</f>
        <v>786361.4700000007</v>
      </c>
      <c r="F37" s="36">
        <f>C37/D37</f>
        <v>1.0836248723871262</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2008</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8"/>
      <c r="B52" s="12"/>
      <c r="C52" s="12"/>
      <c r="D52" s="12"/>
      <c r="E52" s="12"/>
      <c r="F52" s="12"/>
      <c r="G52" s="12"/>
      <c r="H52" s="12" t="s">
        <v>8</v>
      </c>
      <c r="I52" s="12" t="s">
        <v>8</v>
      </c>
      <c r="J52" s="12"/>
      <c r="K52" s="12" t="s">
        <v>9</v>
      </c>
      <c r="L52" s="12" t="s">
        <v>9</v>
      </c>
      <c r="M52" s="12"/>
      <c r="N52" s="12"/>
    </row>
    <row r="53" spans="1:14" ht="12.75">
      <c r="A53" s="9"/>
      <c r="B53" s="15"/>
      <c r="C53" s="15"/>
      <c r="D53" s="15" t="s">
        <v>12</v>
      </c>
      <c r="E53" s="15"/>
      <c r="F53" s="15"/>
      <c r="G53" s="15" t="s">
        <v>13</v>
      </c>
      <c r="H53" s="15" t="s">
        <v>14</v>
      </c>
      <c r="I53" s="15" t="s">
        <v>15</v>
      </c>
      <c r="J53" s="15"/>
      <c r="K53" s="15" t="s">
        <v>16</v>
      </c>
      <c r="L53" s="15" t="s">
        <v>16</v>
      </c>
      <c r="M53" s="15" t="s">
        <v>9</v>
      </c>
      <c r="N53" s="15" t="s">
        <v>9</v>
      </c>
    </row>
    <row r="54" spans="1:14" ht="12.75">
      <c r="A54" s="9"/>
      <c r="B54" s="15"/>
      <c r="C54" s="15" t="s">
        <v>12</v>
      </c>
      <c r="D54" s="15" t="s">
        <v>16</v>
      </c>
      <c r="E54" s="15" t="s">
        <v>22</v>
      </c>
      <c r="F54" s="15" t="s">
        <v>22</v>
      </c>
      <c r="G54" s="15" t="s">
        <v>23</v>
      </c>
      <c r="H54" s="15" t="s">
        <v>24</v>
      </c>
      <c r="I54" s="15" t="s">
        <v>24</v>
      </c>
      <c r="J54" s="15"/>
      <c r="K54" s="15" t="s">
        <v>15</v>
      </c>
      <c r="L54" s="15" t="s">
        <v>15</v>
      </c>
      <c r="M54" s="15" t="s">
        <v>14</v>
      </c>
      <c r="N54" s="15" t="s">
        <v>14</v>
      </c>
    </row>
    <row r="55" spans="1:14" ht="12.75">
      <c r="A55" s="17" t="s">
        <v>25</v>
      </c>
      <c r="B55" s="20" t="s">
        <v>26</v>
      </c>
      <c r="C55" s="125" t="s">
        <v>14</v>
      </c>
      <c r="D55" s="20" t="s">
        <v>15</v>
      </c>
      <c r="E55" s="20" t="s">
        <v>27</v>
      </c>
      <c r="F55" s="20" t="s">
        <v>13</v>
      </c>
      <c r="G55" s="20" t="s">
        <v>15</v>
      </c>
      <c r="H55" s="20" t="s">
        <v>28</v>
      </c>
      <c r="I55" s="20" t="s">
        <v>28</v>
      </c>
      <c r="J55" s="20" t="s">
        <v>22</v>
      </c>
      <c r="K55" s="20" t="s">
        <v>29</v>
      </c>
      <c r="L55" s="20" t="s">
        <v>30</v>
      </c>
      <c r="M55" s="20" t="s">
        <v>29</v>
      </c>
      <c r="N55" s="20" t="s">
        <v>30</v>
      </c>
    </row>
    <row r="56" spans="1:14" ht="12.75">
      <c r="A56" s="50"/>
      <c r="B56" s="51" t="s">
        <v>17</v>
      </c>
      <c r="C56" s="52"/>
      <c r="D56" s="52"/>
      <c r="E56" s="52"/>
      <c r="F56" s="53"/>
      <c r="G56" s="53"/>
      <c r="H56" s="54"/>
      <c r="I56" s="54"/>
      <c r="J56" s="54"/>
      <c r="K56" s="54"/>
      <c r="L56" s="54"/>
      <c r="M56" s="54"/>
      <c r="N56" s="54"/>
    </row>
    <row r="57" spans="1:14" ht="12.75">
      <c r="A57" s="72" t="s">
        <v>57</v>
      </c>
      <c r="B57" s="70" t="s">
        <v>72</v>
      </c>
      <c r="C57" s="84">
        <v>40.4</v>
      </c>
      <c r="D57" s="84">
        <v>0</v>
      </c>
      <c r="E57" s="85">
        <f>C57-D57</f>
        <v>40.4</v>
      </c>
      <c r="F57" s="30"/>
      <c r="G57" s="49">
        <f aca="true" t="shared" si="3" ref="G57:G81">D57/(D$35+D$82)</f>
        <v>0</v>
      </c>
      <c r="H57" s="29"/>
      <c r="I57" s="29"/>
      <c r="J57" s="38">
        <f>H57-I57</f>
        <v>0</v>
      </c>
      <c r="K57" s="40">
        <v>37257</v>
      </c>
      <c r="L57" s="40">
        <v>37591</v>
      </c>
      <c r="M57" s="40">
        <v>37257</v>
      </c>
      <c r="N57" s="46">
        <v>37561</v>
      </c>
    </row>
    <row r="58" spans="1:14" ht="12.75">
      <c r="A58" s="69" t="s">
        <v>59</v>
      </c>
      <c r="B58" s="70" t="s">
        <v>68</v>
      </c>
      <c r="C58" s="84">
        <v>348733.67</v>
      </c>
      <c r="D58" s="84">
        <v>64200</v>
      </c>
      <c r="E58" s="85">
        <f aca="true" t="shared" si="4" ref="E58:E81">C58-D58</f>
        <v>284533.67</v>
      </c>
      <c r="F58" s="30">
        <f>C58/D58</f>
        <v>5.431988629283489</v>
      </c>
      <c r="G58" s="49">
        <f t="shared" si="3"/>
        <v>0.001161369192048297</v>
      </c>
      <c r="H58" s="29"/>
      <c r="I58" s="29"/>
      <c r="J58" s="38">
        <f aca="true" t="shared" si="5" ref="J58:J77">H58-I58</f>
        <v>0</v>
      </c>
      <c r="K58" s="42">
        <v>37347</v>
      </c>
      <c r="L58" s="40">
        <v>37956</v>
      </c>
      <c r="M58" s="40">
        <v>37043</v>
      </c>
      <c r="N58" s="46"/>
    </row>
    <row r="59" spans="1:14" ht="12.75">
      <c r="A59" s="69" t="s">
        <v>63</v>
      </c>
      <c r="B59" s="70" t="s">
        <v>69</v>
      </c>
      <c r="C59" s="84">
        <v>-30.6</v>
      </c>
      <c r="D59" s="84">
        <v>0</v>
      </c>
      <c r="E59" s="85">
        <f t="shared" si="4"/>
        <v>-30.6</v>
      </c>
      <c r="F59" s="30"/>
      <c r="G59" s="49">
        <f t="shared" si="3"/>
        <v>0</v>
      </c>
      <c r="H59" s="29"/>
      <c r="I59" s="29"/>
      <c r="J59" s="38">
        <f t="shared" si="5"/>
        <v>0</v>
      </c>
      <c r="K59" s="40">
        <v>37742</v>
      </c>
      <c r="L59" s="40">
        <v>38687</v>
      </c>
      <c r="M59" s="40">
        <v>37803</v>
      </c>
      <c r="N59" s="46">
        <v>38687</v>
      </c>
    </row>
    <row r="60" spans="1:14" ht="12.75">
      <c r="A60" s="72" t="s">
        <v>65</v>
      </c>
      <c r="B60" s="70" t="s">
        <v>70</v>
      </c>
      <c r="C60" s="84">
        <v>337</v>
      </c>
      <c r="D60" s="84">
        <v>0</v>
      </c>
      <c r="E60" s="85">
        <f t="shared" si="4"/>
        <v>337</v>
      </c>
      <c r="F60" s="30"/>
      <c r="G60" s="49">
        <f t="shared" si="3"/>
        <v>0</v>
      </c>
      <c r="H60" s="29"/>
      <c r="I60" s="29"/>
      <c r="J60" s="38">
        <f t="shared" si="5"/>
        <v>0</v>
      </c>
      <c r="K60" s="40">
        <v>37622</v>
      </c>
      <c r="L60" s="40">
        <v>38169</v>
      </c>
      <c r="M60" s="40">
        <v>37773</v>
      </c>
      <c r="N60" s="46">
        <v>38687</v>
      </c>
    </row>
    <row r="61" spans="1:14" ht="12.75">
      <c r="A61" s="72" t="s">
        <v>98</v>
      </c>
      <c r="B61" s="70" t="s">
        <v>101</v>
      </c>
      <c r="C61" s="84">
        <v>290942.05</v>
      </c>
      <c r="D61" s="84">
        <v>2935000</v>
      </c>
      <c r="E61" s="84">
        <f t="shared" si="4"/>
        <v>-2644057.95</v>
      </c>
      <c r="F61" s="30">
        <f>C61/D61</f>
        <v>0.0991284667802385</v>
      </c>
      <c r="G61" s="87">
        <f t="shared" si="3"/>
        <v>0.05309374733117993</v>
      </c>
      <c r="H61" s="29"/>
      <c r="I61" s="29"/>
      <c r="J61" s="38">
        <f t="shared" si="5"/>
        <v>0</v>
      </c>
      <c r="K61" s="40">
        <v>37987</v>
      </c>
      <c r="L61" s="101" t="s">
        <v>183</v>
      </c>
      <c r="M61" s="101" t="s">
        <v>137</v>
      </c>
      <c r="N61" s="102" t="s">
        <v>137</v>
      </c>
    </row>
    <row r="62" spans="1:14" ht="12.75">
      <c r="A62" s="72" t="s">
        <v>99</v>
      </c>
      <c r="B62" s="70" t="s">
        <v>100</v>
      </c>
      <c r="C62" s="84">
        <v>316963.01</v>
      </c>
      <c r="D62" s="84">
        <v>0</v>
      </c>
      <c r="E62" s="84">
        <f t="shared" si="4"/>
        <v>316963.01</v>
      </c>
      <c r="F62" s="30"/>
      <c r="G62" s="87">
        <f t="shared" si="3"/>
        <v>0</v>
      </c>
      <c r="H62" s="29">
        <v>2285900.34</v>
      </c>
      <c r="I62" s="98">
        <v>2150001</v>
      </c>
      <c r="J62" s="38">
        <f t="shared" si="5"/>
        <v>135899.33999999985</v>
      </c>
      <c r="K62" s="40">
        <v>38261</v>
      </c>
      <c r="L62" s="40">
        <v>39417</v>
      </c>
      <c r="M62" s="40">
        <v>38261</v>
      </c>
      <c r="N62" s="46">
        <v>39692</v>
      </c>
    </row>
    <row r="63" spans="1:14" ht="12.75">
      <c r="A63" s="72" t="s">
        <v>106</v>
      </c>
      <c r="B63" s="70" t="s">
        <v>107</v>
      </c>
      <c r="C63" s="84">
        <v>-195.69</v>
      </c>
      <c r="D63" s="84">
        <v>0</v>
      </c>
      <c r="E63" s="84">
        <f t="shared" si="4"/>
        <v>-195.69</v>
      </c>
      <c r="F63" s="30"/>
      <c r="G63" s="87">
        <f t="shared" si="3"/>
        <v>0</v>
      </c>
      <c r="H63" s="29"/>
      <c r="I63" s="29"/>
      <c r="J63" s="38">
        <f t="shared" si="5"/>
        <v>0</v>
      </c>
      <c r="K63" s="40">
        <v>38443</v>
      </c>
      <c r="L63" s="40">
        <v>39417</v>
      </c>
      <c r="M63" s="40">
        <v>38565</v>
      </c>
      <c r="N63" s="46">
        <v>39052</v>
      </c>
    </row>
    <row r="64" spans="1:14" ht="12.75">
      <c r="A64" s="72" t="s">
        <v>104</v>
      </c>
      <c r="B64" s="70" t="s">
        <v>105</v>
      </c>
      <c r="C64" s="84">
        <v>96036.5</v>
      </c>
      <c r="D64" s="84">
        <v>0</v>
      </c>
      <c r="E64" s="84">
        <f t="shared" si="4"/>
        <v>96036.5</v>
      </c>
      <c r="F64" s="30"/>
      <c r="G64" s="87">
        <f t="shared" si="3"/>
        <v>0</v>
      </c>
      <c r="H64" s="29">
        <v>1236263.92</v>
      </c>
      <c r="I64" s="29">
        <v>994000</v>
      </c>
      <c r="J64" s="38">
        <f t="shared" si="5"/>
        <v>242263.91999999993</v>
      </c>
      <c r="K64" s="40">
        <v>38443</v>
      </c>
      <c r="L64" s="40">
        <v>39052</v>
      </c>
      <c r="M64" s="40">
        <v>38443</v>
      </c>
      <c r="N64" s="46">
        <v>39753</v>
      </c>
    </row>
    <row r="65" spans="1:14" ht="12.75">
      <c r="A65" s="72" t="s">
        <v>114</v>
      </c>
      <c r="B65" s="70" t="s">
        <v>115</v>
      </c>
      <c r="C65" s="84">
        <v>172653.36</v>
      </c>
      <c r="D65" s="84">
        <v>50000</v>
      </c>
      <c r="E65" s="84">
        <f t="shared" si="4"/>
        <v>122653.35999999999</v>
      </c>
      <c r="F65" s="30">
        <f>C65/D65</f>
        <v>3.4530671999999996</v>
      </c>
      <c r="G65" s="87">
        <f t="shared" si="3"/>
        <v>0.0009044931402245303</v>
      </c>
      <c r="H65" s="29">
        <v>2199181.21</v>
      </c>
      <c r="I65" s="29">
        <v>1910000</v>
      </c>
      <c r="J65" s="38">
        <f t="shared" si="5"/>
        <v>289181.20999999996</v>
      </c>
      <c r="K65" s="40">
        <v>38443</v>
      </c>
      <c r="L65" s="40">
        <v>39783</v>
      </c>
      <c r="M65" s="40">
        <v>38443</v>
      </c>
      <c r="N65" s="46">
        <v>39722</v>
      </c>
    </row>
    <row r="66" spans="1:14" ht="12.75">
      <c r="A66" s="72" t="s">
        <v>116</v>
      </c>
      <c r="B66" s="70" t="s">
        <v>117</v>
      </c>
      <c r="C66" s="84">
        <v>1359116.86</v>
      </c>
      <c r="D66" s="84">
        <v>1210964</v>
      </c>
      <c r="E66" s="84">
        <f t="shared" si="4"/>
        <v>148152.8600000001</v>
      </c>
      <c r="F66" s="30">
        <f>C66/D66</f>
        <v>1.122342910276441</v>
      </c>
      <c r="G66" s="87">
        <f t="shared" si="3"/>
        <v>0.021906172621177163</v>
      </c>
      <c r="H66" s="29"/>
      <c r="I66" s="29"/>
      <c r="J66" s="38">
        <f t="shared" si="5"/>
        <v>0</v>
      </c>
      <c r="K66" s="40">
        <v>38687</v>
      </c>
      <c r="L66" s="40">
        <v>39264</v>
      </c>
      <c r="M66" s="40">
        <v>38687</v>
      </c>
      <c r="N66" s="46"/>
    </row>
    <row r="67" spans="1:14" ht="12.75">
      <c r="A67" s="72" t="s">
        <v>118</v>
      </c>
      <c r="B67" s="70" t="s">
        <v>197</v>
      </c>
      <c r="C67" s="84">
        <v>-38141.61</v>
      </c>
      <c r="D67" s="84">
        <v>0</v>
      </c>
      <c r="E67" s="84">
        <f>C67-D67</f>
        <v>-38141.61</v>
      </c>
      <c r="F67" s="30"/>
      <c r="G67" s="87">
        <f t="shared" si="3"/>
        <v>0</v>
      </c>
      <c r="H67" s="29"/>
      <c r="I67" s="29"/>
      <c r="J67" s="38">
        <f>H67-I67</f>
        <v>0</v>
      </c>
      <c r="K67" s="40">
        <v>38718</v>
      </c>
      <c r="L67" s="40">
        <v>39052</v>
      </c>
      <c r="M67" s="40">
        <v>38718</v>
      </c>
      <c r="N67" s="46">
        <v>39052</v>
      </c>
    </row>
    <row r="68" spans="1:14" ht="12.75">
      <c r="A68" s="72" t="s">
        <v>119</v>
      </c>
      <c r="B68" s="70" t="s">
        <v>121</v>
      </c>
      <c r="C68" s="84">
        <v>414412.41</v>
      </c>
      <c r="D68" s="84">
        <v>0</v>
      </c>
      <c r="E68" s="84">
        <f t="shared" si="4"/>
        <v>414412.41</v>
      </c>
      <c r="F68" s="30"/>
      <c r="G68" s="87">
        <f t="shared" si="3"/>
        <v>0</v>
      </c>
      <c r="H68" s="29"/>
      <c r="I68" s="29"/>
      <c r="J68" s="38">
        <f t="shared" si="5"/>
        <v>0</v>
      </c>
      <c r="K68" s="40">
        <v>38777</v>
      </c>
      <c r="L68" s="40">
        <v>39326</v>
      </c>
      <c r="M68" s="40">
        <v>38930</v>
      </c>
      <c r="N68" s="46"/>
    </row>
    <row r="69" spans="1:14" ht="12.75">
      <c r="A69" s="72" t="s">
        <v>130</v>
      </c>
      <c r="B69" s="70" t="s">
        <v>136</v>
      </c>
      <c r="C69" s="84">
        <v>3004.64</v>
      </c>
      <c r="D69" s="84">
        <v>0</v>
      </c>
      <c r="E69" s="84">
        <f t="shared" si="4"/>
        <v>3004.64</v>
      </c>
      <c r="F69" s="30"/>
      <c r="G69" s="87">
        <f t="shared" si="3"/>
        <v>0</v>
      </c>
      <c r="H69" s="29"/>
      <c r="I69" s="29"/>
      <c r="J69" s="38">
        <f t="shared" si="5"/>
        <v>0</v>
      </c>
      <c r="K69" s="40">
        <v>38749</v>
      </c>
      <c r="L69" s="40">
        <v>39052</v>
      </c>
      <c r="M69" s="40">
        <v>38808</v>
      </c>
      <c r="N69" s="46">
        <v>39387</v>
      </c>
    </row>
    <row r="70" spans="1:14" ht="12.75">
      <c r="A70" s="72" t="s">
        <v>122</v>
      </c>
      <c r="B70" s="70" t="s">
        <v>123</v>
      </c>
      <c r="C70" s="84">
        <v>269.52</v>
      </c>
      <c r="D70" s="84">
        <v>0</v>
      </c>
      <c r="E70" s="84">
        <f t="shared" si="4"/>
        <v>269.52</v>
      </c>
      <c r="F70" s="30"/>
      <c r="G70" s="87">
        <f t="shared" si="3"/>
        <v>0</v>
      </c>
      <c r="H70" s="29"/>
      <c r="I70" s="29"/>
      <c r="J70" s="38">
        <f t="shared" si="5"/>
        <v>0</v>
      </c>
      <c r="K70" s="40">
        <v>38718</v>
      </c>
      <c r="L70" s="40">
        <v>39022</v>
      </c>
      <c r="M70" s="40">
        <v>38777</v>
      </c>
      <c r="N70" s="46">
        <v>39295</v>
      </c>
    </row>
    <row r="71" spans="1:14" ht="12.75">
      <c r="A71" s="72" t="s">
        <v>124</v>
      </c>
      <c r="B71" s="70" t="s">
        <v>127</v>
      </c>
      <c r="C71" s="84">
        <v>-394.42</v>
      </c>
      <c r="D71" s="84">
        <v>0</v>
      </c>
      <c r="E71" s="84">
        <f t="shared" si="4"/>
        <v>-394.42</v>
      </c>
      <c r="F71" s="30"/>
      <c r="G71" s="87">
        <f t="shared" si="3"/>
        <v>0</v>
      </c>
      <c r="H71" s="29"/>
      <c r="I71" s="29"/>
      <c r="J71" s="38">
        <f t="shared" si="5"/>
        <v>0</v>
      </c>
      <c r="K71" s="40">
        <v>38749</v>
      </c>
      <c r="L71" s="40">
        <v>39052</v>
      </c>
      <c r="M71" s="40">
        <v>38777</v>
      </c>
      <c r="N71" s="46">
        <v>39356</v>
      </c>
    </row>
    <row r="72" spans="1:14" ht="12.75">
      <c r="A72" s="72" t="s">
        <v>125</v>
      </c>
      <c r="B72" s="70" t="s">
        <v>128</v>
      </c>
      <c r="C72" s="84">
        <v>41822904.81</v>
      </c>
      <c r="D72" s="84">
        <v>33310430</v>
      </c>
      <c r="E72" s="84">
        <f t="shared" si="4"/>
        <v>8512474.810000002</v>
      </c>
      <c r="F72" s="30">
        <f>C72/D72</f>
        <v>1.2555498325899725</v>
      </c>
      <c r="G72" s="87">
        <f t="shared" si="3"/>
        <v>0.602581108658588</v>
      </c>
      <c r="H72" s="29"/>
      <c r="I72" s="29"/>
      <c r="J72" s="38">
        <f t="shared" si="5"/>
        <v>0</v>
      </c>
      <c r="K72" s="40">
        <v>38838</v>
      </c>
      <c r="L72" s="40">
        <v>40513</v>
      </c>
      <c r="M72" s="40">
        <v>38838</v>
      </c>
      <c r="N72" s="46"/>
    </row>
    <row r="73" spans="1:14" ht="12.75">
      <c r="A73" s="72" t="s">
        <v>126</v>
      </c>
      <c r="B73" s="70" t="s">
        <v>129</v>
      </c>
      <c r="C73" s="84">
        <v>0</v>
      </c>
      <c r="D73" s="84">
        <v>850000</v>
      </c>
      <c r="E73" s="84">
        <f t="shared" si="4"/>
        <v>-850000</v>
      </c>
      <c r="F73" s="30">
        <f>C73/D73</f>
        <v>0</v>
      </c>
      <c r="G73" s="30">
        <f t="shared" si="3"/>
        <v>0.015376383383817015</v>
      </c>
      <c r="H73" s="29"/>
      <c r="I73" s="29"/>
      <c r="J73" s="38">
        <f t="shared" si="5"/>
        <v>0</v>
      </c>
      <c r="K73" s="40">
        <v>38718</v>
      </c>
      <c r="L73" s="40">
        <v>39173</v>
      </c>
      <c r="M73" s="40">
        <v>38899</v>
      </c>
      <c r="N73" s="46" t="s">
        <v>137</v>
      </c>
    </row>
    <row r="74" spans="1:14" ht="12.75">
      <c r="A74" s="100">
        <v>12020701</v>
      </c>
      <c r="B74" s="70" t="s">
        <v>182</v>
      </c>
      <c r="C74" s="84">
        <v>138047.11</v>
      </c>
      <c r="D74" s="84">
        <v>280709</v>
      </c>
      <c r="E74" s="84">
        <f t="shared" si="4"/>
        <v>-142661.89</v>
      </c>
      <c r="F74" s="30">
        <f>C74/D74</f>
        <v>0.4917801353002575</v>
      </c>
      <c r="G74" s="30">
        <f t="shared" si="3"/>
        <v>0.005077987297985753</v>
      </c>
      <c r="H74" s="29">
        <v>194940.26</v>
      </c>
      <c r="I74" s="29">
        <v>1150000</v>
      </c>
      <c r="J74" s="38">
        <f t="shared" si="5"/>
        <v>-955059.74</v>
      </c>
      <c r="K74" s="40">
        <v>39083</v>
      </c>
      <c r="L74" s="40">
        <v>40087</v>
      </c>
      <c r="M74" s="40">
        <v>39114</v>
      </c>
      <c r="N74" s="46">
        <v>39783</v>
      </c>
    </row>
    <row r="75" spans="1:14" ht="12.75">
      <c r="A75" s="100">
        <v>12020702</v>
      </c>
      <c r="B75" s="70" t="s">
        <v>178</v>
      </c>
      <c r="C75" s="84">
        <v>-102688.45</v>
      </c>
      <c r="D75" s="84">
        <v>0</v>
      </c>
      <c r="E75" s="84">
        <f t="shared" si="4"/>
        <v>-102688.45</v>
      </c>
      <c r="F75" s="30"/>
      <c r="G75" s="30">
        <f t="shared" si="3"/>
        <v>0</v>
      </c>
      <c r="H75" s="29"/>
      <c r="I75" s="29"/>
      <c r="J75" s="38">
        <f t="shared" si="5"/>
        <v>0</v>
      </c>
      <c r="K75" s="40">
        <v>39083</v>
      </c>
      <c r="L75" s="40">
        <v>39417</v>
      </c>
      <c r="M75" s="40">
        <v>39142</v>
      </c>
      <c r="N75" s="46"/>
    </row>
    <row r="76" spans="1:14" ht="12.75">
      <c r="A76" s="69" t="s">
        <v>184</v>
      </c>
      <c r="B76" s="70" t="s">
        <v>180</v>
      </c>
      <c r="C76" s="84">
        <v>299376.8</v>
      </c>
      <c r="D76" s="84">
        <v>2350000</v>
      </c>
      <c r="E76" s="84">
        <f t="shared" si="4"/>
        <v>-2050623.2</v>
      </c>
      <c r="F76" s="30">
        <f>C76/D76</f>
        <v>0.1273943829787234</v>
      </c>
      <c r="G76" s="30">
        <f t="shared" si="3"/>
        <v>0.04251117759055292</v>
      </c>
      <c r="H76" s="29"/>
      <c r="I76" s="29"/>
      <c r="J76" s="38">
        <f t="shared" si="5"/>
        <v>0</v>
      </c>
      <c r="K76" s="40">
        <v>39417</v>
      </c>
      <c r="L76" s="40">
        <v>39965</v>
      </c>
      <c r="M76" s="40">
        <v>39508</v>
      </c>
      <c r="N76" s="46"/>
    </row>
    <row r="77" spans="1:14" ht="12.75">
      <c r="A77" s="69" t="s">
        <v>190</v>
      </c>
      <c r="B77" s="70" t="s">
        <v>191</v>
      </c>
      <c r="C77" s="84">
        <v>81520.08</v>
      </c>
      <c r="D77" s="84">
        <v>824836</v>
      </c>
      <c r="E77" s="84">
        <f t="shared" si="4"/>
        <v>-743315.92</v>
      </c>
      <c r="F77" s="30">
        <f>C77/D77</f>
        <v>0.09883186475857018</v>
      </c>
      <c r="G77" s="30">
        <f t="shared" si="3"/>
        <v>0.014921170076204813</v>
      </c>
      <c r="H77" s="29"/>
      <c r="I77" s="29"/>
      <c r="J77" s="38">
        <f t="shared" si="5"/>
        <v>0</v>
      </c>
      <c r="K77" s="40">
        <v>39539</v>
      </c>
      <c r="L77" s="40">
        <v>39814</v>
      </c>
      <c r="M77" s="40">
        <v>39539</v>
      </c>
      <c r="N77" s="46"/>
    </row>
    <row r="78" spans="1:14" ht="12.75">
      <c r="A78" s="69" t="s">
        <v>189</v>
      </c>
      <c r="B78" s="70" t="s">
        <v>193</v>
      </c>
      <c r="C78" s="84">
        <v>62505.52</v>
      </c>
      <c r="D78" s="84">
        <v>0</v>
      </c>
      <c r="E78" s="84">
        <f t="shared" si="4"/>
        <v>62505.52</v>
      </c>
      <c r="F78" s="30"/>
      <c r="G78" s="30">
        <f t="shared" si="3"/>
        <v>0</v>
      </c>
      <c r="H78" s="29"/>
      <c r="I78" s="29"/>
      <c r="J78" s="38">
        <f>H77-I77</f>
        <v>0</v>
      </c>
      <c r="K78" s="40">
        <v>39569</v>
      </c>
      <c r="L78" s="40">
        <v>39934</v>
      </c>
      <c r="M78" s="40">
        <v>39569</v>
      </c>
      <c r="N78" s="46"/>
    </row>
    <row r="79" spans="1:14" ht="12.75">
      <c r="A79" s="100">
        <v>12320507</v>
      </c>
      <c r="B79" s="70" t="s">
        <v>132</v>
      </c>
      <c r="C79" s="84">
        <v>-37669.8</v>
      </c>
      <c r="D79" s="84">
        <v>0</v>
      </c>
      <c r="E79" s="84">
        <f>C79-D79</f>
        <v>-37669.8</v>
      </c>
      <c r="F79" s="30"/>
      <c r="G79" s="30">
        <f t="shared" si="3"/>
        <v>0</v>
      </c>
      <c r="H79" s="29"/>
      <c r="I79" s="29"/>
      <c r="J79" s="38">
        <f>H78-I78</f>
        <v>0</v>
      </c>
      <c r="K79" s="40">
        <v>38687</v>
      </c>
      <c r="L79" s="40">
        <v>39022</v>
      </c>
      <c r="M79" s="40">
        <v>38869</v>
      </c>
      <c r="N79" s="46">
        <v>39326</v>
      </c>
    </row>
    <row r="80" spans="1:14" ht="12.75">
      <c r="A80" s="69"/>
      <c r="B80" s="70"/>
      <c r="C80" s="84">
        <v>0</v>
      </c>
      <c r="D80" s="84">
        <v>0</v>
      </c>
      <c r="E80" s="84">
        <f>C80-D80</f>
        <v>0</v>
      </c>
      <c r="F80" s="30"/>
      <c r="G80" s="30">
        <f t="shared" si="3"/>
        <v>0</v>
      </c>
      <c r="H80" s="29"/>
      <c r="I80" s="29"/>
      <c r="J80" s="38"/>
      <c r="K80" s="40"/>
      <c r="L80" s="40"/>
      <c r="M80" s="40"/>
      <c r="N80" s="46"/>
    </row>
    <row r="81" spans="1:14" ht="12.75">
      <c r="A81" s="71"/>
      <c r="B81" s="67"/>
      <c r="C81" s="84">
        <v>0</v>
      </c>
      <c r="D81" s="84">
        <v>0</v>
      </c>
      <c r="E81" s="84">
        <f t="shared" si="4"/>
        <v>0</v>
      </c>
      <c r="F81" s="30"/>
      <c r="G81" s="62">
        <f t="shared" si="3"/>
        <v>0</v>
      </c>
      <c r="H81" s="31"/>
      <c r="I81" s="31"/>
      <c r="J81" s="39"/>
      <c r="K81" s="43"/>
      <c r="L81" s="43"/>
      <c r="M81" s="43"/>
      <c r="N81" s="44"/>
    </row>
    <row r="82" spans="3:14" ht="12">
      <c r="C82" s="68">
        <f>SUM(C56:C81)</f>
        <v>45227743.17</v>
      </c>
      <c r="D82" s="34">
        <f>SUM(D56:D81)</f>
        <v>41876139</v>
      </c>
      <c r="E82" s="34">
        <f>SUM(E56:E81)</f>
        <v>3351604.1700000023</v>
      </c>
      <c r="F82" s="36">
        <f>C82/D82</f>
        <v>1.0800361315545353</v>
      </c>
      <c r="G82" s="35"/>
      <c r="H82" s="28"/>
      <c r="I82" s="28"/>
      <c r="J82" s="28"/>
      <c r="K82" s="28"/>
      <c r="L82" s="28"/>
      <c r="M82" s="28"/>
      <c r="N82" s="28"/>
    </row>
    <row r="84" ht="12">
      <c r="C84" s="122"/>
    </row>
    <row r="85" ht="12">
      <c r="C85" s="123"/>
    </row>
    <row r="87" ht="12">
      <c r="C87" s="124"/>
    </row>
    <row r="89" ht="12">
      <c r="C89" s="124"/>
    </row>
  </sheetData>
  <sheetProtection/>
  <mergeCells count="6">
    <mergeCell ref="A43:N43"/>
    <mergeCell ref="A44:N44"/>
    <mergeCell ref="A1:N1"/>
    <mergeCell ref="A2:N2"/>
    <mergeCell ref="A3:N3"/>
    <mergeCell ref="A42:N42"/>
  </mergeCells>
  <printOptions horizontalCentered="1"/>
  <pageMargins left="0.25" right="0.25" top="1" bottom="0.5" header="0" footer="0"/>
  <pageSetup horizontalDpi="600" verticalDpi="600" orientation="landscape" scale="70" r:id="rId1"/>
  <rowBreaks count="1" manualBreakCount="1">
    <brk id="41" max="255" man="1"/>
  </rowBreaks>
  <colBreaks count="1" manualBreakCount="1">
    <brk id="14" max="65535" man="1"/>
  </colBreaks>
  <customProperties>
    <customPr name="_pios_id" r:id="rId2"/>
  </customProperties>
</worksheet>
</file>

<file path=xl/worksheets/sheet9.xml><?xml version="1.0" encoding="utf-8"?>
<worksheet xmlns="http://schemas.openxmlformats.org/spreadsheetml/2006/main" xmlns:r="http://schemas.openxmlformats.org/officeDocument/2006/relationships">
  <dimension ref="A1:Z85"/>
  <sheetViews>
    <sheetView tabSelected="1" view="pageBreakPreview" zoomScale="90" zoomScaleSheetLayoutView="90" zoomScalePageLayoutView="0" workbookViewId="0" topLeftCell="C8">
      <selection activeCell="F76" activeCellId="15" sqref="F57 F59 F60 F61 F63 F66 F67 F68 F69 F70 F71 F72 F73 F74 F75 F76"/>
    </sheetView>
  </sheetViews>
  <sheetFormatPr defaultColWidth="9.83203125" defaultRowHeight="12"/>
  <cols>
    <col min="1" max="1" width="10.83203125" style="1" customWidth="1"/>
    <col min="2" max="2" width="62.16015625" style="1" customWidth="1"/>
    <col min="3" max="3" width="13.66015625" style="1" customWidth="1"/>
    <col min="4" max="5" width="12.66015625" style="1" customWidth="1"/>
    <col min="6" max="6" width="10.66015625" style="1" customWidth="1"/>
    <col min="7" max="7" width="9.83203125" style="1" customWidth="1"/>
    <col min="8" max="10" width="12.66015625" style="1" customWidth="1"/>
    <col min="11" max="12" width="9.83203125" style="1" customWidth="1"/>
    <col min="13" max="14" width="8.83203125" style="1" customWidth="1"/>
    <col min="15" max="15" width="6.5" style="1" customWidth="1"/>
    <col min="16" max="16" width="7.83203125" style="1" customWidth="1"/>
    <col min="17" max="17" width="57.5" style="1" customWidth="1"/>
    <col min="18" max="18" width="72" style="1" customWidth="1"/>
    <col min="19" max="19" width="15.66015625" style="1" customWidth="1"/>
    <col min="20" max="20" width="17.66015625" style="1" customWidth="1"/>
    <col min="21" max="24" width="9.66015625" style="1" customWidth="1"/>
    <col min="25" max="16384" width="9.83203125" style="1" customWidth="1"/>
  </cols>
  <sheetData>
    <row r="1" spans="1:23" ht="12">
      <c r="A1" s="212" t="s">
        <v>71</v>
      </c>
      <c r="B1" s="212"/>
      <c r="C1" s="212"/>
      <c r="D1" s="212"/>
      <c r="E1" s="212"/>
      <c r="F1" s="212"/>
      <c r="G1" s="212"/>
      <c r="H1" s="212"/>
      <c r="I1" s="212"/>
      <c r="J1" s="212"/>
      <c r="K1" s="212"/>
      <c r="L1" s="212"/>
      <c r="M1" s="212"/>
      <c r="N1" s="212"/>
      <c r="W1" s="2"/>
    </row>
    <row r="2" spans="1:23" ht="12">
      <c r="A2" s="212" t="s">
        <v>311</v>
      </c>
      <c r="B2" s="212"/>
      <c r="C2" s="212"/>
      <c r="D2" s="212"/>
      <c r="E2" s="212"/>
      <c r="F2" s="212"/>
      <c r="G2" s="212"/>
      <c r="H2" s="212"/>
      <c r="I2" s="212"/>
      <c r="J2" s="212"/>
      <c r="K2" s="212"/>
      <c r="L2" s="212"/>
      <c r="M2" s="212"/>
      <c r="N2" s="212"/>
      <c r="W2" s="2" t="s">
        <v>0</v>
      </c>
    </row>
    <row r="3" spans="1:23" ht="12">
      <c r="A3" s="212" t="s">
        <v>74</v>
      </c>
      <c r="B3" s="212"/>
      <c r="C3" s="212"/>
      <c r="D3" s="212"/>
      <c r="E3" s="212"/>
      <c r="F3" s="212"/>
      <c r="G3" s="212"/>
      <c r="H3" s="212"/>
      <c r="I3" s="212"/>
      <c r="J3" s="212"/>
      <c r="K3" s="212"/>
      <c r="L3" s="212"/>
      <c r="M3" s="212"/>
      <c r="N3" s="212"/>
      <c r="W3" s="2" t="s">
        <v>254</v>
      </c>
    </row>
    <row r="4" spans="4:23" ht="12">
      <c r="D4" s="3" t="s">
        <v>1</v>
      </c>
      <c r="E4" s="99">
        <v>2007</v>
      </c>
      <c r="W4" s="2"/>
    </row>
    <row r="5" spans="1:12" ht="12">
      <c r="A5" s="2" t="s">
        <v>2</v>
      </c>
      <c r="L5" s="2" t="s">
        <v>73</v>
      </c>
    </row>
    <row r="6" spans="1:16" ht="15.75">
      <c r="A6" s="2" t="s">
        <v>3</v>
      </c>
      <c r="L6" s="2"/>
      <c r="P6" s="5" t="s">
        <v>55</v>
      </c>
    </row>
    <row r="7" spans="12:21" ht="19.5">
      <c r="L7" s="2" t="s">
        <v>4</v>
      </c>
      <c r="P7" s="6"/>
      <c r="U7" s="5" t="s">
        <v>147</v>
      </c>
    </row>
    <row r="8" spans="12:13" ht="12">
      <c r="L8" s="4" t="s">
        <v>312</v>
      </c>
      <c r="M8" s="4"/>
    </row>
    <row r="9" spans="17:24" ht="12.75">
      <c r="Q9" s="7"/>
      <c r="R9" s="7"/>
      <c r="S9" s="7"/>
      <c r="T9" s="8" t="s">
        <v>5</v>
      </c>
      <c r="U9" s="7"/>
      <c r="V9" s="7"/>
      <c r="W9" s="7"/>
      <c r="X9" s="7"/>
    </row>
    <row r="10" spans="17:24" ht="12.75">
      <c r="Q10" s="7"/>
      <c r="R10" s="7"/>
      <c r="S10" s="8" t="s">
        <v>6</v>
      </c>
      <c r="T10" s="9" t="s">
        <v>75</v>
      </c>
      <c r="U10" s="10" t="s">
        <v>7</v>
      </c>
      <c r="V10" s="11"/>
      <c r="W10" s="7"/>
      <c r="X10" s="7"/>
    </row>
    <row r="11" spans="1:24" ht="12.75">
      <c r="A11" s="8"/>
      <c r="B11" s="12"/>
      <c r="C11" s="12"/>
      <c r="D11" s="12"/>
      <c r="E11" s="12"/>
      <c r="F11" s="12"/>
      <c r="G11" s="12"/>
      <c r="H11" s="12" t="s">
        <v>8</v>
      </c>
      <c r="I11" s="12" t="s">
        <v>8</v>
      </c>
      <c r="J11" s="12"/>
      <c r="K11" s="12" t="s">
        <v>9</v>
      </c>
      <c r="L11" s="12" t="s">
        <v>9</v>
      </c>
      <c r="M11" s="12"/>
      <c r="N11" s="12"/>
      <c r="Q11" s="7"/>
      <c r="R11" s="7"/>
      <c r="S11" s="9" t="s">
        <v>10</v>
      </c>
      <c r="T11" s="9" t="s">
        <v>10</v>
      </c>
      <c r="U11" s="13" t="s">
        <v>11</v>
      </c>
      <c r="V11" s="14"/>
      <c r="W11" s="7"/>
      <c r="X11" s="7"/>
    </row>
    <row r="12" spans="1:24" ht="12.75">
      <c r="A12" s="9"/>
      <c r="B12" s="15"/>
      <c r="C12" s="15"/>
      <c r="D12" s="15" t="s">
        <v>12</v>
      </c>
      <c r="E12" s="15"/>
      <c r="F12" s="15"/>
      <c r="G12" s="15" t="s">
        <v>13</v>
      </c>
      <c r="H12" s="15" t="s">
        <v>14</v>
      </c>
      <c r="I12" s="15" t="s">
        <v>15</v>
      </c>
      <c r="J12" s="15"/>
      <c r="K12" s="15" t="s">
        <v>16</v>
      </c>
      <c r="L12" s="15" t="s">
        <v>16</v>
      </c>
      <c r="M12" s="15" t="s">
        <v>9</v>
      </c>
      <c r="N12" s="15" t="s">
        <v>9</v>
      </c>
      <c r="P12" s="4"/>
      <c r="Q12" s="16" t="s">
        <v>76</v>
      </c>
      <c r="R12" s="16" t="s">
        <v>18</v>
      </c>
      <c r="S12" s="17" t="s">
        <v>19</v>
      </c>
      <c r="T12" s="17" t="s">
        <v>19</v>
      </c>
      <c r="U12" s="16" t="s">
        <v>20</v>
      </c>
      <c r="V12" s="16" t="s">
        <v>21</v>
      </c>
      <c r="W12" s="16" t="s">
        <v>20</v>
      </c>
      <c r="X12" s="16" t="s">
        <v>21</v>
      </c>
    </row>
    <row r="13" spans="1:26" ht="12.75">
      <c r="A13" s="9"/>
      <c r="B13" s="15"/>
      <c r="C13" s="15" t="s">
        <v>12</v>
      </c>
      <c r="D13" s="15" t="s">
        <v>16</v>
      </c>
      <c r="E13" s="15" t="s">
        <v>22</v>
      </c>
      <c r="F13" s="15" t="s">
        <v>22</v>
      </c>
      <c r="G13" s="15" t="s">
        <v>23</v>
      </c>
      <c r="H13" s="15" t="s">
        <v>24</v>
      </c>
      <c r="I13" s="15" t="s">
        <v>24</v>
      </c>
      <c r="J13" s="15"/>
      <c r="K13" s="15" t="s">
        <v>15</v>
      </c>
      <c r="L13" s="15" t="s">
        <v>15</v>
      </c>
      <c r="M13" s="15" t="s">
        <v>14</v>
      </c>
      <c r="N13" s="15" t="s">
        <v>14</v>
      </c>
      <c r="P13" s="103" t="s">
        <v>131</v>
      </c>
      <c r="Q13" s="70" t="s">
        <v>132</v>
      </c>
      <c r="R13" s="134" t="s">
        <v>185</v>
      </c>
      <c r="S13" s="29">
        <v>488756</v>
      </c>
      <c r="T13" s="29">
        <v>480000</v>
      </c>
      <c r="U13" s="105">
        <v>38687</v>
      </c>
      <c r="V13" s="105">
        <v>39022</v>
      </c>
      <c r="W13" s="105">
        <v>38869</v>
      </c>
      <c r="X13" s="106">
        <v>39326</v>
      </c>
      <c r="Y13" s="78"/>
      <c r="Z13" s="78"/>
    </row>
    <row r="14" spans="1:24" ht="12.75">
      <c r="A14" s="17" t="s">
        <v>25</v>
      </c>
      <c r="B14" s="20" t="s">
        <v>26</v>
      </c>
      <c r="C14" s="20" t="s">
        <v>14</v>
      </c>
      <c r="D14" s="20" t="s">
        <v>15</v>
      </c>
      <c r="E14" s="20" t="s">
        <v>27</v>
      </c>
      <c r="F14" s="20" t="s">
        <v>13</v>
      </c>
      <c r="G14" s="20" t="s">
        <v>15</v>
      </c>
      <c r="H14" s="20" t="s">
        <v>28</v>
      </c>
      <c r="I14" s="20" t="s">
        <v>28</v>
      </c>
      <c r="J14" s="20" t="s">
        <v>22</v>
      </c>
      <c r="K14" s="20" t="s">
        <v>29</v>
      </c>
      <c r="L14" s="20" t="s">
        <v>30</v>
      </c>
      <c r="M14" s="20" t="s">
        <v>29</v>
      </c>
      <c r="N14" s="20" t="s">
        <v>30</v>
      </c>
      <c r="P14" s="72" t="s">
        <v>130</v>
      </c>
      <c r="Q14" s="70" t="s">
        <v>136</v>
      </c>
      <c r="R14" s="97" t="s">
        <v>186</v>
      </c>
      <c r="S14" s="29">
        <v>610985</v>
      </c>
      <c r="T14" s="29">
        <v>500000</v>
      </c>
      <c r="U14" s="105">
        <v>38749</v>
      </c>
      <c r="V14" s="105">
        <v>39052</v>
      </c>
      <c r="W14" s="105">
        <v>38808</v>
      </c>
      <c r="X14" s="106">
        <v>39387</v>
      </c>
    </row>
    <row r="15" spans="1:24" ht="12.75">
      <c r="A15" s="9" t="s">
        <v>148</v>
      </c>
      <c r="B15" s="14" t="s">
        <v>79</v>
      </c>
      <c r="C15" s="82">
        <v>3137371</v>
      </c>
      <c r="D15" s="82">
        <v>5999999.5</v>
      </c>
      <c r="E15" s="84">
        <f aca="true" t="shared" si="0" ref="E15:E34">C15-D15</f>
        <v>-2862628.5</v>
      </c>
      <c r="F15" s="26">
        <f aca="true" t="shared" si="1" ref="F15:F35">C15/D15</f>
        <v>0.5228952102412675</v>
      </c>
      <c r="G15" s="27">
        <f aca="true" t="shared" si="2" ref="G15:G34">D15/(D$35+D$85)</f>
        <v>0.2188438564615952</v>
      </c>
      <c r="H15" s="28"/>
      <c r="I15" s="28"/>
      <c r="J15" s="28"/>
      <c r="K15" s="28"/>
      <c r="L15" s="28"/>
      <c r="M15" s="28"/>
      <c r="N15" s="28"/>
      <c r="P15" s="72" t="s">
        <v>122</v>
      </c>
      <c r="Q15" s="70" t="s">
        <v>123</v>
      </c>
      <c r="R15" s="97" t="s">
        <v>187</v>
      </c>
      <c r="S15" s="29">
        <v>332155</v>
      </c>
      <c r="T15" s="29">
        <v>325000</v>
      </c>
      <c r="U15" s="105">
        <v>38718</v>
      </c>
      <c r="V15" s="105">
        <v>39022</v>
      </c>
      <c r="W15" s="105">
        <v>38777</v>
      </c>
      <c r="X15" s="106">
        <v>39295</v>
      </c>
    </row>
    <row r="16" spans="1:24" ht="12.75">
      <c r="A16" s="9" t="s">
        <v>38</v>
      </c>
      <c r="B16" s="14" t="s">
        <v>163</v>
      </c>
      <c r="C16" s="82">
        <v>489878</v>
      </c>
      <c r="D16" s="82">
        <v>750000</v>
      </c>
      <c r="E16" s="84">
        <f t="shared" si="0"/>
        <v>-260122</v>
      </c>
      <c r="F16" s="26">
        <f t="shared" si="1"/>
        <v>0.6531706666666667</v>
      </c>
      <c r="G16" s="30">
        <f t="shared" si="2"/>
        <v>0.027355484337323096</v>
      </c>
      <c r="H16" s="28"/>
      <c r="I16" s="28"/>
      <c r="J16" s="28"/>
      <c r="K16" s="28"/>
      <c r="L16" s="28"/>
      <c r="M16" s="28"/>
      <c r="N16" s="28"/>
      <c r="P16" s="104" t="s">
        <v>124</v>
      </c>
      <c r="Q16" s="107" t="s">
        <v>127</v>
      </c>
      <c r="R16" s="135" t="s">
        <v>188</v>
      </c>
      <c r="S16" s="109">
        <v>806166</v>
      </c>
      <c r="T16" s="109">
        <v>350000</v>
      </c>
      <c r="U16" s="110">
        <v>38749</v>
      </c>
      <c r="V16" s="110">
        <v>39052</v>
      </c>
      <c r="W16" s="110">
        <v>38777</v>
      </c>
      <c r="X16" s="111">
        <v>39356</v>
      </c>
    </row>
    <row r="17" spans="1:24" ht="12.75">
      <c r="A17" s="9" t="s">
        <v>39</v>
      </c>
      <c r="B17" s="14" t="s">
        <v>164</v>
      </c>
      <c r="C17" s="82">
        <v>2473473</v>
      </c>
      <c r="D17" s="82">
        <v>2249999.74</v>
      </c>
      <c r="E17" s="84">
        <f t="shared" si="0"/>
        <v>223473.25999999978</v>
      </c>
      <c r="F17" s="26">
        <f t="shared" si="1"/>
        <v>1.0993214603660353</v>
      </c>
      <c r="G17" s="30">
        <f t="shared" si="2"/>
        <v>0.08206644352873473</v>
      </c>
      <c r="H17" s="28"/>
      <c r="I17" s="28"/>
      <c r="J17" s="28"/>
      <c r="K17" s="28"/>
      <c r="L17" s="28"/>
      <c r="M17" s="28"/>
      <c r="N17" s="28"/>
      <c r="P17" s="59"/>
      <c r="Q17" s="17" t="s">
        <v>32</v>
      </c>
      <c r="R17" s="136"/>
      <c r="S17" s="55">
        <f>SUM(S13:S16)</f>
        <v>2238062</v>
      </c>
      <c r="T17" s="55">
        <f>SUM(T13:T16)</f>
        <v>1655000</v>
      </c>
      <c r="U17" s="60"/>
      <c r="V17" s="60"/>
      <c r="W17" s="60"/>
      <c r="X17" s="60"/>
    </row>
    <row r="18" spans="1:24" ht="12.75">
      <c r="A18" s="9" t="s">
        <v>40</v>
      </c>
      <c r="B18" s="14" t="s">
        <v>165</v>
      </c>
      <c r="C18" s="82">
        <v>101183</v>
      </c>
      <c r="D18" s="82">
        <v>0</v>
      </c>
      <c r="E18" s="84">
        <f t="shared" si="0"/>
        <v>101183</v>
      </c>
      <c r="F18" s="26"/>
      <c r="G18" s="30">
        <f t="shared" si="2"/>
        <v>0</v>
      </c>
      <c r="H18" s="28"/>
      <c r="I18" s="28"/>
      <c r="J18" s="28"/>
      <c r="K18" s="28"/>
      <c r="L18" s="28"/>
      <c r="M18" s="28"/>
      <c r="N18" s="28"/>
      <c r="P18" s="59"/>
      <c r="Q18" s="59"/>
      <c r="R18" s="80"/>
      <c r="S18" s="80"/>
      <c r="T18" s="80"/>
      <c r="U18" s="60"/>
      <c r="V18" s="60"/>
      <c r="W18" s="60"/>
      <c r="X18" s="60"/>
    </row>
    <row r="19" spans="1:24" ht="12.75">
      <c r="A19" s="9" t="s">
        <v>149</v>
      </c>
      <c r="B19" s="14" t="s">
        <v>166</v>
      </c>
      <c r="C19" s="82">
        <v>16024</v>
      </c>
      <c r="D19" s="82">
        <v>0</v>
      </c>
      <c r="E19" s="84">
        <f t="shared" si="0"/>
        <v>16024</v>
      </c>
      <c r="F19" s="26"/>
      <c r="G19" s="30">
        <f t="shared" si="2"/>
        <v>0</v>
      </c>
      <c r="H19" s="28"/>
      <c r="I19" s="28"/>
      <c r="J19" s="28"/>
      <c r="K19" s="28"/>
      <c r="L19" s="28"/>
      <c r="M19" s="28"/>
      <c r="N19" s="28"/>
      <c r="P19" s="59"/>
      <c r="Q19" s="59"/>
      <c r="R19" s="80"/>
      <c r="S19" s="80"/>
      <c r="T19" s="80"/>
      <c r="U19" s="60"/>
      <c r="V19" s="60"/>
      <c r="W19" s="60"/>
      <c r="X19" s="60"/>
    </row>
    <row r="20" spans="1:24" ht="12.75">
      <c r="A20" s="9" t="s">
        <v>41</v>
      </c>
      <c r="B20" s="14" t="s">
        <v>167</v>
      </c>
      <c r="C20" s="82">
        <v>244947</v>
      </c>
      <c r="D20" s="82">
        <v>520000</v>
      </c>
      <c r="E20" s="84">
        <f t="shared" si="0"/>
        <v>-275053</v>
      </c>
      <c r="F20" s="26">
        <f t="shared" si="1"/>
        <v>0.47105192307692306</v>
      </c>
      <c r="G20" s="30">
        <f t="shared" si="2"/>
        <v>0.018966469140544014</v>
      </c>
      <c r="H20" s="28"/>
      <c r="I20" s="28"/>
      <c r="J20" s="28"/>
      <c r="K20" s="28"/>
      <c r="L20" s="28"/>
      <c r="M20" s="28"/>
      <c r="N20" s="28"/>
      <c r="P20" s="59"/>
      <c r="Q20" s="59"/>
      <c r="R20" s="80"/>
      <c r="S20" s="80"/>
      <c r="T20" s="80"/>
      <c r="U20" s="60"/>
      <c r="V20" s="60"/>
      <c r="W20" s="60"/>
      <c r="X20" s="60"/>
    </row>
    <row r="21" spans="1:24" ht="12.75">
      <c r="A21" s="9" t="s">
        <v>42</v>
      </c>
      <c r="B21" s="14" t="s">
        <v>168</v>
      </c>
      <c r="C21" s="82">
        <v>19096</v>
      </c>
      <c r="D21" s="82">
        <v>100000</v>
      </c>
      <c r="E21" s="84">
        <f t="shared" si="0"/>
        <v>-80904</v>
      </c>
      <c r="F21" s="26">
        <f t="shared" si="1"/>
        <v>0.19096</v>
      </c>
      <c r="G21" s="30">
        <f t="shared" si="2"/>
        <v>0.0036473979116430793</v>
      </c>
      <c r="H21" s="28"/>
      <c r="I21" s="28"/>
      <c r="J21" s="28"/>
      <c r="K21" s="28"/>
      <c r="L21" s="28"/>
      <c r="M21" s="28"/>
      <c r="N21" s="28"/>
      <c r="P21" s="59"/>
      <c r="Q21" s="59"/>
      <c r="R21" s="80"/>
      <c r="S21" s="80"/>
      <c r="T21" s="80"/>
      <c r="U21" s="60"/>
      <c r="V21" s="60"/>
      <c r="W21" s="60"/>
      <c r="X21" s="60"/>
    </row>
    <row r="22" spans="1:24" ht="12.75">
      <c r="A22" s="9" t="s">
        <v>43</v>
      </c>
      <c r="B22" s="14" t="s">
        <v>169</v>
      </c>
      <c r="C22" s="82">
        <v>1087103</v>
      </c>
      <c r="D22" s="82">
        <v>1303700</v>
      </c>
      <c r="E22" s="84">
        <f t="shared" si="0"/>
        <v>-216597</v>
      </c>
      <c r="F22" s="26">
        <f t="shared" si="1"/>
        <v>0.8338597836925673</v>
      </c>
      <c r="G22" s="30">
        <f t="shared" si="2"/>
        <v>0.04755112657409083</v>
      </c>
      <c r="H22" s="28"/>
      <c r="I22" s="28"/>
      <c r="J22" s="28"/>
      <c r="K22" s="28"/>
      <c r="L22" s="28"/>
      <c r="M22" s="28"/>
      <c r="N22" s="28"/>
      <c r="P22" s="59"/>
      <c r="Q22" s="59"/>
      <c r="R22" s="80"/>
      <c r="S22" s="80"/>
      <c r="T22" s="80"/>
      <c r="U22" s="60"/>
      <c r="V22" s="60"/>
      <c r="W22" s="60"/>
      <c r="X22" s="60"/>
    </row>
    <row r="23" spans="1:24" ht="12.75">
      <c r="A23" s="9" t="s">
        <v>44</v>
      </c>
      <c r="B23" s="14" t="s">
        <v>170</v>
      </c>
      <c r="C23" s="82">
        <v>1242660</v>
      </c>
      <c r="D23" s="82">
        <v>1200000</v>
      </c>
      <c r="E23" s="84">
        <f t="shared" si="0"/>
        <v>42660</v>
      </c>
      <c r="F23" s="26">
        <f t="shared" si="1"/>
        <v>1.03555</v>
      </c>
      <c r="G23" s="30">
        <f t="shared" si="2"/>
        <v>0.04376877493971695</v>
      </c>
      <c r="H23" s="28"/>
      <c r="I23" s="28"/>
      <c r="J23" s="28"/>
      <c r="K23" s="28"/>
      <c r="L23" s="28"/>
      <c r="M23" s="28"/>
      <c r="N23" s="28"/>
      <c r="P23" s="59"/>
      <c r="Q23" s="59"/>
      <c r="R23" s="80"/>
      <c r="S23" s="80"/>
      <c r="T23" s="80"/>
      <c r="U23" s="60"/>
      <c r="V23" s="60"/>
      <c r="W23" s="60"/>
      <c r="X23" s="60"/>
    </row>
    <row r="24" spans="1:24" ht="12.75">
      <c r="A24" s="9" t="s">
        <v>151</v>
      </c>
      <c r="B24" s="14" t="s">
        <v>87</v>
      </c>
      <c r="C24" s="82">
        <v>1701718</v>
      </c>
      <c r="D24" s="82">
        <v>1150400</v>
      </c>
      <c r="E24" s="84">
        <f t="shared" si="0"/>
        <v>551318</v>
      </c>
      <c r="F24" s="26">
        <f t="shared" si="1"/>
        <v>1.479240264255911</v>
      </c>
      <c r="G24" s="30">
        <f t="shared" si="2"/>
        <v>0.04195966557554198</v>
      </c>
      <c r="H24" s="28"/>
      <c r="I24" s="28"/>
      <c r="J24" s="28"/>
      <c r="K24" s="28"/>
      <c r="L24" s="28"/>
      <c r="M24" s="28"/>
      <c r="N24" s="28"/>
      <c r="P24" s="59"/>
      <c r="Q24" s="59"/>
      <c r="R24" s="80"/>
      <c r="S24" s="80"/>
      <c r="T24" s="80"/>
      <c r="U24" s="60"/>
      <c r="V24" s="60"/>
      <c r="W24" s="60"/>
      <c r="X24" s="60"/>
    </row>
    <row r="25" spans="1:24" ht="12.75">
      <c r="A25" s="9" t="s">
        <v>150</v>
      </c>
      <c r="B25" s="14" t="s">
        <v>171</v>
      </c>
      <c r="C25" s="82">
        <v>1330358</v>
      </c>
      <c r="D25" s="82">
        <v>1150000</v>
      </c>
      <c r="E25" s="84">
        <f t="shared" si="0"/>
        <v>180358</v>
      </c>
      <c r="F25" s="26">
        <f t="shared" si="1"/>
        <v>1.1568330434782608</v>
      </c>
      <c r="G25" s="30">
        <f t="shared" si="2"/>
        <v>0.041945075983895415</v>
      </c>
      <c r="H25" s="28"/>
      <c r="I25" s="28"/>
      <c r="J25" s="28"/>
      <c r="K25" s="28"/>
      <c r="L25" s="28"/>
      <c r="M25" s="28"/>
      <c r="N25" s="28"/>
      <c r="P25" s="59"/>
      <c r="Q25" s="59"/>
      <c r="R25" s="80"/>
      <c r="S25" s="80"/>
      <c r="T25" s="80"/>
      <c r="U25" s="60"/>
      <c r="V25" s="60"/>
      <c r="W25" s="60"/>
      <c r="X25" s="60"/>
    </row>
    <row r="26" spans="1:24" ht="12.75">
      <c r="A26" s="9" t="s">
        <v>152</v>
      </c>
      <c r="B26" s="14" t="s">
        <v>172</v>
      </c>
      <c r="C26" s="82">
        <v>253947</v>
      </c>
      <c r="D26" s="82">
        <v>100000</v>
      </c>
      <c r="E26" s="84">
        <f t="shared" si="0"/>
        <v>153947</v>
      </c>
      <c r="F26" s="26">
        <f t="shared" si="1"/>
        <v>2.53947</v>
      </c>
      <c r="G26" s="30">
        <f t="shared" si="2"/>
        <v>0.0036473979116430793</v>
      </c>
      <c r="H26" s="28"/>
      <c r="I26" s="28"/>
      <c r="J26" s="28"/>
      <c r="K26" s="28"/>
      <c r="L26" s="28"/>
      <c r="M26" s="28"/>
      <c r="N26" s="28"/>
      <c r="P26" s="59"/>
      <c r="Q26" s="59"/>
      <c r="R26" s="80"/>
      <c r="S26" s="80"/>
      <c r="T26" s="80"/>
      <c r="U26" s="60"/>
      <c r="V26" s="60"/>
      <c r="W26" s="60"/>
      <c r="X26" s="60"/>
    </row>
    <row r="27" spans="1:24" ht="12.75">
      <c r="A27" s="9" t="s">
        <v>153</v>
      </c>
      <c r="B27" s="14" t="s">
        <v>173</v>
      </c>
      <c r="C27" s="82">
        <v>59013</v>
      </c>
      <c r="D27" s="82">
        <v>0</v>
      </c>
      <c r="E27" s="84">
        <f t="shared" si="0"/>
        <v>59013</v>
      </c>
      <c r="F27" s="26"/>
      <c r="G27" s="30">
        <f t="shared" si="2"/>
        <v>0</v>
      </c>
      <c r="H27" s="28"/>
      <c r="I27" s="28"/>
      <c r="J27" s="28"/>
      <c r="K27" s="28"/>
      <c r="L27" s="28"/>
      <c r="M27" s="28"/>
      <c r="N27" s="28"/>
      <c r="P27" s="59"/>
      <c r="Q27" s="59"/>
      <c r="R27" s="80"/>
      <c r="S27" s="80"/>
      <c r="T27" s="80"/>
      <c r="U27" s="60"/>
      <c r="V27" s="60"/>
      <c r="W27" s="60"/>
      <c r="X27" s="60"/>
    </row>
    <row r="28" spans="1:24" ht="12.75">
      <c r="A28" s="9" t="s">
        <v>154</v>
      </c>
      <c r="B28" s="81" t="s">
        <v>174</v>
      </c>
      <c r="C28" s="82">
        <v>0</v>
      </c>
      <c r="D28" s="82">
        <v>0</v>
      </c>
      <c r="E28" s="84">
        <f t="shared" si="0"/>
        <v>0</v>
      </c>
      <c r="F28" s="26"/>
      <c r="G28" s="30">
        <f t="shared" si="2"/>
        <v>0</v>
      </c>
      <c r="H28" s="28"/>
      <c r="I28" s="28"/>
      <c r="J28" s="28"/>
      <c r="K28" s="28"/>
      <c r="L28" s="28"/>
      <c r="M28" s="28"/>
      <c r="N28" s="28"/>
      <c r="P28" s="59"/>
      <c r="U28" s="60"/>
      <c r="V28" s="60"/>
      <c r="W28" s="60"/>
      <c r="X28" s="60"/>
    </row>
    <row r="29" spans="1:24" ht="12.75">
      <c r="A29" s="9" t="s">
        <v>155</v>
      </c>
      <c r="B29" s="81" t="s">
        <v>89</v>
      </c>
      <c r="C29" s="82">
        <v>140932</v>
      </c>
      <c r="D29" s="82">
        <v>80000</v>
      </c>
      <c r="E29" s="84">
        <f t="shared" si="0"/>
        <v>60932</v>
      </c>
      <c r="F29" s="26">
        <f t="shared" si="1"/>
        <v>1.76165</v>
      </c>
      <c r="G29" s="30">
        <f t="shared" si="2"/>
        <v>0.0029179183293144635</v>
      </c>
      <c r="H29" s="28"/>
      <c r="I29" s="28"/>
      <c r="J29" s="28"/>
      <c r="K29" s="28"/>
      <c r="L29" s="28"/>
      <c r="M29" s="28"/>
      <c r="N29" s="28"/>
      <c r="P29" s="59"/>
      <c r="U29" s="60"/>
      <c r="V29" s="60"/>
      <c r="W29" s="60"/>
      <c r="X29" s="60"/>
    </row>
    <row r="30" spans="1:24" ht="12.75">
      <c r="A30" s="9" t="s">
        <v>156</v>
      </c>
      <c r="B30" s="81" t="s">
        <v>90</v>
      </c>
      <c r="C30" s="82">
        <v>576684</v>
      </c>
      <c r="D30" s="82">
        <v>0</v>
      </c>
      <c r="E30" s="84">
        <f t="shared" si="0"/>
        <v>576684</v>
      </c>
      <c r="F30" s="26"/>
      <c r="G30" s="30">
        <f t="shared" si="2"/>
        <v>0</v>
      </c>
      <c r="H30" s="28"/>
      <c r="I30" s="28"/>
      <c r="J30" s="28"/>
      <c r="K30" s="28"/>
      <c r="L30" s="28"/>
      <c r="M30" s="28"/>
      <c r="N30" s="28"/>
      <c r="P30" s="59"/>
      <c r="U30" s="60"/>
      <c r="V30" s="60"/>
      <c r="W30" s="60"/>
      <c r="X30" s="60"/>
    </row>
    <row r="31" spans="1:24" ht="12.75">
      <c r="A31" s="9" t="s">
        <v>157</v>
      </c>
      <c r="B31" s="81" t="s">
        <v>91</v>
      </c>
      <c r="C31" s="82">
        <v>339773</v>
      </c>
      <c r="D31" s="82">
        <v>154999.5</v>
      </c>
      <c r="E31" s="84">
        <f t="shared" si="0"/>
        <v>184773.5</v>
      </c>
      <c r="F31" s="26">
        <f t="shared" si="1"/>
        <v>2.192090942228846</v>
      </c>
      <c r="G31" s="30">
        <f t="shared" si="2"/>
        <v>0.0056534485260572144</v>
      </c>
      <c r="H31" s="28"/>
      <c r="I31" s="28"/>
      <c r="J31" s="28"/>
      <c r="K31" s="28"/>
      <c r="L31" s="28"/>
      <c r="M31" s="28"/>
      <c r="N31" s="28"/>
      <c r="P31" s="59"/>
      <c r="U31" s="60"/>
      <c r="V31" s="60"/>
      <c r="W31" s="60"/>
      <c r="X31" s="60"/>
    </row>
    <row r="32" spans="1:24" ht="12.75" customHeight="1">
      <c r="A32" s="9" t="s">
        <v>158</v>
      </c>
      <c r="B32" s="81" t="s">
        <v>175</v>
      </c>
      <c r="C32" s="82">
        <v>1127337</v>
      </c>
      <c r="D32" s="82">
        <v>650000</v>
      </c>
      <c r="E32" s="84">
        <f t="shared" si="0"/>
        <v>477337</v>
      </c>
      <c r="F32" s="26">
        <f t="shared" si="1"/>
        <v>1.7343646153846153</v>
      </c>
      <c r="G32" s="30">
        <f t="shared" si="2"/>
        <v>0.023708086425680015</v>
      </c>
      <c r="H32" s="28"/>
      <c r="I32" s="28"/>
      <c r="J32" s="28"/>
      <c r="K32" s="28"/>
      <c r="L32" s="28"/>
      <c r="M32" s="28"/>
      <c r="N32" s="28"/>
      <c r="P32" s="7"/>
      <c r="U32" s="7"/>
      <c r="V32" s="7"/>
      <c r="W32" s="7"/>
      <c r="X32" s="7"/>
    </row>
    <row r="33" spans="1:14" ht="12.75">
      <c r="A33" s="9" t="s">
        <v>159</v>
      </c>
      <c r="B33" s="14" t="s">
        <v>176</v>
      </c>
      <c r="C33" s="82">
        <v>4601</v>
      </c>
      <c r="D33" s="82">
        <v>0</v>
      </c>
      <c r="E33" s="84">
        <f t="shared" si="0"/>
        <v>4601</v>
      </c>
      <c r="F33" s="26"/>
      <c r="G33" s="30">
        <f t="shared" si="2"/>
        <v>0</v>
      </c>
      <c r="H33" s="28"/>
      <c r="I33" s="28"/>
      <c r="J33" s="28"/>
      <c r="K33" s="28"/>
      <c r="L33" s="28"/>
      <c r="M33" s="28"/>
      <c r="N33" s="28"/>
    </row>
    <row r="34" spans="1:14" ht="12.75">
      <c r="A34" s="17" t="s">
        <v>160</v>
      </c>
      <c r="B34" s="23" t="s">
        <v>177</v>
      </c>
      <c r="C34" s="83">
        <v>61018</v>
      </c>
      <c r="D34" s="83">
        <v>100000</v>
      </c>
      <c r="E34" s="84">
        <f t="shared" si="0"/>
        <v>-38982</v>
      </c>
      <c r="F34" s="62">
        <f t="shared" si="1"/>
        <v>0.61018</v>
      </c>
      <c r="G34" s="62">
        <f t="shared" si="2"/>
        <v>0.0036473979116430793</v>
      </c>
      <c r="H34" s="28"/>
      <c r="I34" s="28"/>
      <c r="J34" s="28"/>
      <c r="K34" s="28"/>
      <c r="L34" s="28"/>
      <c r="M34" s="28"/>
      <c r="N34" s="28"/>
    </row>
    <row r="35" spans="1:14" ht="12.75">
      <c r="A35" s="24"/>
      <c r="B35" s="25" t="s">
        <v>31</v>
      </c>
      <c r="C35" s="34">
        <f>SUM(C15:C34)</f>
        <v>14407116</v>
      </c>
      <c r="D35" s="34">
        <f>SUM(D15:D34)</f>
        <v>15509098.74</v>
      </c>
      <c r="E35" s="34">
        <f>SUM(E15:E34)</f>
        <v>-1101982.7400000002</v>
      </c>
      <c r="F35" s="32">
        <f t="shared" si="1"/>
        <v>0.928946049124193</v>
      </c>
      <c r="G35" s="35"/>
      <c r="H35" s="28"/>
      <c r="I35" s="28"/>
      <c r="J35" s="28"/>
      <c r="K35" s="28"/>
      <c r="L35" s="28"/>
      <c r="M35" s="28"/>
      <c r="N35" s="28"/>
    </row>
    <row r="36" spans="1:14" ht="12.75">
      <c r="A36" s="24"/>
      <c r="B36" s="25" t="s">
        <v>161</v>
      </c>
      <c r="C36" s="34">
        <f>C15</f>
        <v>3137371</v>
      </c>
      <c r="D36" s="34">
        <f>D15</f>
        <v>5999999.5</v>
      </c>
      <c r="E36" s="34">
        <f>E15</f>
        <v>-2862628.5</v>
      </c>
      <c r="F36" s="35"/>
      <c r="G36" s="35"/>
      <c r="H36" s="28"/>
      <c r="I36" s="28"/>
      <c r="J36" s="28"/>
      <c r="K36" s="28"/>
      <c r="L36" s="28"/>
      <c r="M36" s="28"/>
      <c r="N36" s="28"/>
    </row>
    <row r="37" spans="1:14" ht="12.75">
      <c r="A37" s="24"/>
      <c r="B37" s="25" t="s">
        <v>162</v>
      </c>
      <c r="C37" s="34">
        <f>C35-C36</f>
        <v>11269745</v>
      </c>
      <c r="D37" s="34">
        <f>D35-D36</f>
        <v>9509099.24</v>
      </c>
      <c r="E37" s="34">
        <f>E35-E36</f>
        <v>1760645.7599999998</v>
      </c>
      <c r="F37" s="36">
        <f>C37/D37</f>
        <v>1.1851537896033146</v>
      </c>
      <c r="G37" s="35"/>
      <c r="H37" s="28"/>
      <c r="I37" s="28"/>
      <c r="J37" s="28"/>
      <c r="K37" s="28"/>
      <c r="L37" s="28"/>
      <c r="M37" s="28"/>
      <c r="N37" s="28"/>
    </row>
    <row r="38" spans="1:14" ht="12.75">
      <c r="A38" s="24"/>
      <c r="B38" s="89"/>
      <c r="C38" s="90"/>
      <c r="D38" s="90"/>
      <c r="E38" s="90"/>
      <c r="F38" s="73"/>
      <c r="G38" s="35"/>
      <c r="H38" s="28"/>
      <c r="I38" s="28"/>
      <c r="J38" s="28"/>
      <c r="K38" s="28"/>
      <c r="L38" s="28"/>
      <c r="M38" s="28"/>
      <c r="N38" s="28"/>
    </row>
    <row r="39" spans="1:14" ht="12.75">
      <c r="A39" s="24"/>
      <c r="B39" s="89"/>
      <c r="C39" s="90"/>
      <c r="D39" s="90"/>
      <c r="E39" s="90"/>
      <c r="F39" s="73"/>
      <c r="G39" s="35"/>
      <c r="H39" s="28"/>
      <c r="I39" s="28"/>
      <c r="J39" s="28"/>
      <c r="K39" s="28"/>
      <c r="L39" s="28"/>
      <c r="M39" s="28"/>
      <c r="N39" s="28"/>
    </row>
    <row r="40" spans="1:14" ht="15.75" customHeight="1">
      <c r="A40" s="24"/>
      <c r="B40" s="89"/>
      <c r="C40" s="90"/>
      <c r="D40" s="90"/>
      <c r="E40" s="90"/>
      <c r="F40" s="73"/>
      <c r="G40" s="35"/>
      <c r="H40" s="28"/>
      <c r="I40" s="28"/>
      <c r="J40" s="28"/>
      <c r="K40" s="28"/>
      <c r="L40" s="28"/>
      <c r="M40" s="28"/>
      <c r="N40" s="28"/>
    </row>
    <row r="41" spans="1:14" ht="15.75" customHeight="1">
      <c r="A41" s="24"/>
      <c r="B41" s="89"/>
      <c r="C41" s="90"/>
      <c r="D41" s="90"/>
      <c r="E41" s="90"/>
      <c r="F41" s="73"/>
      <c r="G41" s="35"/>
      <c r="H41" s="28"/>
      <c r="I41" s="28"/>
      <c r="J41" s="28"/>
      <c r="K41" s="28"/>
      <c r="L41" s="28"/>
      <c r="M41" s="28"/>
      <c r="N41" s="28"/>
    </row>
    <row r="42" spans="1:14" ht="15.75" customHeight="1">
      <c r="A42" s="212" t="s">
        <v>71</v>
      </c>
      <c r="B42" s="212"/>
      <c r="C42" s="212"/>
      <c r="D42" s="212"/>
      <c r="E42" s="212"/>
      <c r="F42" s="212"/>
      <c r="G42" s="212"/>
      <c r="H42" s="212"/>
      <c r="I42" s="212"/>
      <c r="J42" s="212"/>
      <c r="K42" s="212"/>
      <c r="L42" s="212"/>
      <c r="M42" s="212"/>
      <c r="N42" s="212"/>
    </row>
    <row r="43" spans="1:14" ht="15.75" customHeight="1">
      <c r="A43" s="212" t="str">
        <f>A2</f>
        <v>Case No. 2015-00418</v>
      </c>
      <c r="B43" s="212"/>
      <c r="C43" s="212"/>
      <c r="D43" s="212"/>
      <c r="E43" s="212"/>
      <c r="F43" s="212"/>
      <c r="G43" s="212"/>
      <c r="H43" s="212"/>
      <c r="I43" s="212"/>
      <c r="J43" s="212"/>
      <c r="K43" s="212"/>
      <c r="L43" s="212"/>
      <c r="M43" s="212"/>
      <c r="N43" s="212"/>
    </row>
    <row r="44" spans="1:14" ht="15.75" customHeight="1">
      <c r="A44" s="212" t="s">
        <v>74</v>
      </c>
      <c r="B44" s="212"/>
      <c r="C44" s="212"/>
      <c r="D44" s="212"/>
      <c r="E44" s="212"/>
      <c r="F44" s="212"/>
      <c r="G44" s="212"/>
      <c r="H44" s="212"/>
      <c r="I44" s="212"/>
      <c r="J44" s="212"/>
      <c r="K44" s="212"/>
      <c r="L44" s="212"/>
      <c r="M44" s="212"/>
      <c r="N44" s="212"/>
    </row>
    <row r="45" spans="4:5" ht="15.75" customHeight="1">
      <c r="D45" s="3" t="s">
        <v>1</v>
      </c>
      <c r="E45" s="99">
        <f>E4</f>
        <v>2007</v>
      </c>
    </row>
    <row r="46" spans="1:12" ht="15.75" customHeight="1">
      <c r="A46" s="2" t="s">
        <v>2</v>
      </c>
      <c r="L46" s="2" t="s">
        <v>73</v>
      </c>
    </row>
    <row r="47" spans="1:12" ht="15.75" customHeight="1">
      <c r="A47" s="2" t="s">
        <v>3</v>
      </c>
      <c r="L47" s="2"/>
    </row>
    <row r="48" ht="15.75" customHeight="1">
      <c r="L48" s="2" t="s">
        <v>4</v>
      </c>
    </row>
    <row r="49" spans="12:13" ht="15.75" customHeight="1">
      <c r="L49" s="4" t="s">
        <v>312</v>
      </c>
      <c r="M49" s="4"/>
    </row>
    <row r="50" ht="15.75" customHeight="1"/>
    <row r="51" ht="15.75" customHeight="1"/>
    <row r="52" spans="1:14" ht="15.75" customHeight="1">
      <c r="A52" s="8"/>
      <c r="B52" s="12"/>
      <c r="C52" s="12"/>
      <c r="D52" s="12"/>
      <c r="E52" s="12"/>
      <c r="F52" s="12"/>
      <c r="G52" s="12"/>
      <c r="H52" s="12" t="s">
        <v>8</v>
      </c>
      <c r="I52" s="12" t="s">
        <v>8</v>
      </c>
      <c r="J52" s="12"/>
      <c r="K52" s="12" t="s">
        <v>9</v>
      </c>
      <c r="L52" s="12" t="s">
        <v>9</v>
      </c>
      <c r="M52" s="12"/>
      <c r="N52" s="12"/>
    </row>
    <row r="53" spans="1:14" ht="12.75">
      <c r="A53" s="9"/>
      <c r="B53" s="15"/>
      <c r="C53" s="15"/>
      <c r="D53" s="15" t="s">
        <v>12</v>
      </c>
      <c r="E53" s="15"/>
      <c r="F53" s="15"/>
      <c r="G53" s="15" t="s">
        <v>13</v>
      </c>
      <c r="H53" s="15" t="s">
        <v>14</v>
      </c>
      <c r="I53" s="15" t="s">
        <v>15</v>
      </c>
      <c r="J53" s="15"/>
      <c r="K53" s="15" t="s">
        <v>16</v>
      </c>
      <c r="L53" s="15" t="s">
        <v>16</v>
      </c>
      <c r="M53" s="15" t="s">
        <v>9</v>
      </c>
      <c r="N53" s="15" t="s">
        <v>9</v>
      </c>
    </row>
    <row r="54" spans="1:14" ht="12.75">
      <c r="A54" s="9"/>
      <c r="B54" s="15"/>
      <c r="C54" s="15" t="s">
        <v>12</v>
      </c>
      <c r="D54" s="15" t="s">
        <v>16</v>
      </c>
      <c r="E54" s="15" t="s">
        <v>22</v>
      </c>
      <c r="F54" s="15" t="s">
        <v>22</v>
      </c>
      <c r="G54" s="15" t="s">
        <v>23</v>
      </c>
      <c r="H54" s="15" t="s">
        <v>24</v>
      </c>
      <c r="I54" s="15" t="s">
        <v>24</v>
      </c>
      <c r="J54" s="15"/>
      <c r="K54" s="15" t="s">
        <v>15</v>
      </c>
      <c r="L54" s="15" t="s">
        <v>15</v>
      </c>
      <c r="M54" s="15" t="s">
        <v>14</v>
      </c>
      <c r="N54" s="15" t="s">
        <v>14</v>
      </c>
    </row>
    <row r="55" spans="1:14" ht="12.75">
      <c r="A55" s="17" t="s">
        <v>25</v>
      </c>
      <c r="B55" s="20" t="s">
        <v>26</v>
      </c>
      <c r="C55" s="20" t="s">
        <v>14</v>
      </c>
      <c r="D55" s="20" t="s">
        <v>15</v>
      </c>
      <c r="E55" s="20" t="s">
        <v>27</v>
      </c>
      <c r="F55" s="20" t="s">
        <v>13</v>
      </c>
      <c r="G55" s="20" t="s">
        <v>15</v>
      </c>
      <c r="H55" s="20" t="s">
        <v>28</v>
      </c>
      <c r="I55" s="20" t="s">
        <v>28</v>
      </c>
      <c r="J55" s="20" t="s">
        <v>22</v>
      </c>
      <c r="K55" s="20" t="s">
        <v>29</v>
      </c>
      <c r="L55" s="20" t="s">
        <v>30</v>
      </c>
      <c r="M55" s="20" t="s">
        <v>29</v>
      </c>
      <c r="N55" s="20" t="s">
        <v>30</v>
      </c>
    </row>
    <row r="56" spans="1:14" ht="12.75">
      <c r="A56" s="50"/>
      <c r="B56" s="51" t="s">
        <v>17</v>
      </c>
      <c r="C56" s="52"/>
      <c r="D56" s="52"/>
      <c r="E56" s="52"/>
      <c r="F56" s="53"/>
      <c r="G56" s="53"/>
      <c r="H56" s="54"/>
      <c r="I56" s="54"/>
      <c r="J56" s="54"/>
      <c r="K56" s="54"/>
      <c r="L56" s="54"/>
      <c r="M56" s="54"/>
      <c r="N56" s="54"/>
    </row>
    <row r="57" spans="1:14" ht="12.75">
      <c r="A57" s="66" t="s">
        <v>48</v>
      </c>
      <c r="B57" s="64" t="s">
        <v>53</v>
      </c>
      <c r="C57" s="84">
        <v>5976</v>
      </c>
      <c r="D57" s="84">
        <v>0</v>
      </c>
      <c r="E57" s="85">
        <f>C57-D57</f>
        <v>5976</v>
      </c>
      <c r="F57" s="30"/>
      <c r="G57" s="30">
        <f aca="true" t="shared" si="3" ref="G57:G83">D57/(D$35+D$85)</f>
        <v>0</v>
      </c>
      <c r="H57" s="29"/>
      <c r="I57" s="29"/>
      <c r="J57" s="38">
        <f>H57-I57</f>
        <v>0</v>
      </c>
      <c r="K57" s="40">
        <v>36892</v>
      </c>
      <c r="L57" s="40">
        <v>38322</v>
      </c>
      <c r="M57" s="40">
        <v>36923</v>
      </c>
      <c r="N57" s="46">
        <v>38687</v>
      </c>
    </row>
    <row r="58" spans="1:14" ht="12.75">
      <c r="A58" s="66" t="s">
        <v>49</v>
      </c>
      <c r="B58" s="64" t="s">
        <v>54</v>
      </c>
      <c r="C58" s="84">
        <v>-215782</v>
      </c>
      <c r="D58" s="84">
        <v>0</v>
      </c>
      <c r="E58" s="85">
        <f aca="true" t="shared" si="4" ref="E58:E83">C58-D58</f>
        <v>-215782</v>
      </c>
      <c r="F58" s="30"/>
      <c r="G58" s="87">
        <f t="shared" si="3"/>
        <v>0</v>
      </c>
      <c r="H58" s="29"/>
      <c r="I58" s="29"/>
      <c r="J58" s="38">
        <f aca="true" t="shared" si="5" ref="J58:J83">H58-I58</f>
        <v>0</v>
      </c>
      <c r="K58" s="40">
        <v>36892</v>
      </c>
      <c r="L58" s="40">
        <v>37226</v>
      </c>
      <c r="M58" s="40">
        <v>36892</v>
      </c>
      <c r="N58" s="46">
        <v>37316</v>
      </c>
    </row>
    <row r="59" spans="1:14" ht="12.75">
      <c r="A59" s="69" t="s">
        <v>56</v>
      </c>
      <c r="B59" s="70" t="s">
        <v>62</v>
      </c>
      <c r="C59" s="84">
        <v>6402.54</v>
      </c>
      <c r="D59" s="84">
        <v>0</v>
      </c>
      <c r="E59" s="85">
        <f t="shared" si="4"/>
        <v>6402.54</v>
      </c>
      <c r="F59" s="30"/>
      <c r="G59" s="49">
        <f t="shared" si="3"/>
        <v>0</v>
      </c>
      <c r="H59" s="29"/>
      <c r="I59" s="29"/>
      <c r="J59" s="38">
        <f t="shared" si="5"/>
        <v>0</v>
      </c>
      <c r="K59" s="42">
        <v>37347</v>
      </c>
      <c r="L59" s="40">
        <v>37956</v>
      </c>
      <c r="M59" s="40">
        <v>37316</v>
      </c>
      <c r="N59" s="46"/>
    </row>
    <row r="60" spans="1:14" ht="12.75">
      <c r="A60" s="72" t="s">
        <v>57</v>
      </c>
      <c r="B60" s="70" t="s">
        <v>72</v>
      </c>
      <c r="C60" s="84">
        <v>-97.16</v>
      </c>
      <c r="D60" s="84">
        <v>0</v>
      </c>
      <c r="E60" s="85">
        <f t="shared" si="4"/>
        <v>-97.16</v>
      </c>
      <c r="F60" s="30"/>
      <c r="G60" s="49">
        <f t="shared" si="3"/>
        <v>0</v>
      </c>
      <c r="H60" s="29"/>
      <c r="I60" s="29"/>
      <c r="J60" s="38">
        <f t="shared" si="5"/>
        <v>0</v>
      </c>
      <c r="K60" s="40">
        <v>37257</v>
      </c>
      <c r="L60" s="40">
        <v>37591</v>
      </c>
      <c r="M60" s="40">
        <v>37257</v>
      </c>
      <c r="N60" s="46">
        <v>37561</v>
      </c>
    </row>
    <row r="61" spans="1:14" ht="12.75">
      <c r="A61" s="69" t="s">
        <v>59</v>
      </c>
      <c r="B61" s="70" t="s">
        <v>68</v>
      </c>
      <c r="C61" s="84">
        <v>694808</v>
      </c>
      <c r="D61" s="84">
        <v>0</v>
      </c>
      <c r="E61" s="85">
        <f t="shared" si="4"/>
        <v>694808</v>
      </c>
      <c r="F61" s="30"/>
      <c r="G61" s="49">
        <f t="shared" si="3"/>
        <v>0</v>
      </c>
      <c r="H61" s="29"/>
      <c r="I61" s="29"/>
      <c r="J61" s="38">
        <f t="shared" si="5"/>
        <v>0</v>
      </c>
      <c r="K61" s="42">
        <v>37347</v>
      </c>
      <c r="L61" s="40">
        <v>37956</v>
      </c>
      <c r="M61" s="40">
        <v>37043</v>
      </c>
      <c r="N61" s="46"/>
    </row>
    <row r="62" spans="1:14" ht="12.75">
      <c r="A62" s="69" t="s">
        <v>63</v>
      </c>
      <c r="B62" s="70" t="s">
        <v>69</v>
      </c>
      <c r="C62" s="84">
        <v>-16010.01</v>
      </c>
      <c r="D62" s="84">
        <v>0</v>
      </c>
      <c r="E62" s="85">
        <f t="shared" si="4"/>
        <v>-16010.01</v>
      </c>
      <c r="F62" s="30"/>
      <c r="G62" s="49">
        <f t="shared" si="3"/>
        <v>0</v>
      </c>
      <c r="H62" s="29"/>
      <c r="I62" s="29"/>
      <c r="J62" s="38">
        <f t="shared" si="5"/>
        <v>0</v>
      </c>
      <c r="K62" s="40">
        <v>37742</v>
      </c>
      <c r="L62" s="40">
        <v>38687</v>
      </c>
      <c r="M62" s="40">
        <v>37803</v>
      </c>
      <c r="N62" s="46">
        <v>38687</v>
      </c>
    </row>
    <row r="63" spans="1:14" ht="12.75">
      <c r="A63" s="72" t="s">
        <v>98</v>
      </c>
      <c r="B63" s="70" t="s">
        <v>101</v>
      </c>
      <c r="C63" s="84">
        <f>1011756-7172</f>
        <v>1004584</v>
      </c>
      <c r="D63" s="84">
        <v>0</v>
      </c>
      <c r="E63" s="84">
        <f t="shared" si="4"/>
        <v>1004584</v>
      </c>
      <c r="F63" s="30"/>
      <c r="G63" s="87">
        <f t="shared" si="3"/>
        <v>0</v>
      </c>
      <c r="H63" s="29"/>
      <c r="I63" s="29"/>
      <c r="J63" s="38">
        <f t="shared" si="5"/>
        <v>0</v>
      </c>
      <c r="K63" s="40">
        <v>37987</v>
      </c>
      <c r="L63" s="101" t="s">
        <v>183</v>
      </c>
      <c r="M63" s="101" t="s">
        <v>137</v>
      </c>
      <c r="N63" s="102" t="s">
        <v>137</v>
      </c>
    </row>
    <row r="64" spans="1:14" ht="12.75">
      <c r="A64" s="72" t="s">
        <v>99</v>
      </c>
      <c r="B64" s="70" t="s">
        <v>100</v>
      </c>
      <c r="C64" s="84">
        <v>1232752</v>
      </c>
      <c r="D64" s="84">
        <v>440000</v>
      </c>
      <c r="E64" s="84">
        <f t="shared" si="4"/>
        <v>792752</v>
      </c>
      <c r="F64" s="30">
        <f>C64/D64</f>
        <v>2.8017090909090907</v>
      </c>
      <c r="G64" s="87">
        <f t="shared" si="3"/>
        <v>0.01604855081122955</v>
      </c>
      <c r="H64" s="29"/>
      <c r="I64" s="98"/>
      <c r="J64" s="38">
        <f t="shared" si="5"/>
        <v>0</v>
      </c>
      <c r="K64" s="40">
        <v>38261</v>
      </c>
      <c r="L64" s="40">
        <v>39417</v>
      </c>
      <c r="M64" s="40">
        <v>38261</v>
      </c>
      <c r="N64" s="46"/>
    </row>
    <row r="65" spans="1:14" ht="12.75">
      <c r="A65" s="72" t="s">
        <v>97</v>
      </c>
      <c r="B65" s="70" t="s">
        <v>96</v>
      </c>
      <c r="C65" s="84">
        <v>-278.43</v>
      </c>
      <c r="D65" s="84">
        <v>0</v>
      </c>
      <c r="E65" s="84">
        <f t="shared" si="4"/>
        <v>-278.43</v>
      </c>
      <c r="F65" s="30"/>
      <c r="G65" s="87">
        <f t="shared" si="3"/>
        <v>0</v>
      </c>
      <c r="H65" s="29"/>
      <c r="I65" s="29"/>
      <c r="J65" s="38">
        <v>0</v>
      </c>
      <c r="K65" s="40">
        <v>37987</v>
      </c>
      <c r="L65" s="40">
        <v>38322</v>
      </c>
      <c r="M65" s="40">
        <v>37987</v>
      </c>
      <c r="N65" s="46">
        <v>38718</v>
      </c>
    </row>
    <row r="66" spans="1:14" ht="12.75">
      <c r="A66" s="72" t="s">
        <v>108</v>
      </c>
      <c r="B66" s="70" t="s">
        <v>102</v>
      </c>
      <c r="C66" s="84">
        <v>0</v>
      </c>
      <c r="D66" s="84">
        <v>0</v>
      </c>
      <c r="E66" s="84">
        <f t="shared" si="4"/>
        <v>0</v>
      </c>
      <c r="F66" s="30"/>
      <c r="G66" s="87">
        <f t="shared" si="3"/>
        <v>0</v>
      </c>
      <c r="H66" s="29"/>
      <c r="I66" s="29"/>
      <c r="J66" s="38">
        <f t="shared" si="5"/>
        <v>0</v>
      </c>
      <c r="K66" s="40">
        <v>38534</v>
      </c>
      <c r="L66" s="40">
        <v>39417</v>
      </c>
      <c r="M66" s="40"/>
      <c r="N66" s="46"/>
    </row>
    <row r="67" spans="1:14" ht="12.75">
      <c r="A67" s="72" t="s">
        <v>106</v>
      </c>
      <c r="B67" s="70" t="s">
        <v>107</v>
      </c>
      <c r="C67" s="84">
        <v>68037</v>
      </c>
      <c r="D67" s="84">
        <v>0</v>
      </c>
      <c r="E67" s="84">
        <f t="shared" si="4"/>
        <v>68037</v>
      </c>
      <c r="F67" s="30"/>
      <c r="G67" s="87">
        <f t="shared" si="3"/>
        <v>0</v>
      </c>
      <c r="H67" s="29"/>
      <c r="I67" s="29"/>
      <c r="J67" s="38">
        <f t="shared" si="5"/>
        <v>0</v>
      </c>
      <c r="K67" s="40">
        <v>38443</v>
      </c>
      <c r="L67" s="40">
        <v>39417</v>
      </c>
      <c r="M67" s="40">
        <v>38565</v>
      </c>
      <c r="N67" s="46">
        <v>39052</v>
      </c>
    </row>
    <row r="68" spans="1:14" ht="12.75">
      <c r="A68" s="72" t="s">
        <v>104</v>
      </c>
      <c r="B68" s="70" t="s">
        <v>105</v>
      </c>
      <c r="C68" s="84">
        <v>801015</v>
      </c>
      <c r="D68" s="84">
        <v>553000</v>
      </c>
      <c r="E68" s="84">
        <f t="shared" si="4"/>
        <v>248015</v>
      </c>
      <c r="F68" s="30">
        <f>C68/D68</f>
        <v>1.448490054249548</v>
      </c>
      <c r="G68" s="87">
        <f t="shared" si="3"/>
        <v>0.02017011045138623</v>
      </c>
      <c r="H68" s="29"/>
      <c r="I68" s="29"/>
      <c r="J68" s="38">
        <f t="shared" si="5"/>
        <v>0</v>
      </c>
      <c r="K68" s="40">
        <v>38443</v>
      </c>
      <c r="L68" s="40">
        <v>39052</v>
      </c>
      <c r="M68" s="40">
        <v>38443</v>
      </c>
      <c r="N68" s="46"/>
    </row>
    <row r="69" spans="1:14" ht="12.75">
      <c r="A69" s="72" t="s">
        <v>114</v>
      </c>
      <c r="B69" s="70" t="s">
        <v>115</v>
      </c>
      <c r="C69" s="84">
        <v>1544166</v>
      </c>
      <c r="D69" s="84">
        <v>711000</v>
      </c>
      <c r="E69" s="84">
        <f t="shared" si="4"/>
        <v>833166</v>
      </c>
      <c r="F69" s="30">
        <f>C69/D69</f>
        <v>2.1718227848101264</v>
      </c>
      <c r="G69" s="87">
        <f t="shared" si="3"/>
        <v>0.025932999151782293</v>
      </c>
      <c r="H69" s="29"/>
      <c r="I69" s="29"/>
      <c r="J69" s="38">
        <f t="shared" si="5"/>
        <v>0</v>
      </c>
      <c r="K69" s="40">
        <v>38443</v>
      </c>
      <c r="L69" s="40">
        <v>39783</v>
      </c>
      <c r="M69" s="40">
        <v>38443</v>
      </c>
      <c r="N69" s="46"/>
    </row>
    <row r="70" spans="1:14" ht="12.75">
      <c r="A70" s="72" t="s">
        <v>131</v>
      </c>
      <c r="B70" s="70" t="s">
        <v>132</v>
      </c>
      <c r="C70" s="84">
        <v>211772</v>
      </c>
      <c r="D70" s="84">
        <v>150000</v>
      </c>
      <c r="E70" s="84">
        <f t="shared" si="4"/>
        <v>61772</v>
      </c>
      <c r="F70" s="30">
        <f>C70/D70</f>
        <v>1.4118133333333334</v>
      </c>
      <c r="G70" s="87">
        <f t="shared" si="3"/>
        <v>0.005471096867464619</v>
      </c>
      <c r="H70" s="29">
        <v>488756</v>
      </c>
      <c r="I70" s="29">
        <v>480000</v>
      </c>
      <c r="J70" s="38">
        <f t="shared" si="5"/>
        <v>8756</v>
      </c>
      <c r="K70" s="40">
        <v>38687</v>
      </c>
      <c r="L70" s="40">
        <v>39022</v>
      </c>
      <c r="M70" s="40">
        <v>38869</v>
      </c>
      <c r="N70" s="46">
        <v>39326</v>
      </c>
    </row>
    <row r="71" spans="1:14" ht="12.75">
      <c r="A71" s="72" t="s">
        <v>116</v>
      </c>
      <c r="B71" s="70" t="s">
        <v>117</v>
      </c>
      <c r="C71" s="84">
        <v>5064222</v>
      </c>
      <c r="D71" s="84">
        <v>3800000</v>
      </c>
      <c r="E71" s="84">
        <f t="shared" si="4"/>
        <v>1264222</v>
      </c>
      <c r="F71" s="30">
        <f>C71/D71</f>
        <v>1.33269</v>
      </c>
      <c r="G71" s="87">
        <f t="shared" si="3"/>
        <v>0.13860112064243701</v>
      </c>
      <c r="H71" s="29"/>
      <c r="I71" s="29"/>
      <c r="J71" s="38">
        <f t="shared" si="5"/>
        <v>0</v>
      </c>
      <c r="K71" s="40">
        <v>38687</v>
      </c>
      <c r="L71" s="40">
        <v>39264</v>
      </c>
      <c r="M71" s="40">
        <v>38687</v>
      </c>
      <c r="N71" s="46"/>
    </row>
    <row r="72" spans="1:14" ht="12.75">
      <c r="A72" s="72" t="s">
        <v>118</v>
      </c>
      <c r="B72" s="70" t="s">
        <v>120</v>
      </c>
      <c r="C72" s="84">
        <v>89096</v>
      </c>
      <c r="D72" s="84">
        <v>0</v>
      </c>
      <c r="E72" s="84">
        <f t="shared" si="4"/>
        <v>89096</v>
      </c>
      <c r="F72" s="30"/>
      <c r="G72" s="87">
        <f t="shared" si="3"/>
        <v>0</v>
      </c>
      <c r="H72" s="29"/>
      <c r="I72" s="29"/>
      <c r="J72" s="38">
        <f t="shared" si="5"/>
        <v>0</v>
      </c>
      <c r="K72" s="40">
        <v>38718</v>
      </c>
      <c r="L72" s="40">
        <v>39052</v>
      </c>
      <c r="M72" s="40">
        <v>38718</v>
      </c>
      <c r="N72" s="46">
        <v>39052</v>
      </c>
    </row>
    <row r="73" spans="1:14" ht="12.75">
      <c r="A73" s="72" t="s">
        <v>119</v>
      </c>
      <c r="B73" s="70" t="s">
        <v>121</v>
      </c>
      <c r="C73" s="84">
        <v>6319.59</v>
      </c>
      <c r="D73" s="84">
        <v>0</v>
      </c>
      <c r="E73" s="84">
        <f t="shared" si="4"/>
        <v>6319.59</v>
      </c>
      <c r="F73" s="30"/>
      <c r="G73" s="87">
        <f t="shared" si="3"/>
        <v>0</v>
      </c>
      <c r="H73" s="29"/>
      <c r="I73" s="29"/>
      <c r="J73" s="38">
        <f t="shared" si="5"/>
        <v>0</v>
      </c>
      <c r="K73" s="40">
        <v>38777</v>
      </c>
      <c r="L73" s="40">
        <v>39326</v>
      </c>
      <c r="M73" s="40">
        <v>38930</v>
      </c>
      <c r="N73" s="46"/>
    </row>
    <row r="74" spans="1:14" ht="12.75">
      <c r="A74" s="72" t="s">
        <v>130</v>
      </c>
      <c r="B74" s="70" t="s">
        <v>136</v>
      </c>
      <c r="C74" s="84">
        <v>163461</v>
      </c>
      <c r="D74" s="84">
        <v>0</v>
      </c>
      <c r="E74" s="84">
        <f t="shared" si="4"/>
        <v>163461</v>
      </c>
      <c r="F74" s="30"/>
      <c r="G74" s="87">
        <f t="shared" si="3"/>
        <v>0</v>
      </c>
      <c r="H74" s="29">
        <v>610985</v>
      </c>
      <c r="I74" s="29">
        <v>500000</v>
      </c>
      <c r="J74" s="38">
        <f t="shared" si="5"/>
        <v>110985</v>
      </c>
      <c r="K74" s="40">
        <v>38749</v>
      </c>
      <c r="L74" s="40">
        <v>39052</v>
      </c>
      <c r="M74" s="40">
        <v>38808</v>
      </c>
      <c r="N74" s="46">
        <v>39387</v>
      </c>
    </row>
    <row r="75" spans="1:14" ht="12.75">
      <c r="A75" s="72" t="s">
        <v>122</v>
      </c>
      <c r="B75" s="70" t="s">
        <v>123</v>
      </c>
      <c r="C75" s="84">
        <v>82191</v>
      </c>
      <c r="D75" s="84">
        <v>0</v>
      </c>
      <c r="E75" s="84">
        <f t="shared" si="4"/>
        <v>82191</v>
      </c>
      <c r="F75" s="30"/>
      <c r="G75" s="87">
        <f t="shared" si="3"/>
        <v>0</v>
      </c>
      <c r="H75" s="29">
        <v>332155</v>
      </c>
      <c r="I75" s="29">
        <v>325000</v>
      </c>
      <c r="J75" s="38">
        <f t="shared" si="5"/>
        <v>7155</v>
      </c>
      <c r="K75" s="40">
        <v>38718</v>
      </c>
      <c r="L75" s="40">
        <v>39022</v>
      </c>
      <c r="M75" s="40">
        <v>38777</v>
      </c>
      <c r="N75" s="46">
        <v>39295</v>
      </c>
    </row>
    <row r="76" spans="1:14" ht="12.75">
      <c r="A76" s="72" t="s">
        <v>124</v>
      </c>
      <c r="B76" s="70" t="s">
        <v>127</v>
      </c>
      <c r="C76" s="84">
        <v>749453</v>
      </c>
      <c r="D76" s="84">
        <v>659000</v>
      </c>
      <c r="E76" s="84">
        <f t="shared" si="4"/>
        <v>90453</v>
      </c>
      <c r="F76" s="30">
        <f aca="true" t="shared" si="6" ref="F76:F83">C76/D76</f>
        <v>1.137257966616085</v>
      </c>
      <c r="G76" s="87">
        <f t="shared" si="3"/>
        <v>0.024036352237727893</v>
      </c>
      <c r="H76" s="29">
        <v>806166</v>
      </c>
      <c r="I76" s="29">
        <v>350000</v>
      </c>
      <c r="J76" s="38">
        <f t="shared" si="5"/>
        <v>456166</v>
      </c>
      <c r="K76" s="40">
        <v>38749</v>
      </c>
      <c r="L76" s="40">
        <v>39052</v>
      </c>
      <c r="M76" s="40">
        <v>38777</v>
      </c>
      <c r="N76" s="46">
        <v>39356</v>
      </c>
    </row>
    <row r="77" spans="1:14" ht="12.75">
      <c r="A77" s="72" t="s">
        <v>125</v>
      </c>
      <c r="B77" s="70" t="s">
        <v>128</v>
      </c>
      <c r="C77" s="84">
        <v>2992224</v>
      </c>
      <c r="D77" s="84">
        <v>3917000</v>
      </c>
      <c r="E77" s="84">
        <f t="shared" si="4"/>
        <v>-924776</v>
      </c>
      <c r="F77" s="30">
        <f t="shared" si="6"/>
        <v>0.7639070717385754</v>
      </c>
      <c r="G77" s="87">
        <f t="shared" si="3"/>
        <v>0.14286857619905943</v>
      </c>
      <c r="H77" s="29"/>
      <c r="I77" s="29"/>
      <c r="J77" s="38">
        <f t="shared" si="5"/>
        <v>0</v>
      </c>
      <c r="K77" s="40">
        <v>38838</v>
      </c>
      <c r="L77" s="40">
        <v>40513</v>
      </c>
      <c r="M77" s="40">
        <v>38838</v>
      </c>
      <c r="N77" s="46"/>
    </row>
    <row r="78" spans="1:14" ht="12.75">
      <c r="A78" s="72" t="s">
        <v>126</v>
      </c>
      <c r="B78" s="70" t="s">
        <v>129</v>
      </c>
      <c r="C78" s="84">
        <v>-48</v>
      </c>
      <c r="D78" s="84">
        <v>100000</v>
      </c>
      <c r="E78" s="84">
        <f t="shared" si="4"/>
        <v>-100048</v>
      </c>
      <c r="F78" s="30">
        <f t="shared" si="6"/>
        <v>-0.00048</v>
      </c>
      <c r="G78" s="30">
        <f t="shared" si="3"/>
        <v>0.0036473979116430793</v>
      </c>
      <c r="H78" s="29"/>
      <c r="I78" s="29"/>
      <c r="J78" s="38">
        <f t="shared" si="5"/>
        <v>0</v>
      </c>
      <c r="K78" s="40">
        <v>38718</v>
      </c>
      <c r="L78" s="40">
        <v>39173</v>
      </c>
      <c r="M78" s="40">
        <v>38899</v>
      </c>
      <c r="N78" s="46"/>
    </row>
    <row r="79" spans="1:14" ht="12.75">
      <c r="A79" s="100">
        <v>12020701</v>
      </c>
      <c r="B79" s="70" t="s">
        <v>182</v>
      </c>
      <c r="C79" s="84">
        <v>56893</v>
      </c>
      <c r="D79" s="84">
        <v>250000</v>
      </c>
      <c r="E79" s="84">
        <f t="shared" si="4"/>
        <v>-193107</v>
      </c>
      <c r="F79" s="30">
        <f t="shared" si="6"/>
        <v>0.227572</v>
      </c>
      <c r="G79" s="30">
        <f t="shared" si="3"/>
        <v>0.009118494779107698</v>
      </c>
      <c r="H79" s="29"/>
      <c r="I79" s="29"/>
      <c r="J79" s="38">
        <f t="shared" si="5"/>
        <v>0</v>
      </c>
      <c r="K79" s="40">
        <v>39083</v>
      </c>
      <c r="L79" s="40">
        <v>40087</v>
      </c>
      <c r="M79" s="40">
        <v>39114</v>
      </c>
      <c r="N79" s="46"/>
    </row>
    <row r="80" spans="1:14" ht="12.75">
      <c r="A80" s="100">
        <v>12020702</v>
      </c>
      <c r="B80" s="70" t="s">
        <v>178</v>
      </c>
      <c r="C80" s="84">
        <v>1811645</v>
      </c>
      <c r="D80" s="84">
        <v>1000000</v>
      </c>
      <c r="E80" s="84">
        <f t="shared" si="4"/>
        <v>811645</v>
      </c>
      <c r="F80" s="30">
        <f t="shared" si="6"/>
        <v>1.811645</v>
      </c>
      <c r="G80" s="30">
        <f t="shared" si="3"/>
        <v>0.03647397911643079</v>
      </c>
      <c r="H80" s="29"/>
      <c r="I80" s="29"/>
      <c r="J80" s="38">
        <f t="shared" si="5"/>
        <v>0</v>
      </c>
      <c r="K80" s="40">
        <v>39083</v>
      </c>
      <c r="L80" s="40">
        <v>39417</v>
      </c>
      <c r="M80" s="40">
        <v>39142</v>
      </c>
      <c r="N80" s="46"/>
    </row>
    <row r="81" spans="1:14" ht="12.75">
      <c r="A81" s="69" t="s">
        <v>184</v>
      </c>
      <c r="B81" s="70" t="s">
        <v>180</v>
      </c>
      <c r="C81" s="84">
        <v>0</v>
      </c>
      <c r="D81" s="84">
        <v>50000</v>
      </c>
      <c r="E81" s="84"/>
      <c r="F81" s="30">
        <f t="shared" si="6"/>
        <v>0</v>
      </c>
      <c r="G81" s="30">
        <f t="shared" si="3"/>
        <v>0.0018236989558215397</v>
      </c>
      <c r="H81" s="29"/>
      <c r="I81" s="29"/>
      <c r="J81" s="38">
        <f t="shared" si="5"/>
        <v>0</v>
      </c>
      <c r="K81" s="40">
        <v>39417</v>
      </c>
      <c r="L81" s="40">
        <v>39965</v>
      </c>
      <c r="M81" s="40">
        <v>39508</v>
      </c>
      <c r="N81" s="46"/>
    </row>
    <row r="82" spans="1:14" ht="12.75">
      <c r="A82" s="72"/>
      <c r="B82" s="70" t="s">
        <v>181</v>
      </c>
      <c r="C82" s="84">
        <v>0</v>
      </c>
      <c r="D82" s="84">
        <v>100000</v>
      </c>
      <c r="E82" s="84"/>
      <c r="F82" s="30">
        <f t="shared" si="6"/>
        <v>0</v>
      </c>
      <c r="G82" s="30">
        <f t="shared" si="3"/>
        <v>0.0036473979116430793</v>
      </c>
      <c r="H82" s="29"/>
      <c r="I82" s="29"/>
      <c r="J82" s="38">
        <f t="shared" si="5"/>
        <v>0</v>
      </c>
      <c r="K82" s="40">
        <v>39203</v>
      </c>
      <c r="L82" s="40">
        <v>39326</v>
      </c>
      <c r="M82" s="40"/>
      <c r="N82" s="46"/>
    </row>
    <row r="83" spans="1:14" ht="12.75">
      <c r="A83" s="65"/>
      <c r="B83" s="64" t="s">
        <v>179</v>
      </c>
      <c r="C83" s="84">
        <v>0</v>
      </c>
      <c r="D83" s="84">
        <v>177707</v>
      </c>
      <c r="E83" s="85">
        <f t="shared" si="4"/>
        <v>-177707</v>
      </c>
      <c r="F83" s="30">
        <f t="shared" si="6"/>
        <v>0</v>
      </c>
      <c r="G83" s="30">
        <f t="shared" si="3"/>
        <v>0.006481681406843567</v>
      </c>
      <c r="H83" s="29"/>
      <c r="I83" s="29"/>
      <c r="J83" s="38">
        <f t="shared" si="5"/>
        <v>0</v>
      </c>
      <c r="K83" s="40">
        <v>39417</v>
      </c>
      <c r="L83" s="40">
        <v>40878</v>
      </c>
      <c r="M83" s="101"/>
      <c r="N83" s="46"/>
    </row>
    <row r="84" spans="1:14" ht="12.75">
      <c r="A84" s="71"/>
      <c r="B84" s="67"/>
      <c r="C84" s="86"/>
      <c r="D84" s="86"/>
      <c r="E84" s="84"/>
      <c r="F84" s="30"/>
      <c r="G84" s="33"/>
      <c r="H84" s="31"/>
      <c r="I84" s="31"/>
      <c r="J84" s="39"/>
      <c r="K84" s="43"/>
      <c r="L84" s="43"/>
      <c r="M84" s="43"/>
      <c r="N84" s="44"/>
    </row>
    <row r="85" spans="3:14" ht="12">
      <c r="C85" s="68">
        <f>SUM(C56:C84)</f>
        <v>16352801.53</v>
      </c>
      <c r="D85" s="34">
        <f>SUM(D56:D84)</f>
        <v>11907707</v>
      </c>
      <c r="E85" s="34">
        <f>SUM(E56:E84)</f>
        <v>4595094.529999999</v>
      </c>
      <c r="F85" s="36">
        <f>C85/D85</f>
        <v>1.373295591670168</v>
      </c>
      <c r="G85" s="35"/>
      <c r="H85" s="28"/>
      <c r="I85" s="28"/>
      <c r="J85" s="28"/>
      <c r="K85" s="28"/>
      <c r="L85" s="28"/>
      <c r="M85" s="28"/>
      <c r="N85" s="28"/>
    </row>
  </sheetData>
  <sheetProtection/>
  <mergeCells count="6">
    <mergeCell ref="A43:N43"/>
    <mergeCell ref="A44:N44"/>
    <mergeCell ref="A1:N1"/>
    <mergeCell ref="A2:N2"/>
    <mergeCell ref="A3:N3"/>
    <mergeCell ref="A42:N42"/>
  </mergeCells>
  <printOptions horizontalCentered="1"/>
  <pageMargins left="0.25" right="0.5" top="1" bottom="0.5" header="0" footer="0"/>
  <pageSetup horizontalDpi="600" verticalDpi="600" orientation="landscape" scale="70" r:id="rId1"/>
  <rowBreaks count="1" manualBreakCount="1">
    <brk id="41" max="255" man="1"/>
  </rowBreaks>
  <colBreaks count="1" manualBreakCount="1">
    <brk id="14" max="65535" man="1"/>
  </colBreaks>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KAW_R_PSCDR1_NUM011_attachment_excel</dc:title>
  <dc:subject/>
  <dc:creator>Ed Grubb</dc:creator>
  <cp:keywords/>
  <dc:description/>
  <cp:lastModifiedBy>bridwelc</cp:lastModifiedBy>
  <cp:lastPrinted>2016-02-09T04:29:42Z</cp:lastPrinted>
  <dcterms:created xsi:type="dcterms:W3CDTF">2000-05-04T17:57:30Z</dcterms:created>
  <dcterms:modified xsi:type="dcterms:W3CDTF">2016-02-09T04:29:59Z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Descripti">
    <vt:lpwstr/>
  </property>
  <property fmtid="{D5CDD505-2E9C-101B-9397-08002B2CF9AE}" pid="4" name="Docket Numb">
    <vt:lpwstr>Case No. 2015-00418-GRC</vt:lpwstr>
  </property>
  <property fmtid="{D5CDD505-2E9C-101B-9397-08002B2CF9AE}" pid="5" name="SERS Doc Stat">
    <vt:lpwstr>Draft</vt:lpwstr>
  </property>
  <property fmtid="{D5CDD505-2E9C-101B-9397-08002B2CF9AE}" pid="6" name="Document Ty">
    <vt:lpwstr/>
  </property>
</Properties>
</file>