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15" windowWidth="24240" windowHeight="11610"/>
  </bookViews>
  <sheets>
    <sheet name="Q6-LGE RS Bill Impact" sheetId="1" r:id="rId1"/>
  </sheets>
  <definedNames>
    <definedName name="_xlnm.Print_Area" localSheetId="0">'Q6-LGE RS Bill Impact'!$A$1:$M$32</definedName>
  </definedNames>
  <calcPr calcId="152511"/>
</workbook>
</file>

<file path=xl/calcChain.xml><?xml version="1.0" encoding="utf-8"?>
<calcChain xmlns="http://schemas.openxmlformats.org/spreadsheetml/2006/main">
  <c r="E23" i="1" l="1"/>
  <c r="J23" i="1" l="1"/>
  <c r="J22" i="1"/>
  <c r="I22" i="1"/>
  <c r="J21" i="1"/>
  <c r="J20" i="1"/>
  <c r="K20" i="1" s="1"/>
  <c r="D27" i="1" l="1"/>
  <c r="E22" i="1" l="1"/>
  <c r="J7" i="1" s="1"/>
  <c r="J15" i="1" l="1"/>
  <c r="J26" i="1" s="1"/>
  <c r="J14" i="1"/>
  <c r="J11" i="1" l="1"/>
  <c r="J10" i="1"/>
  <c r="J6" i="1"/>
  <c r="E18" i="1"/>
  <c r="L19" i="1" s="1"/>
  <c r="K22" i="1" l="1"/>
  <c r="K21" i="1"/>
  <c r="K23" i="1"/>
  <c r="J8" i="1"/>
  <c r="J12" i="1" s="1"/>
  <c r="K24" i="1" l="1"/>
  <c r="K26" i="1" s="1"/>
  <c r="J16" i="1"/>
  <c r="J27" i="1" s="1"/>
  <c r="J28" i="1" l="1"/>
  <c r="K27" i="1"/>
  <c r="K28" i="1" s="1"/>
  <c r="J17" i="1"/>
</calcChain>
</file>

<file path=xl/sharedStrings.xml><?xml version="1.0" encoding="utf-8"?>
<sst xmlns="http://schemas.openxmlformats.org/spreadsheetml/2006/main" count="55" uniqueCount="47">
  <si>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</si>
  <si>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</si>
  <si>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</si>
  <si>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</si>
  <si>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</si>
  <si>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</si>
  <si>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</si>
  <si>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</si>
  <si>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</si>
  <si>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</si>
  <si>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</si>
  <si>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</si>
  <si>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</si>
  <si>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</si>
  <si>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</si>
  <si>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</si>
  <si>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</si>
  <si>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</si>
  <si>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</si>
  <si>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Page 30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</si>
  <si>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</si>
  <si>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</si>
  <si>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</si>
  <si>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</si>
  <si>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</si>
  <si>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</si>
  <si>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</si>
  <si>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</si>
  <si>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</si>
  <si>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</si>
  <si>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</si>
  <si>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</si>
  <si>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</si>
  <si>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</si>
  <si>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</si>
  <si>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</si>
  <si>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</si>
  <si>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</si>
  <si>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</si>
  <si>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</si>
  <si>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</si>
  <si>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Position for Review Period Collection</t>
  </si>
  <si>
    <t>negative number = over collection = distribution</t>
  </si>
  <si>
    <t>Form 1.10 - Line 13</t>
  </si>
  <si>
    <t>Group 1 12-month avg revenue</t>
  </si>
  <si>
    <t>LG&amp;E ECR 6-Month Review Case No. 2015-00021</t>
  </si>
  <si>
    <t>Page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</si>
</sst>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_);\(0.00\)"/>
    <numFmt numFmtId="168" formatCode="0.00000_);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9" fillId="0" borderId="6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righ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6" fontId="3" fillId="0" borderId="0" xfId="3" applyNumberFormat="1" applyFont="1" applyFill="1" applyBorder="1" applyAlignment="1">
      <alignment horizontal="left"/>
    </xf>
    <xf numFmtId="166" fontId="3" fillId="0" borderId="0" xfId="3" applyNumberFormat="1" applyFont="1" applyFill="1" applyBorder="1" applyAlignment="1">
      <alignment horizontal="left" indent="1"/>
    </xf>
    <xf numFmtId="0" fontId="6" fillId="0" borderId="0" xfId="0" applyFont="1" applyFill="1" applyBorder="1"/>
    <xf numFmtId="0" fontId="8" fillId="0" borderId="0" xfId="0" applyFont="1" applyFill="1" applyBorder="1"/>
    <xf numFmtId="164" fontId="9" fillId="0" borderId="0" xfId="3" applyNumberFormat="1" applyFont="1" applyFill="1" applyBorder="1" applyProtection="1">
      <protection locked="0"/>
    </xf>
    <xf numFmtId="165" fontId="9" fillId="0" borderId="0" xfId="0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9" fillId="0" borderId="0" xfId="0" applyFont="1" applyFill="1" applyBorder="1"/>
    <xf numFmtId="0" fontId="10" fillId="0" borderId="0" xfId="3" quotePrefix="1" applyFont="1" applyBorder="1" applyAlignment="1">
      <alignment horizontal="left"/>
    </xf>
    <xf numFmtId="0" fontId="7" fillId="0" borderId="0" xfId="0" quotePrefix="1" applyFont="1" applyAlignment="1" applyProtection="1">
      <alignment horizontal="left"/>
      <protection locked="0"/>
    </xf>
    <xf numFmtId="0" fontId="3" fillId="0" borderId="0" xfId="3" quotePrefix="1" applyFont="1" applyFill="1" applyBorder="1" applyAlignment="1">
      <alignment horizontal="left"/>
    </xf>
    <xf numFmtId="167" fontId="9" fillId="0" borderId="0" xfId="3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</xf>
    <xf numFmtId="41" fontId="9" fillId="0" borderId="0" xfId="0" applyNumberFormat="1" applyFont="1" applyFill="1" applyBorder="1" applyProtection="1">
      <protection locked="0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8"/>
  <sheetViews>
    <sheetView tabSelected="1" view="pageBreakPreview" zoomScaleNormal="100" zoomScaleSheetLayoutView="100" workbookViewId="0"/>
  </sheetViews>
  <sheetFormatPr defaultRowHeight="12.75" x14ac:dyDescent="0.2"/>
  <cols>
    <col min="1" max="1" width="2" style="11" customWidth="1"/>
    <col min="2" max="2" width="2.140625" style="11" customWidth="1"/>
    <col min="3" max="3" width="14.5703125" style="11" bestFit="1" customWidth="1"/>
    <col min="4" max="4" width="28.85546875" style="11" customWidth="1"/>
    <col min="5" max="5" width="12.28515625" style="11" customWidth="1"/>
    <col min="6" max="6" width="2.28515625" style="11" customWidth="1"/>
    <col min="7" max="7" width="3.140625" style="11" customWidth="1"/>
    <col min="8" max="8" width="3.7109375" style="11" customWidth="1"/>
    <col min="9" max="9" width="44.7109375" style="11" bestFit="1" customWidth="1"/>
    <col min="10" max="10" width="11" style="11" customWidth="1"/>
    <col min="11" max="11" width="9.140625" style="11"/>
    <col min="12" max="12" width="11.7109375" style="11" customWidth="1"/>
    <col min="13" max="16384" width="9.140625" style="11"/>
  </cols>
  <sheetData>
    <row r="2" spans="2:19" x14ac:dyDescent="0.2">
      <c r="C2" s="55" t="s">
        <v>45</v>
      </c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7" t="s">
        <v>16</v>
      </c>
      <c r="F4" s="19"/>
      <c r="G4" s="12"/>
      <c r="H4" s="1"/>
      <c r="I4" s="2" t="s">
        <v>32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12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7">
        <v>42309</v>
      </c>
      <c r="F6" s="21"/>
      <c r="G6" s="12"/>
      <c r="H6" s="1"/>
      <c r="I6" s="3" t="s">
        <v>1</v>
      </c>
      <c r="J6" s="4">
        <f>+$E$9</f>
        <v>8200454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48"/>
      <c r="F7" s="21"/>
      <c r="G7" s="12"/>
      <c r="H7" s="1"/>
      <c r="I7" s="6" t="s">
        <v>25</v>
      </c>
      <c r="J7" s="16">
        <f>+$E$22</f>
        <v>-567402.33333333337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23</v>
      </c>
      <c r="D8" s="14"/>
      <c r="E8" s="48"/>
      <c r="F8" s="21"/>
      <c r="G8" s="12"/>
      <c r="H8" s="1"/>
      <c r="I8" s="3" t="s">
        <v>26</v>
      </c>
      <c r="J8" s="4">
        <f>SUM(J6:J7)</f>
        <v>7633051.666666667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56" t="s">
        <v>43</v>
      </c>
      <c r="D9" s="29" t="s">
        <v>1</v>
      </c>
      <c r="E9" s="46">
        <v>8200454</v>
      </c>
      <c r="F9" s="21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56" t="s">
        <v>0</v>
      </c>
      <c r="D10" s="29" t="s">
        <v>3</v>
      </c>
      <c r="E10" s="49">
        <v>0.41799999999999998</v>
      </c>
      <c r="F10" s="21"/>
      <c r="G10" s="12"/>
      <c r="H10" s="1"/>
      <c r="I10" s="3" t="s">
        <v>3</v>
      </c>
      <c r="J10" s="8">
        <f>+$E$10</f>
        <v>0.41799999999999998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56" t="s">
        <v>2</v>
      </c>
      <c r="D11" s="29" t="s">
        <v>28</v>
      </c>
      <c r="E11" s="46">
        <v>3427790</v>
      </c>
      <c r="F11" s="21"/>
      <c r="G11" s="12"/>
      <c r="H11" s="1"/>
      <c r="I11" s="3" t="s">
        <v>4</v>
      </c>
      <c r="J11" s="4">
        <f>+$E$11</f>
        <v>3427790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56" t="s">
        <v>27</v>
      </c>
      <c r="D12" s="62" t="s">
        <v>44</v>
      </c>
      <c r="E12" s="46">
        <v>35214049</v>
      </c>
      <c r="F12" s="21"/>
      <c r="G12" s="12"/>
      <c r="H12" s="1"/>
      <c r="I12" s="3" t="s">
        <v>33</v>
      </c>
      <c r="J12" s="4">
        <f>+J8*J10</f>
        <v>3190615.5966666667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56" t="s">
        <v>5</v>
      </c>
      <c r="D13" s="29" t="s">
        <v>7</v>
      </c>
      <c r="E13" s="49">
        <v>9.7299999999999998E-2</v>
      </c>
      <c r="F13" s="21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44"/>
      <c r="D14" s="12"/>
      <c r="E14" s="48"/>
      <c r="F14" s="21"/>
      <c r="G14" s="12"/>
      <c r="H14" s="1"/>
      <c r="I14" s="3" t="s">
        <v>6</v>
      </c>
      <c r="J14" s="4">
        <f>+E12</f>
        <v>35214049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45" t="s">
        <v>18</v>
      </c>
      <c r="D15" s="12"/>
      <c r="E15" s="47">
        <v>42309</v>
      </c>
      <c r="F15" s="21"/>
      <c r="G15" s="12"/>
      <c r="H15" s="1"/>
      <c r="I15" s="3" t="s">
        <v>35</v>
      </c>
      <c r="J15" s="8">
        <f>+E13</f>
        <v>9.7299999999999998E-2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4" t="s">
        <v>19</v>
      </c>
      <c r="D16" s="12" t="s">
        <v>20</v>
      </c>
      <c r="E16" s="64">
        <v>4136956155</v>
      </c>
      <c r="F16" s="21"/>
      <c r="G16" s="12"/>
      <c r="H16" s="1"/>
      <c r="I16" s="3" t="s">
        <v>34</v>
      </c>
      <c r="J16" s="8">
        <f>ROUND(+J12/$J$14,4)</f>
        <v>9.06E-2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61" t="s">
        <v>46</v>
      </c>
      <c r="D17" s="12" t="s">
        <v>22</v>
      </c>
      <c r="E17" s="64">
        <v>353171</v>
      </c>
      <c r="F17" s="21"/>
      <c r="G17" s="12"/>
      <c r="H17" s="1"/>
      <c r="I17" s="3" t="s">
        <v>37</v>
      </c>
      <c r="J17" s="9">
        <f>+J16-J15</f>
        <v>-6.6999999999999976E-3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44"/>
      <c r="D18" s="12" t="s">
        <v>21</v>
      </c>
      <c r="E18" s="50">
        <f>+E17*12</f>
        <v>4238052</v>
      </c>
      <c r="F18" s="21"/>
      <c r="G18" s="12"/>
      <c r="H18" s="1"/>
      <c r="I18" s="3"/>
      <c r="J18" s="1"/>
      <c r="K18" s="1"/>
      <c r="L18" s="30" t="s">
        <v>36</v>
      </c>
      <c r="M18" s="31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1"/>
      <c r="F19" s="21"/>
      <c r="G19" s="12"/>
      <c r="H19" s="1"/>
      <c r="I19" s="1" t="s">
        <v>8</v>
      </c>
      <c r="J19" s="1"/>
      <c r="K19" s="1"/>
      <c r="L19" s="34">
        <f>ROUND(E16/E18,0)</f>
        <v>976</v>
      </c>
      <c r="M19" s="35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24</v>
      </c>
      <c r="D20" s="12" t="s">
        <v>25</v>
      </c>
      <c r="E20" s="64">
        <v>-1702207</v>
      </c>
      <c r="F20" s="21"/>
      <c r="G20" s="12"/>
      <c r="H20" s="1"/>
      <c r="I20" s="28" t="s">
        <v>40</v>
      </c>
      <c r="J20" s="59">
        <f>+$E$25</f>
        <v>10.75</v>
      </c>
      <c r="K20" s="38">
        <f>+$J$20</f>
        <v>10.75</v>
      </c>
      <c r="L20" s="39"/>
      <c r="M20" s="40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38</v>
      </c>
      <c r="E21" s="64">
        <v>3</v>
      </c>
      <c r="F21" s="21"/>
      <c r="G21" s="12"/>
      <c r="H21" s="1"/>
      <c r="I21" s="28" t="s">
        <v>10</v>
      </c>
      <c r="J21" s="60">
        <f>+E26</f>
        <v>8.0820000000000003E-2</v>
      </c>
      <c r="K21" s="7">
        <f>ROUND(E26*$L$19,2)</f>
        <v>78.88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6" t="s">
        <v>39</v>
      </c>
      <c r="E22" s="52">
        <f>+E20/E21</f>
        <v>-567402.33333333337</v>
      </c>
      <c r="F22" s="21"/>
      <c r="G22" s="12"/>
      <c r="H22" s="1"/>
      <c r="I22" s="43" t="str">
        <f>"FAC for "&amp;TEXT($E$6,"MMM-YY")</f>
        <v>FAC for Nov-15</v>
      </c>
      <c r="J22" s="60">
        <f t="shared" ref="J22:J23" si="0">+E27</f>
        <v>-2.2000000000000001E-4</v>
      </c>
      <c r="K22" s="7">
        <f>ROUND(E27*$L$19,2)</f>
        <v>-0.21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41</v>
      </c>
      <c r="E23" s="63" t="str">
        <f>IF(E20&gt;0,"UNDER","OVER")</f>
        <v>OVER</v>
      </c>
      <c r="F23" s="21"/>
      <c r="G23" s="12"/>
      <c r="H23" s="1"/>
      <c r="I23" s="28" t="s">
        <v>11</v>
      </c>
      <c r="J23" s="60">
        <f t="shared" si="0"/>
        <v>3.5599999999999998E-3</v>
      </c>
      <c r="K23" s="41">
        <f>ROUND(E28*$L$19,2)</f>
        <v>3.47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29</v>
      </c>
      <c r="D24" s="12"/>
      <c r="E24" s="48"/>
      <c r="F24" s="21"/>
      <c r="G24" s="12"/>
      <c r="H24" s="1"/>
      <c r="I24" s="1"/>
      <c r="J24" s="1"/>
      <c r="K24" s="38">
        <f>SUM(K20:K23)</f>
        <v>92.89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30</v>
      </c>
      <c r="D25" s="10" t="s">
        <v>40</v>
      </c>
      <c r="E25" s="57">
        <v>10.75</v>
      </c>
      <c r="F25" s="21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30</v>
      </c>
      <c r="D26" s="10" t="s">
        <v>10</v>
      </c>
      <c r="E26" s="58">
        <v>8.0820000000000003E-2</v>
      </c>
      <c r="F26" s="21"/>
      <c r="G26" s="12"/>
      <c r="H26" s="1"/>
      <c r="I26" s="1" t="s">
        <v>12</v>
      </c>
      <c r="J26" s="9">
        <f>J15</f>
        <v>9.7299999999999998E-2</v>
      </c>
      <c r="K26" s="38">
        <f>ROUND(K24*J26,2)</f>
        <v>9.0399999999999991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31</v>
      </c>
      <c r="D27" s="42" t="str">
        <f>"FAC for "&amp;TEXT($E$6,"MMM-YY")</f>
        <v>FAC for Nov-15</v>
      </c>
      <c r="E27" s="58">
        <v>-2.2000000000000001E-4</v>
      </c>
      <c r="F27" s="21"/>
      <c r="G27" s="12"/>
      <c r="H27" s="1"/>
      <c r="I27" s="1" t="s">
        <v>13</v>
      </c>
      <c r="J27" s="9">
        <f>+J16</f>
        <v>9.06E-2</v>
      </c>
      <c r="K27" s="38">
        <f>ROUND(K24*J27,2)</f>
        <v>8.42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30</v>
      </c>
      <c r="D28" s="10" t="s">
        <v>11</v>
      </c>
      <c r="E28" s="58">
        <v>3.5599999999999998E-3</v>
      </c>
      <c r="F28" s="21"/>
      <c r="G28" s="12"/>
      <c r="H28" s="1"/>
      <c r="I28" s="1" t="s">
        <v>14</v>
      </c>
      <c r="J28" s="9">
        <f>+J27-J26</f>
        <v>-6.6999999999999976E-3</v>
      </c>
      <c r="K28" s="38">
        <f>K27-K26</f>
        <v>-0.61999999999999922</v>
      </c>
      <c r="L28" s="54"/>
      <c r="M28" s="32"/>
      <c r="N28" s="33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53"/>
      <c r="F29" s="21"/>
      <c r="G29" s="12"/>
      <c r="H29" s="1"/>
      <c r="I29" s="1"/>
      <c r="J29" s="54" t="s">
        <v>42</v>
      </c>
      <c r="K29" s="1"/>
      <c r="L29" s="32"/>
      <c r="M29" s="32"/>
      <c r="N29" s="33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26"/>
      <c r="F30" s="24"/>
      <c r="G30" s="12"/>
      <c r="H30" s="1"/>
      <c r="I30" s="1"/>
      <c r="J30" s="32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2"/>
      <c r="D31" s="12"/>
      <c r="E31" s="25"/>
      <c r="F31" s="12"/>
      <c r="G31" s="12"/>
      <c r="H31" s="12"/>
      <c r="I31" s="28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2:19" x14ac:dyDescent="0.2">
      <c r="C32" s="12"/>
      <c r="D32" s="12"/>
      <c r="E32" s="12"/>
      <c r="F32" s="12"/>
      <c r="G32" s="12"/>
      <c r="H32" s="12"/>
      <c r="I32" s="37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9" x14ac:dyDescent="0.2">
      <c r="C36" s="12"/>
      <c r="D36" s="12"/>
      <c r="E36" s="12"/>
      <c r="F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</sheetData>
  <pageMargins left="0.7" right="0.7" top="0.75" bottom="0.75" header="0.3" footer="0.3"/>
  <pageSetup scale="79" orientation="landscape" r:id="rId1"/>
  <headerFooter>
    <oddFooter>&amp;R&amp;"Times New Roman,Bold"Attachment to Response to Question No. 6
Page 1 of 1
Conroy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Q6-LGE RS Bill Impact</vt:lpstr>
      <vt:lpstr>'Q6-LGE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2013-12-31T15:47:28Z</dcterms:created>
  <dcterms:modified xsi:type="dcterms:W3CDTF">2016-01-06T00:25:15Z</dcterms:modified>
</cp:coreProperties>
</file>