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filterPrivacy="1" codeName="ThisWorkbook"/>
  <bookViews>
    <workbookView xWindow="0" yWindow="120" windowWidth="15450" windowHeight="7785" tabRatio="791" activeTab="4"/>
  </bookViews>
  <sheets>
    <sheet name="Q1-Q2 KU Over-Under Calc" sheetId="51" r:id="rId1"/>
    <sheet name="Q2 KU Summary Over-Under" sheetId="52" r:id="rId2"/>
    <sheet name="Q1 - ROR Jun15" sheetId="46" r:id="rId3"/>
    <sheet name="Q1 - KU ROR Aug15" sheetId="14" r:id="rId4"/>
    <sheet name="Q1 - KU ECC Aug15" sheetId="44" r:id="rId5"/>
    <sheet name="Q1 - KU ECC Jun15" sheetId="4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'Q1-Q2 KU Over-Under Calc'!$A$1:$I$15,'Q1-Q2 KU Over-Under Calc'!$K$1:$S$15,'Q1-Q2 KU Over-Under Calc'!$U$1:$AC$15,'Q1-Q2 KU Over-Under Calc'!$AE$1:$AO$15</definedName>
    <definedName name="_xlnm.Print_Area" localSheetId="1">'Q2 KU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X13" i="51" l="1"/>
  <c r="X12" i="51"/>
  <c r="X11" i="51"/>
  <c r="X10" i="51"/>
  <c r="Z10" i="51" s="1"/>
  <c r="AB10" i="51" s="1"/>
  <c r="AF10" i="51" s="1"/>
  <c r="AH10" i="51" s="1"/>
  <c r="AO10" i="51" s="1"/>
  <c r="D25" i="52" s="1"/>
  <c r="X9" i="51"/>
  <c r="X8" i="51"/>
  <c r="B28" i="52"/>
  <c r="C27" i="52"/>
  <c r="B27" i="52"/>
  <c r="C26" i="52"/>
  <c r="B24" i="52"/>
  <c r="C23" i="52"/>
  <c r="B23" i="52"/>
  <c r="E18" i="52"/>
  <c r="F18" i="52" s="1"/>
  <c r="D18" i="52"/>
  <c r="C18" i="52"/>
  <c r="I14" i="52"/>
  <c r="G14" i="52"/>
  <c r="D14" i="52"/>
  <c r="C14" i="52"/>
  <c r="C28" i="52" s="1"/>
  <c r="B14" i="52"/>
  <c r="I13" i="52"/>
  <c r="G13" i="52"/>
  <c r="D13" i="52"/>
  <c r="C13" i="52"/>
  <c r="B13" i="52"/>
  <c r="I12" i="52"/>
  <c r="G12" i="52"/>
  <c r="D12" i="52"/>
  <c r="C12" i="52"/>
  <c r="B12" i="52"/>
  <c r="B26" i="52" s="1"/>
  <c r="I11" i="52"/>
  <c r="G11" i="52"/>
  <c r="D11" i="52"/>
  <c r="C11" i="52"/>
  <c r="C25" i="52" s="1"/>
  <c r="B11" i="52"/>
  <c r="B25" i="52" s="1"/>
  <c r="I10" i="52"/>
  <c r="G10" i="52"/>
  <c r="D10" i="52"/>
  <c r="C10" i="52"/>
  <c r="C24" i="52" s="1"/>
  <c r="B10" i="52"/>
  <c r="I9" i="52"/>
  <c r="G9" i="52"/>
  <c r="D9" i="52"/>
  <c r="C9" i="52"/>
  <c r="B9" i="52"/>
  <c r="E5" i="52"/>
  <c r="F5" i="52" s="1"/>
  <c r="G5" i="52" s="1"/>
  <c r="H5" i="52" s="1"/>
  <c r="I5" i="52" s="1"/>
  <c r="J5" i="52" s="1"/>
  <c r="D5" i="52"/>
  <c r="C5" i="52"/>
  <c r="AN14" i="51"/>
  <c r="AM14" i="51"/>
  <c r="AK14" i="51"/>
  <c r="AL13" i="51"/>
  <c r="AE13" i="51"/>
  <c r="Z13" i="51"/>
  <c r="W13" i="51"/>
  <c r="U13" i="51"/>
  <c r="R13" i="51"/>
  <c r="AA13" i="51" s="1"/>
  <c r="P13" i="51"/>
  <c r="N13" i="51"/>
  <c r="E14" i="52" s="1"/>
  <c r="F14" i="52" s="1"/>
  <c r="H14" i="52" s="1"/>
  <c r="J14" i="52" s="1"/>
  <c r="E28" i="52" s="1"/>
  <c r="M13" i="51"/>
  <c r="L13" i="51"/>
  <c r="K13" i="51"/>
  <c r="I13" i="51"/>
  <c r="G13" i="51"/>
  <c r="F13" i="51"/>
  <c r="AL12" i="51"/>
  <c r="AE12" i="51"/>
  <c r="W12" i="51"/>
  <c r="Z12" i="51" s="1"/>
  <c r="AB12" i="51" s="1"/>
  <c r="AF12" i="51" s="1"/>
  <c r="AH12" i="51" s="1"/>
  <c r="AO12" i="51" s="1"/>
  <c r="D27" i="52" s="1"/>
  <c r="U12" i="51"/>
  <c r="R12" i="51"/>
  <c r="AA12" i="51" s="1"/>
  <c r="P12" i="51"/>
  <c r="N12" i="51"/>
  <c r="O12" i="51" s="1"/>
  <c r="Q12" i="51" s="1"/>
  <c r="M12" i="51"/>
  <c r="L12" i="51"/>
  <c r="K12" i="51"/>
  <c r="G12" i="51"/>
  <c r="I12" i="51" s="1"/>
  <c r="F12" i="51"/>
  <c r="AL11" i="51"/>
  <c r="AA11" i="51"/>
  <c r="W11" i="51"/>
  <c r="Z11" i="51" s="1"/>
  <c r="AB11" i="51" s="1"/>
  <c r="AF11" i="51" s="1"/>
  <c r="AH11" i="51" s="1"/>
  <c r="AO11" i="51" s="1"/>
  <c r="D26" i="52" s="1"/>
  <c r="R11" i="51"/>
  <c r="P11" i="51"/>
  <c r="N11" i="51"/>
  <c r="E12" i="52" s="1"/>
  <c r="F12" i="52" s="1"/>
  <c r="H12" i="52" s="1"/>
  <c r="J12" i="52" s="1"/>
  <c r="E26" i="52" s="1"/>
  <c r="M11" i="51"/>
  <c r="O11" i="51" s="1"/>
  <c r="Q11" i="51" s="1"/>
  <c r="S11" i="51" s="1"/>
  <c r="L11" i="51"/>
  <c r="U11" i="51" s="1"/>
  <c r="AE11" i="51" s="1"/>
  <c r="K11" i="51"/>
  <c r="F11" i="51"/>
  <c r="G11" i="51" s="1"/>
  <c r="I11" i="51" s="1"/>
  <c r="AL10" i="51"/>
  <c r="AA10" i="51"/>
  <c r="W10" i="51"/>
  <c r="R10" i="51"/>
  <c r="P10" i="51"/>
  <c r="M10" i="51"/>
  <c r="L10" i="51"/>
  <c r="U10" i="51" s="1"/>
  <c r="AE10" i="51" s="1"/>
  <c r="K10" i="51"/>
  <c r="F10" i="51"/>
  <c r="G10" i="51" s="1"/>
  <c r="I10" i="51" s="1"/>
  <c r="AL9" i="51"/>
  <c r="AE9" i="51"/>
  <c r="Z9" i="51"/>
  <c r="AB9" i="51" s="1"/>
  <c r="AF9" i="51" s="1"/>
  <c r="AH9" i="51" s="1"/>
  <c r="AO9" i="51" s="1"/>
  <c r="D24" i="52" s="1"/>
  <c r="W9" i="51"/>
  <c r="U9" i="51"/>
  <c r="R9" i="51"/>
  <c r="AA9" i="51" s="1"/>
  <c r="P9" i="51"/>
  <c r="N9" i="51"/>
  <c r="E10" i="52" s="1"/>
  <c r="F10" i="52" s="1"/>
  <c r="H10" i="52" s="1"/>
  <c r="J10" i="52" s="1"/>
  <c r="E24" i="52" s="1"/>
  <c r="M9" i="51"/>
  <c r="L9" i="51"/>
  <c r="K9" i="51"/>
  <c r="I9" i="51"/>
  <c r="G9" i="51"/>
  <c r="F9" i="51"/>
  <c r="AL8" i="51"/>
  <c r="AE8" i="51"/>
  <c r="W8" i="51"/>
  <c r="Z8" i="51" s="1"/>
  <c r="AB8" i="51" s="1"/>
  <c r="AF8" i="51" s="1"/>
  <c r="AH8" i="51" s="1"/>
  <c r="U8" i="51"/>
  <c r="R8" i="51"/>
  <c r="AA8" i="51" s="1"/>
  <c r="P8" i="51"/>
  <c r="N8" i="51"/>
  <c r="O8" i="51" s="1"/>
  <c r="Q8" i="51" s="1"/>
  <c r="M8" i="51"/>
  <c r="L8" i="51"/>
  <c r="K8" i="51"/>
  <c r="G8" i="51"/>
  <c r="F8" i="51"/>
  <c r="K3" i="51"/>
  <c r="N10" i="51" l="1"/>
  <c r="F24" i="52"/>
  <c r="F27" i="52"/>
  <c r="G14" i="51"/>
  <c r="AO8" i="51"/>
  <c r="F26" i="52"/>
  <c r="AB13" i="51"/>
  <c r="AF13" i="51" s="1"/>
  <c r="AH13" i="51" s="1"/>
  <c r="AO13" i="51" s="1"/>
  <c r="D28" i="52" s="1"/>
  <c r="F28" i="52" s="1"/>
  <c r="I8" i="51"/>
  <c r="I14" i="51" s="1"/>
  <c r="O9" i="51"/>
  <c r="Q9" i="51" s="1"/>
  <c r="S9" i="51" s="1"/>
  <c r="O13" i="51"/>
  <c r="Q13" i="51" s="1"/>
  <c r="S13" i="51"/>
  <c r="E9" i="52"/>
  <c r="F9" i="52" s="1"/>
  <c r="H9" i="52" s="1"/>
  <c r="E13" i="52"/>
  <c r="F13" i="52" s="1"/>
  <c r="H13" i="52" s="1"/>
  <c r="J13" i="52" s="1"/>
  <c r="E27" i="52" s="1"/>
  <c r="S8" i="51"/>
  <c r="S12" i="51"/>
  <c r="AH14" i="51" l="1"/>
  <c r="O10" i="51"/>
  <c r="Q10" i="51" s="1"/>
  <c r="S10" i="51" s="1"/>
  <c r="E11" i="52"/>
  <c r="F11" i="52" s="1"/>
  <c r="H11" i="52" s="1"/>
  <c r="J11" i="52" s="1"/>
  <c r="E25" i="52" s="1"/>
  <c r="F25" i="52" s="1"/>
  <c r="J9" i="52"/>
  <c r="H15" i="52"/>
  <c r="AO14" i="51"/>
  <c r="D23" i="52"/>
  <c r="S14" i="51"/>
  <c r="Q14" i="51"/>
  <c r="E23" i="52" l="1"/>
  <c r="E29" i="52" s="1"/>
  <c r="G37" i="52" s="1"/>
  <c r="J15" i="52"/>
  <c r="D29" i="52"/>
  <c r="H35" i="52" s="1"/>
  <c r="F23" i="52" l="1"/>
  <c r="F29" i="52" s="1"/>
  <c r="G38" i="52" s="1"/>
  <c r="H40" i="52" s="1"/>
  <c r="H42" i="52" s="1"/>
  <c r="H16" i="46" l="1"/>
  <c r="P16" i="46"/>
  <c r="P15" i="46"/>
  <c r="Q35" i="45" l="1"/>
  <c r="O61" i="45" l="1"/>
  <c r="M61" i="45"/>
  <c r="J61" i="45"/>
  <c r="F61" i="45"/>
  <c r="C14" i="46" s="1"/>
  <c r="H58" i="45"/>
  <c r="Q58" i="45" s="1"/>
  <c r="S58" i="45" s="1"/>
  <c r="S57" i="45"/>
  <c r="H57" i="45"/>
  <c r="Q57" i="45" s="1"/>
  <c r="S56" i="45"/>
  <c r="H56" i="45"/>
  <c r="Q43" i="45"/>
  <c r="O43" i="45"/>
  <c r="M43" i="45"/>
  <c r="J43" i="45"/>
  <c r="H43" i="45"/>
  <c r="F43" i="45"/>
  <c r="O39" i="45"/>
  <c r="M39" i="45"/>
  <c r="J39" i="45"/>
  <c r="F39" i="45"/>
  <c r="F45" i="45" s="1"/>
  <c r="C15" i="46" s="1"/>
  <c r="Q37" i="45"/>
  <c r="Q36" i="45"/>
  <c r="Q33" i="45"/>
  <c r="S33" i="45" s="1"/>
  <c r="Q32" i="45"/>
  <c r="S32" i="45" s="1"/>
  <c r="H31" i="45"/>
  <c r="Q31" i="45" s="1"/>
  <c r="S31" i="45" s="1"/>
  <c r="Q30" i="45"/>
  <c r="S30" i="45" s="1"/>
  <c r="H29" i="45"/>
  <c r="Q29" i="45" s="1"/>
  <c r="S29" i="45" s="1"/>
  <c r="Q28" i="45"/>
  <c r="S28" i="45" s="1"/>
  <c r="H27" i="45"/>
  <c r="Q27" i="45" s="1"/>
  <c r="S27" i="45" s="1"/>
  <c r="Q26" i="45"/>
  <c r="S26" i="45" s="1"/>
  <c r="H25" i="45"/>
  <c r="Q25" i="45" s="1"/>
  <c r="S25" i="45" s="1"/>
  <c r="Q22" i="45"/>
  <c r="H21" i="45"/>
  <c r="Q21" i="45" s="1"/>
  <c r="S21" i="45" s="1"/>
  <c r="H20" i="45"/>
  <c r="Q20" i="45" s="1"/>
  <c r="S20" i="45" s="1"/>
  <c r="H19" i="45"/>
  <c r="Q19" i="45" s="1"/>
  <c r="S19" i="45" s="1"/>
  <c r="H18" i="45"/>
  <c r="Q18" i="45" s="1"/>
  <c r="S18" i="45" s="1"/>
  <c r="H17" i="45"/>
  <c r="Q17" i="45" s="1"/>
  <c r="S17" i="45" s="1"/>
  <c r="H16" i="45"/>
  <c r="Q16" i="45" s="1"/>
  <c r="S16" i="45" s="1"/>
  <c r="H15" i="45"/>
  <c r="Q15" i="45" s="1"/>
  <c r="S15" i="45" s="1"/>
  <c r="H14" i="45"/>
  <c r="Q14" i="45" s="1"/>
  <c r="S14" i="45" s="1"/>
  <c r="H13" i="45"/>
  <c r="Q13" i="45" s="1"/>
  <c r="S13" i="45" s="1"/>
  <c r="H12" i="45"/>
  <c r="H11" i="45"/>
  <c r="Q11" i="45" s="1"/>
  <c r="S11" i="45" s="1"/>
  <c r="O45" i="45" l="1"/>
  <c r="O64" i="45" s="1"/>
  <c r="C17" i="46"/>
  <c r="F14" i="46" s="1"/>
  <c r="J45" i="45"/>
  <c r="J64" i="45" s="1"/>
  <c r="H61" i="45"/>
  <c r="F64" i="45"/>
  <c r="M45" i="45"/>
  <c r="M64" i="45" s="1"/>
  <c r="H39" i="45"/>
  <c r="H45" i="45" s="1"/>
  <c r="S43" i="45"/>
  <c r="Q12" i="45"/>
  <c r="Q56" i="45"/>
  <c r="Q61" i="45" s="1"/>
  <c r="S61" i="45" s="1"/>
  <c r="P28" i="46" s="1"/>
  <c r="O60" i="44"/>
  <c r="M60" i="44"/>
  <c r="J60" i="44"/>
  <c r="H57" i="44"/>
  <c r="Q57" i="44" s="1"/>
  <c r="S57" i="44" s="1"/>
  <c r="S56" i="44"/>
  <c r="H56" i="44"/>
  <c r="Q56" i="44" s="1"/>
  <c r="S55" i="44"/>
  <c r="Q42" i="44"/>
  <c r="O42" i="44"/>
  <c r="M42" i="44"/>
  <c r="J42" i="44"/>
  <c r="H42" i="44"/>
  <c r="F42" i="44"/>
  <c r="Q33" i="44"/>
  <c r="S33" i="44" s="1"/>
  <c r="Q32" i="44"/>
  <c r="H31" i="44"/>
  <c r="Q30" i="44"/>
  <c r="H29" i="44"/>
  <c r="Q28" i="44"/>
  <c r="H27" i="44"/>
  <c r="Q26" i="44"/>
  <c r="F38" i="44"/>
  <c r="H25" i="44"/>
  <c r="Q25" i="44" s="1"/>
  <c r="S25" i="44" s="1"/>
  <c r="Q22" i="44"/>
  <c r="H21" i="44"/>
  <c r="H20" i="44"/>
  <c r="H19" i="44"/>
  <c r="H18" i="44"/>
  <c r="H17" i="44"/>
  <c r="H16" i="44"/>
  <c r="H15" i="44"/>
  <c r="H14" i="44"/>
  <c r="H13" i="44"/>
  <c r="H12" i="44"/>
  <c r="H11" i="44"/>
  <c r="H64" i="45" l="1"/>
  <c r="F15" i="46"/>
  <c r="J15" i="46" s="1"/>
  <c r="L15" i="46" s="1"/>
  <c r="N15" i="46" s="1"/>
  <c r="R15" i="46" s="1"/>
  <c r="C29" i="46" s="1"/>
  <c r="S12" i="45"/>
  <c r="Q39" i="45"/>
  <c r="Q19" i="44"/>
  <c r="S19" i="44" s="1"/>
  <c r="Q29" i="44"/>
  <c r="S29" i="44" s="1"/>
  <c r="Q31" i="44"/>
  <c r="S31" i="44" s="1"/>
  <c r="F44" i="44"/>
  <c r="C15" i="14" s="1"/>
  <c r="M38" i="44"/>
  <c r="M44" i="44" s="1"/>
  <c r="M63" i="44" s="1"/>
  <c r="H38" i="44"/>
  <c r="H44" i="44" s="1"/>
  <c r="S26" i="44"/>
  <c r="S28" i="44"/>
  <c r="Q36" i="44"/>
  <c r="Q27" i="44"/>
  <c r="S27" i="44" s="1"/>
  <c r="S30" i="44"/>
  <c r="S32" i="44"/>
  <c r="Q21" i="44"/>
  <c r="S21" i="44" s="1"/>
  <c r="Q12" i="44"/>
  <c r="S12" i="44" s="1"/>
  <c r="Q13" i="44"/>
  <c r="S13" i="44" s="1"/>
  <c r="Q14" i="44"/>
  <c r="S14" i="44" s="1"/>
  <c r="Q20" i="44"/>
  <c r="S20" i="44" s="1"/>
  <c r="O38" i="44"/>
  <c r="O44" i="44" s="1"/>
  <c r="O63" i="44" s="1"/>
  <c r="Q35" i="44"/>
  <c r="J38" i="44"/>
  <c r="J44" i="44" s="1"/>
  <c r="J63" i="44" s="1"/>
  <c r="Q15" i="44"/>
  <c r="S15" i="44" s="1"/>
  <c r="Q16" i="44"/>
  <c r="S16" i="44" s="1"/>
  <c r="Q17" i="44"/>
  <c r="S17" i="44" s="1"/>
  <c r="Q18" i="44"/>
  <c r="S18" i="44" s="1"/>
  <c r="Q11" i="44"/>
  <c r="H55" i="44"/>
  <c r="F60" i="44"/>
  <c r="C14" i="14" s="1"/>
  <c r="Q45" i="45" l="1"/>
  <c r="S39" i="45"/>
  <c r="S42" i="44"/>
  <c r="H60" i="44"/>
  <c r="H63" i="44" s="1"/>
  <c r="Q55" i="44"/>
  <c r="Q60" i="44" s="1"/>
  <c r="S60" i="44" s="1"/>
  <c r="P28" i="14" s="1"/>
  <c r="F63" i="44"/>
  <c r="Q38" i="44"/>
  <c r="S11" i="44"/>
  <c r="S45" i="45" l="1"/>
  <c r="P29" i="46" s="1"/>
  <c r="Q64" i="45"/>
  <c r="S64" i="45" s="1"/>
  <c r="Q44" i="44"/>
  <c r="S38" i="44"/>
  <c r="S44" i="44" l="1"/>
  <c r="P29" i="14" s="1"/>
  <c r="Q63" i="44"/>
  <c r="S63" i="44" s="1"/>
  <c r="H16" i="14" l="1"/>
  <c r="P15" i="14" l="1"/>
  <c r="P16" i="14" l="1"/>
  <c r="C17" i="14" l="1"/>
  <c r="J15" i="14" l="1"/>
  <c r="J14" i="14"/>
  <c r="J16" i="14" l="1"/>
  <c r="L14" i="14"/>
  <c r="N14" i="14" s="1"/>
  <c r="R14" i="14" s="1"/>
  <c r="C28" i="14" s="1"/>
  <c r="F16" i="14"/>
  <c r="F17" i="14" s="1"/>
  <c r="L15" i="14"/>
  <c r="N15" i="14" s="1"/>
  <c r="R15" i="14" s="1"/>
  <c r="C29" i="14" s="1"/>
  <c r="L16" i="14" l="1"/>
  <c r="N16" i="14" s="1"/>
  <c r="N17" i="14" s="1"/>
  <c r="R16" i="14" l="1"/>
  <c r="R17" i="14" s="1"/>
  <c r="L17" i="14"/>
  <c r="C30" i="14" l="1"/>
  <c r="C31" i="14" l="1"/>
  <c r="F29" i="14" s="1"/>
  <c r="F28" i="14" l="1"/>
  <c r="J28" i="14" s="1"/>
  <c r="H29" i="14"/>
  <c r="J29" i="14"/>
  <c r="F30" i="14" l="1"/>
  <c r="F31" i="14" s="1"/>
  <c r="H28" i="14"/>
  <c r="L28" i="14" s="1"/>
  <c r="J30" i="14"/>
  <c r="L29" i="14"/>
  <c r="H30" i="14" l="1"/>
  <c r="L30" i="14" s="1"/>
  <c r="L31" i="14" s="1"/>
  <c r="N29" i="14" s="1"/>
  <c r="R29" i="14" s="1"/>
  <c r="N28" i="14" l="1"/>
  <c r="N30" i="14" s="1"/>
  <c r="R30" i="14" s="1"/>
  <c r="R28" i="14" l="1"/>
  <c r="N31" i="14"/>
  <c r="R31" i="14" l="1"/>
  <c r="R32" i="14" s="1"/>
  <c r="F16" i="46" l="1"/>
  <c r="F17" i="46" s="1"/>
  <c r="J14" i="46"/>
  <c r="L14" i="46" s="1"/>
  <c r="J16" i="46" l="1"/>
  <c r="L16" i="46" s="1"/>
  <c r="N16" i="46" s="1"/>
  <c r="R16" i="46" s="1"/>
  <c r="C30" i="46" s="1"/>
  <c r="N14" i="46"/>
  <c r="L17" i="46" l="1"/>
  <c r="N17" i="46"/>
  <c r="R14" i="46"/>
  <c r="R17" i="46" l="1"/>
  <c r="C28" i="46"/>
  <c r="C31" i="46" l="1"/>
  <c r="F29" i="46" s="1"/>
  <c r="J29" i="46" l="1"/>
  <c r="H29" i="46"/>
  <c r="F28" i="46"/>
  <c r="L29" i="46" l="1"/>
  <c r="J28" i="46"/>
  <c r="J30" i="46" s="1"/>
  <c r="H28" i="46"/>
  <c r="F30" i="46"/>
  <c r="F31" i="46" s="1"/>
  <c r="H30" i="46" l="1"/>
  <c r="L30" i="46" s="1"/>
  <c r="L28" i="46"/>
  <c r="L31" i="46" l="1"/>
  <c r="N29" i="46" s="1"/>
  <c r="R29" i="46" s="1"/>
  <c r="N28" i="46" l="1"/>
  <c r="N30" i="46" s="1"/>
  <c r="R30" i="46" s="1"/>
  <c r="R28" i="46" l="1"/>
  <c r="N31" i="46"/>
  <c r="R31" i="46" l="1"/>
  <c r="R32" i="46" s="1"/>
</calcChain>
</file>

<file path=xl/sharedStrings.xml><?xml version="1.0" encoding="utf-8"?>
<sst xmlns="http://schemas.openxmlformats.org/spreadsheetml/2006/main" count="488" uniqueCount="206">
  <si>
    <t>Environmental</t>
  </si>
  <si>
    <t>Rate Base</t>
  </si>
  <si>
    <t>Jurisdictional</t>
  </si>
  <si>
    <t>Adjustments</t>
  </si>
  <si>
    <t>to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</si>
  <si>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</si>
  <si>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</si>
  <si>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</si>
  <si>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</si>
  <si>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</si>
  <si>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</si>
  <si>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</si>
  <si>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</si>
  <si>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</si>
  <si>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</si>
  <si>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</si>
  <si>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</si>
  <si>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</si>
  <si>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</si>
  <si>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</si>
  <si>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</si>
  <si>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</si>
  <si>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</si>
  <si>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</si>
  <si>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</si>
  <si>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</si>
  <si>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</si>
  <si>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</si>
  <si>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</si>
  <si>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</si>
  <si>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</si>
  <si>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</si>
  <si>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</si>
  <si>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</si>
  <si>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</si>
  <si>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(a)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</si>
  <si>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</si>
  <si>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</si>
  <si>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</si>
  <si>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</si>
  <si>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</si>
  <si>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</si>
  <si>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</si>
  <si>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</si>
  <si>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</si>
  <si>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Average daily balance per Settlement Agreement in Case No. 2011-00161.</t>
  </si>
  <si>
    <t>Adjusted Electric Rate of Return on Common Equity - ECR Plans</t>
  </si>
  <si>
    <t>As of August 31, 2015</t>
  </si>
  <si>
    <t>08-31-15</t>
  </si>
  <si>
    <t>KENTUCKY UTILITIES COMPANY</t>
  </si>
  <si>
    <t>ANALYSIS OF THE EMBEDDED COST OF CAPITAL AT</t>
  </si>
  <si>
    <t>USING AVERAGE DAILY BALANCES AND INTEREST RATES FOR ECR FILINGS</t>
  </si>
  <si>
    <t>LONG-TERM DEBT</t>
  </si>
  <si>
    <t>Annualized Cost</t>
  </si>
  <si>
    <t>Amortized Debt</t>
  </si>
  <si>
    <t>Amortized Loss-</t>
  </si>
  <si>
    <t>Embedded</t>
  </si>
  <si>
    <t>Due</t>
  </si>
  <si>
    <t>Principal</t>
  </si>
  <si>
    <t>Interest</t>
  </si>
  <si>
    <t>Reacquired Debt</t>
  </si>
  <si>
    <t>Total</t>
  </si>
  <si>
    <t>Pollution Control Bonds -</t>
  </si>
  <si>
    <t>Mercer Co. 2000 Series A</t>
  </si>
  <si>
    <t>a</t>
  </si>
  <si>
    <t>Carroll Co. 2002 Series A</t>
  </si>
  <si>
    <t>b</t>
  </si>
  <si>
    <t>Carroll Co. 2002 Series B</t>
  </si>
  <si>
    <t>Muhlenberg Co. 2002 Series A</t>
  </si>
  <si>
    <t>Mercer Co. 2002 Series A</t>
  </si>
  <si>
    <t>Carroll Co. 2002 Series C</t>
  </si>
  <si>
    <t>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</si>
  <si>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</si>
  <si>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</si>
  <si>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</si>
  <si>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</si>
  <si>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</si>
  <si>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</si>
  <si>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</si>
  <si>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</si>
  <si>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</si>
  <si>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</si>
  <si>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</si>
  <si>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</si>
  <si>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</si>
  <si>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</si>
  <si>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Revolving Credit Facility</t>
  </si>
  <si>
    <t>d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</si>
  <si>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</si>
  <si>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</si>
  <si>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</si>
  <si>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</si>
  <si>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</si>
  <si>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</si>
  <si>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</si>
  <si>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</si>
  <si>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</si>
  <si>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</si>
  <si>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</si>
  <si>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</si>
  <si>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</si>
  <si>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</si>
  <si>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b - Remarketing fee = 10 basis points</t>
  </si>
  <si>
    <t>c - Remarketing fee = 25 basis points (25bp on $43.7M; 5bp on $52.3M; avg 14bp + $97,728 Annual Ins. Premium)</t>
  </si>
  <si>
    <t>d - Revolving Credit facility fee = 12.5 basis points</t>
  </si>
  <si>
    <r>
      <rPr>
        <b/>
        <sz val="12"/>
        <rFont val="Arial"/>
        <family val="2"/>
      </rPr>
      <t xml:space="preserve">1  </t>
    </r>
    <r>
      <rPr>
        <sz val="12"/>
        <rFont val="Arial"/>
        <family val="2"/>
      </rPr>
      <t>Call premium and debt expense is being amortized in accordance with ASC 980, Regulated Operations.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</si>
  <si>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</si>
  <si>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t>Letter of Credit and other fees</t>
  </si>
  <si>
    <t xml:space="preserve">  Embedded Cost  </t>
  </si>
  <si>
    <t xml:space="preserve"> Issuance Exp/Discount</t>
  </si>
  <si>
    <t>a - Letter of credit fee = (principal bal + 45 days interest)*.75%.  Rate based on company credit rating.  Remarketing Fee = 10 basis points.</t>
  </si>
  <si>
    <t>S-3 SEC Shelf Registration</t>
  </si>
  <si>
    <t>06-30-15</t>
  </si>
  <si>
    <t>As of June 30, 2015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</si>
  <si>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Fargo, Bank of America and Royal Bank of Scotland amended July 28, 2014 with a five year term.</t>
    </r>
  </si>
  <si>
    <t>CORRECTED Attachment to Response to Question No. 1</t>
  </si>
  <si>
    <t>Page 5 of 6</t>
  </si>
  <si>
    <t>Rahn / Garrett</t>
  </si>
  <si>
    <t>REVISED Attachment to Response to Question No. 1</t>
  </si>
  <si>
    <t>Kentucky Utilities Company</t>
  </si>
  <si>
    <t>CORRECTED Attachment to Response to Question No. 2</t>
  </si>
  <si>
    <t>Overall Rate of Return True-up Adjustment - Revised Rate Base</t>
  </si>
  <si>
    <t>Page 1 of 6</t>
  </si>
  <si>
    <t>Overall Rate of Return True-up Adjustment - Revised Rate of Return</t>
  </si>
  <si>
    <t>Page 2 of 6</t>
  </si>
  <si>
    <t>Calculation of E(m) and Jurisdictional Surcharge Billing Factor</t>
  </si>
  <si>
    <t>Page 1 of 3</t>
  </si>
  <si>
    <t>Page 2 of 3</t>
  </si>
  <si>
    <t xml:space="preserve">Impact on Calculated E(m) </t>
  </si>
  <si>
    <t>Summary Schedule for Expense Months March 2015 through August 2015</t>
  </si>
  <si>
    <t>Rahn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</si>
  <si>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</si>
  <si>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</si>
  <si>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</si>
  <si>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</si>
  <si>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</si>
  <si>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</si>
  <si>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</si>
  <si>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</si>
  <si>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</si>
  <si>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</si>
  <si>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</si>
  <si>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Billing Month</t>
  </si>
  <si>
    <t>Expense Month</t>
  </si>
  <si>
    <t>Rate of Return as Filed</t>
  </si>
  <si>
    <t>Rate Base as Filed</t>
  </si>
  <si>
    <t>Rate Base As Revised</t>
  </si>
  <si>
    <t>Change in Rate Base</t>
  </si>
  <si>
    <t>True-up Adjustment</t>
  </si>
  <si>
    <t>Jurisdictional Allocation, ES Form 1.10</t>
  </si>
  <si>
    <t>Jurisdictional True up Adjustment</t>
  </si>
  <si>
    <t>Rate of Return as Revised</t>
  </si>
  <si>
    <t>Change in Rate of Return</t>
  </si>
  <si>
    <t>Rate Base as Revised</t>
  </si>
  <si>
    <t>Monthly Rate Base as Revised</t>
  </si>
  <si>
    <t>Operating Expenses (net of allowance proceeds)</t>
  </si>
  <si>
    <t>Total E(m)</t>
  </si>
  <si>
    <t>Jurisdictional Allocation Ratio</t>
  </si>
  <si>
    <t>Retail E(m)</t>
  </si>
  <si>
    <t>Comments: As Revised in This Review</t>
  </si>
  <si>
    <t>Retail E(m) for All ECR Plans</t>
  </si>
  <si>
    <t xml:space="preserve">Adjustment to Retail E(m) for (Over)/Under-Collection </t>
  </si>
  <si>
    <t>Retail E(m) Including all Adjustments to be billed as ECR</t>
  </si>
  <si>
    <t>Monthly Billing Factor (Group 1)</t>
  </si>
  <si>
    <t>Monthly Billing Factor (Group 2)</t>
  </si>
  <si>
    <t>ECR Revenue Recovered Through Base Rates</t>
  </si>
  <si>
    <t>Billing Period</t>
  </si>
  <si>
    <t>ECR Billing Factor Revenues (Group 1)</t>
  </si>
  <si>
    <t>ECR Billing Factor Revenues (Group 2)</t>
  </si>
  <si>
    <t>Combined Total Over/(Under) Recovery</t>
  </si>
  <si>
    <t>(5) - (4)</t>
  </si>
  <si>
    <t>(3) * (6)  / 12</t>
  </si>
  <si>
    <t>(7) * (8)</t>
  </si>
  <si>
    <t>(4) - (3)</t>
  </si>
  <si>
    <t>(5) * (6) / 12</t>
  </si>
  <si>
    <t>ES  Form 2.00</t>
  </si>
  <si>
    <t>(2) / 12</t>
  </si>
  <si>
    <t>ES Form 2.00</t>
  </si>
  <si>
    <t xml:space="preserve">(3) * (4) + (5) </t>
  </si>
  <si>
    <t>ES Form 1.10</t>
  </si>
  <si>
    <t>(6) * (7)</t>
  </si>
  <si>
    <t>Page 1 Col (8)</t>
  </si>
  <si>
    <t>Case No. 2015-00020</t>
  </si>
  <si>
    <t>(2) + (3)</t>
  </si>
  <si>
    <t>As Filed</t>
  </si>
  <si>
    <t>(7) + (9) + (10) - (4)</t>
  </si>
  <si>
    <t>Reconciliation of Combined Over/(Under) Recovery</t>
  </si>
  <si>
    <t>Page 3 of 3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</si>
  <si>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</si>
  <si>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</si>
  <si>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</si>
  <si>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</si>
  <si>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</si>
  <si>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</si>
  <si>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Rate of Return True-up as Originally Filed</t>
  </si>
  <si>
    <t>Use of 12 Month Average Revenues</t>
  </si>
  <si>
    <t>(Q2, pg 2, Col 11)</t>
  </si>
  <si>
    <t>Total for 6 months</t>
  </si>
  <si>
    <t>OVER/(UNDER) RECONCILIATION</t>
  </si>
  <si>
    <t>Combined Over/(Under) Recovery</t>
  </si>
  <si>
    <t>Due to Change in ROR in Current 6-month Period</t>
  </si>
  <si>
    <t>Subtotal</t>
  </si>
  <si>
    <t xml:space="preserve"> Unreconciled Difference</t>
  </si>
  <si>
    <t>Page 4 of 6</t>
  </si>
  <si>
    <t>Page 6 of 6</t>
  </si>
  <si>
    <t>Page 3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</si>
</sst>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_([$€-2]* #,##0.00_);_([$€-2]* \(#,##0.00\);_([$€-2]* &quot;-&quot;??_)"/>
    <numFmt numFmtId="169" formatCode="[$-409]mmm\-yy;@"/>
    <numFmt numFmtId="170" formatCode="0.000"/>
    <numFmt numFmtId="171" formatCode="0.00000%"/>
    <numFmt numFmtId="172" formatCode="[$-409]mmmm\ d\,\ yyyy;@"/>
    <numFmt numFmtId="173" formatCode="_-&quot;£&quot;* #,##0.00_-;\-&quot;£&quot;* #,##0.00_-;_-&quot;£&quot;* &quot;-&quot;??_-;_-@_-"/>
    <numFmt numFmtId="174" formatCode="#,##0\ ;[Red]\(#,##0\)"/>
    <numFmt numFmtId="175" formatCode="mmmm\ d\,\ yyyy"/>
    <numFmt numFmtId="176" formatCode="mm/dd/yy_)"/>
    <numFmt numFmtId="177" formatCode="0.000_)"/>
    <numFmt numFmtId="178" formatCode="0.000000"/>
    <numFmt numFmtId="179" formatCode="_(&quot;$&quot;* #,##0_);_(&quot;$&quot;* \(#,##0\);_(&quot;$&quot;* &quot;0&quot;_);_(@_)"/>
    <numFmt numFmtId="180" formatCode="_(* #,##0_);_(* \(#,##0\);_(* &quot;0&quot;_);_(@_)"/>
    <numFmt numFmtId="181" formatCode="_(&quot;$&quot;* #,##0.00_);_(&quot;$&quot;* \(#,##0.00\);_(&quot;$&quot;* 0.00_);_(@_)"/>
    <numFmt numFmtId="182" formatCode="0_);\(0\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52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14" borderId="2" applyNumberFormat="0" applyAlignment="0" applyProtection="0"/>
    <xf numFmtId="0" fontId="21" fillId="15" borderId="0">
      <alignment horizontal="left"/>
    </xf>
    <xf numFmtId="0" fontId="33" fillId="15" borderId="0">
      <alignment horizontal="right"/>
    </xf>
    <xf numFmtId="0" fontId="34" fillId="16" borderId="0">
      <alignment horizontal="center"/>
    </xf>
    <xf numFmtId="0" fontId="33" fillId="15" borderId="0">
      <alignment horizontal="right"/>
    </xf>
    <xf numFmtId="0" fontId="35" fillId="16" borderId="0">
      <alignment horizontal="left"/>
    </xf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Protection="0"/>
    <xf numFmtId="0" fontId="36" fillId="0" borderId="0" applyProtection="0"/>
    <xf numFmtId="0" fontId="37" fillId="0" borderId="0" applyProtection="0"/>
    <xf numFmtId="0" fontId="10" fillId="0" borderId="0" applyProtection="0"/>
    <xf numFmtId="0" fontId="13" fillId="0" borderId="0" applyProtection="0"/>
    <xf numFmtId="0" fontId="15" fillId="0" borderId="0" applyProtection="0"/>
    <xf numFmtId="0" fontId="38" fillId="0" borderId="0" applyProtection="0"/>
    <xf numFmtId="2" fontId="13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1" applyNumberFormat="0" applyAlignment="0" applyProtection="0"/>
    <xf numFmtId="0" fontId="21" fillId="15" borderId="0">
      <alignment horizontal="left"/>
    </xf>
    <xf numFmtId="0" fontId="32" fillId="16" borderId="0">
      <alignment horizontal="left"/>
    </xf>
    <xf numFmtId="0" fontId="28" fillId="0" borderId="6" applyNumberFormat="0" applyFill="0" applyAlignment="0" applyProtection="0"/>
    <xf numFmtId="0" fontId="29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7" fontId="39" fillId="0" borderId="0"/>
    <xf numFmtId="0" fontId="8" fillId="19" borderId="7" applyNumberFormat="0" applyFont="0" applyAlignment="0" applyProtection="0"/>
    <xf numFmtId="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32" fillId="20" borderId="9"/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18" borderId="0">
      <alignment horizontal="center"/>
    </xf>
    <xf numFmtId="49" fontId="42" fillId="16" borderId="0">
      <alignment horizontal="center"/>
    </xf>
    <xf numFmtId="0" fontId="33" fillId="15" borderId="0">
      <alignment horizontal="center"/>
    </xf>
    <xf numFmtId="0" fontId="33" fillId="15" borderId="0">
      <alignment horizontal="centerContinuous"/>
    </xf>
    <xf numFmtId="0" fontId="43" fillId="16" borderId="0">
      <alignment horizontal="left"/>
    </xf>
    <xf numFmtId="49" fontId="43" fillId="16" borderId="0">
      <alignment horizontal="center"/>
    </xf>
    <xf numFmtId="0" fontId="21" fillId="15" borderId="0">
      <alignment horizontal="left"/>
    </xf>
    <xf numFmtId="49" fontId="43" fillId="16" borderId="0">
      <alignment horizontal="left"/>
    </xf>
    <xf numFmtId="0" fontId="21" fillId="15" borderId="0">
      <alignment horizontal="centerContinuous"/>
    </xf>
    <xf numFmtId="0" fontId="21" fillId="15" borderId="0">
      <alignment horizontal="right"/>
    </xf>
    <xf numFmtId="49" fontId="32" fillId="16" borderId="0">
      <alignment horizontal="left"/>
    </xf>
    <xf numFmtId="0" fontId="33" fillId="15" borderId="0">
      <alignment horizontal="right"/>
    </xf>
    <xf numFmtId="0" fontId="43" fillId="5" borderId="0">
      <alignment horizontal="center"/>
    </xf>
    <xf numFmtId="0" fontId="12" fillId="5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44" fillId="16" borderId="0">
      <alignment horizontal="center"/>
    </xf>
    <xf numFmtId="0" fontId="16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20" borderId="14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7" fontId="39" fillId="0" borderId="0"/>
    <xf numFmtId="0" fontId="2" fillId="0" borderId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2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24" borderId="0" applyNumberFormat="0" applyBorder="0" applyAlignment="0" applyProtection="0"/>
    <xf numFmtId="169" fontId="2" fillId="2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24" borderId="0" applyNumberFormat="0" applyBorder="0" applyAlignment="0" applyProtection="0"/>
    <xf numFmtId="169" fontId="2" fillId="24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25" borderId="0" applyNumberFormat="0" applyBorder="0" applyAlignment="0" applyProtection="0"/>
    <xf numFmtId="169" fontId="2" fillId="2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25" borderId="0" applyNumberFormat="0" applyBorder="0" applyAlignment="0" applyProtection="0"/>
    <xf numFmtId="169" fontId="2" fillId="25" borderId="0" applyNumberFormat="0" applyBorder="0" applyAlignment="0" applyProtection="0"/>
    <xf numFmtId="172" fontId="17" fillId="4" borderId="0" applyNumberFormat="0" applyBorder="0" applyAlignment="0" applyProtection="0"/>
    <xf numFmtId="169" fontId="17" fillId="4" borderId="0" applyNumberFormat="0" applyBorder="0" applyAlignment="0" applyProtection="0"/>
    <xf numFmtId="172" fontId="17" fillId="4" borderId="0" applyNumberFormat="0" applyBorder="0" applyAlignment="0" applyProtection="0"/>
    <xf numFmtId="169" fontId="17" fillId="4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2" fontId="17" fillId="4" borderId="0" applyNumberFormat="0" applyBorder="0" applyAlignment="0" applyProtection="0"/>
    <xf numFmtId="172" fontId="17" fillId="4" borderId="0" applyNumberFormat="0" applyBorder="0" applyAlignment="0" applyProtection="0"/>
    <xf numFmtId="169" fontId="17" fillId="4" borderId="0" applyNumberFormat="0" applyBorder="0" applyAlignment="0" applyProtection="0"/>
    <xf numFmtId="169" fontId="17" fillId="4" borderId="0" applyNumberFormat="0" applyBorder="0" applyAlignment="0" applyProtection="0"/>
    <xf numFmtId="169" fontId="17" fillId="4" borderId="0" applyNumberFormat="0" applyBorder="0" applyAlignment="0" applyProtection="0"/>
    <xf numFmtId="172" fontId="17" fillId="4" borderId="0" applyNumberFormat="0" applyBorder="0" applyAlignment="0" applyProtection="0"/>
    <xf numFmtId="169" fontId="17" fillId="4" borderId="0" applyNumberFormat="0" applyBorder="0" applyAlignment="0" applyProtection="0"/>
    <xf numFmtId="169" fontId="17" fillId="4" borderId="0" applyNumberFormat="0" applyBorder="0" applyAlignment="0" applyProtection="0"/>
    <xf numFmtId="169" fontId="17" fillId="4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2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2" fillId="28" borderId="0" applyNumberFormat="0" applyBorder="0" applyAlignment="0" applyProtection="0"/>
    <xf numFmtId="169" fontId="2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7" fillId="5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2" fillId="28" borderId="0" applyNumberFormat="0" applyBorder="0" applyAlignment="0" applyProtection="0"/>
    <xf numFmtId="169" fontId="2" fillId="28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29" borderId="0" applyNumberFormat="0" applyBorder="0" applyAlignment="0" applyProtection="0"/>
    <xf numFmtId="169" fontId="2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2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29" borderId="0" applyNumberFormat="0" applyBorder="0" applyAlignment="0" applyProtection="0"/>
    <xf numFmtId="169" fontId="2" fillId="29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72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72" fontId="17" fillId="6" borderId="0" applyNumberFormat="0" applyBorder="0" applyAlignment="0" applyProtection="0"/>
    <xf numFmtId="169" fontId="17" fillId="6" borderId="0" applyNumberFormat="0" applyBorder="0" applyAlignment="0" applyProtection="0"/>
    <xf numFmtId="172" fontId="17" fillId="6" borderId="0" applyNumberFormat="0" applyBorder="0" applyAlignment="0" applyProtection="0"/>
    <xf numFmtId="169" fontId="17" fillId="6" borderId="0" applyNumberFormat="0" applyBorder="0" applyAlignment="0" applyProtection="0"/>
    <xf numFmtId="169" fontId="2" fillId="32" borderId="0" applyNumberFormat="0" applyBorder="0" applyAlignment="0" applyProtection="0"/>
    <xf numFmtId="169" fontId="2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172" fontId="17" fillId="6" borderId="0" applyNumberFormat="0" applyBorder="0" applyAlignment="0" applyProtection="0"/>
    <xf numFmtId="172" fontId="17" fillId="6" borderId="0" applyNumberFormat="0" applyBorder="0" applyAlignment="0" applyProtection="0"/>
    <xf numFmtId="169" fontId="17" fillId="6" borderId="0" applyNumberFormat="0" applyBorder="0" applyAlignment="0" applyProtection="0"/>
    <xf numFmtId="169" fontId="17" fillId="6" borderId="0" applyNumberFormat="0" applyBorder="0" applyAlignment="0" applyProtection="0"/>
    <xf numFmtId="169" fontId="17" fillId="6" borderId="0" applyNumberFormat="0" applyBorder="0" applyAlignment="0" applyProtection="0"/>
    <xf numFmtId="172" fontId="17" fillId="6" borderId="0" applyNumberFormat="0" applyBorder="0" applyAlignment="0" applyProtection="0"/>
    <xf numFmtId="169" fontId="17" fillId="6" borderId="0" applyNumberFormat="0" applyBorder="0" applyAlignment="0" applyProtection="0"/>
    <xf numFmtId="169" fontId="17" fillId="6" borderId="0" applyNumberFormat="0" applyBorder="0" applyAlignment="0" applyProtection="0"/>
    <xf numFmtId="169" fontId="17" fillId="6" borderId="0" applyNumberFormat="0" applyBorder="0" applyAlignment="0" applyProtection="0"/>
    <xf numFmtId="169" fontId="2" fillId="32" borderId="0" applyNumberFormat="0" applyBorder="0" applyAlignment="0" applyProtection="0"/>
    <xf numFmtId="169" fontId="2" fillId="3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33" borderId="0" applyNumberFormat="0" applyBorder="0" applyAlignment="0" applyProtection="0"/>
    <xf numFmtId="169" fontId="2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2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72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2" fillId="33" borderId="0" applyNumberFormat="0" applyBorder="0" applyAlignment="0" applyProtection="0"/>
    <xf numFmtId="169" fontId="2" fillId="33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2" fillId="34" borderId="0" applyNumberFormat="0" applyBorder="0" applyAlignment="0" applyProtection="0"/>
    <xf numFmtId="169" fontId="2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7" fillId="5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72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17" fillId="5" borderId="0" applyNumberFormat="0" applyBorder="0" applyAlignment="0" applyProtection="0"/>
    <xf numFmtId="169" fontId="2" fillId="34" borderId="0" applyNumberFormat="0" applyBorder="0" applyAlignment="0" applyProtection="0"/>
    <xf numFmtId="169" fontId="2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0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0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0" fontId="11" fillId="7" borderId="0" applyNumberFormat="0" applyBorder="0" applyAlignment="0" applyProtection="0"/>
    <xf numFmtId="169" fontId="11" fillId="7" borderId="0" applyNumberFormat="0" applyBorder="0" applyAlignment="0" applyProtection="0"/>
    <xf numFmtId="169" fontId="11" fillId="7" borderId="0" applyNumberFormat="0" applyBorder="0" applyAlignment="0" applyProtection="0"/>
    <xf numFmtId="169" fontId="11" fillId="7" borderId="0" applyNumberFormat="0" applyBorder="0" applyAlignment="0" applyProtection="0"/>
    <xf numFmtId="0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69" fontId="11" fillId="7" borderId="0" applyNumberFormat="0" applyBorder="0" applyAlignment="0" applyProtection="0"/>
    <xf numFmtId="169" fontId="11" fillId="7" borderId="0" applyNumberFormat="0" applyBorder="0" applyAlignment="0" applyProtection="0"/>
    <xf numFmtId="169" fontId="52" fillId="36" borderId="0" applyNumberFormat="0" applyBorder="0" applyAlignment="0" applyProtection="0"/>
    <xf numFmtId="169" fontId="52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0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169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69" fontId="11" fillId="3" borderId="0" applyNumberFormat="0" applyBorder="0" applyAlignment="0" applyProtection="0"/>
    <xf numFmtId="169" fontId="11" fillId="3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0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0" fontId="11" fillId="6" borderId="0" applyNumberFormat="0" applyBorder="0" applyAlignment="0" applyProtection="0"/>
    <xf numFmtId="169" fontId="11" fillId="6" borderId="0" applyNumberFormat="0" applyBorder="0" applyAlignment="0" applyProtection="0"/>
    <xf numFmtId="169" fontId="11" fillId="6" borderId="0" applyNumberFormat="0" applyBorder="0" applyAlignment="0" applyProtection="0"/>
    <xf numFmtId="169" fontId="11" fillId="6" borderId="0" applyNumberFormat="0" applyBorder="0" applyAlignment="0" applyProtection="0"/>
    <xf numFmtId="0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69" fontId="11" fillId="6" borderId="0" applyNumberFormat="0" applyBorder="0" applyAlignment="0" applyProtection="0"/>
    <xf numFmtId="169" fontId="11" fillId="6" borderId="0" applyNumberFormat="0" applyBorder="0" applyAlignment="0" applyProtection="0"/>
    <xf numFmtId="169" fontId="52" fillId="38" borderId="0" applyNumberFormat="0" applyBorder="0" applyAlignment="0" applyProtection="0"/>
    <xf numFmtId="169" fontId="52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0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52" fillId="39" borderId="0" applyNumberFormat="0" applyBorder="0" applyAlignment="0" applyProtection="0"/>
    <xf numFmtId="169" fontId="52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0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0" fontId="11" fillId="5" borderId="0" applyNumberFormat="0" applyBorder="0" applyAlignment="0" applyProtection="0"/>
    <xf numFmtId="169" fontId="11" fillId="5" borderId="0" applyNumberFormat="0" applyBorder="0" applyAlignment="0" applyProtection="0"/>
    <xf numFmtId="169" fontId="11" fillId="5" borderId="0" applyNumberFormat="0" applyBorder="0" applyAlignment="0" applyProtection="0"/>
    <xf numFmtId="169" fontId="11" fillId="5" borderId="0" applyNumberFormat="0" applyBorder="0" applyAlignment="0" applyProtection="0"/>
    <xf numFmtId="0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69" fontId="11" fillId="5" borderId="0" applyNumberFormat="0" applyBorder="0" applyAlignment="0" applyProtection="0"/>
    <xf numFmtId="169" fontId="11" fillId="5" borderId="0" applyNumberFormat="0" applyBorder="0" applyAlignment="0" applyProtection="0"/>
    <xf numFmtId="169" fontId="52" fillId="40" borderId="0" applyNumberFormat="0" applyBorder="0" applyAlignment="0" applyProtection="0"/>
    <xf numFmtId="169" fontId="52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0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11" fillId="8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0" fontId="11" fillId="9" borderId="0" applyNumberFormat="0" applyBorder="0" applyAlignment="0" applyProtection="0"/>
    <xf numFmtId="169" fontId="11" fillId="9" borderId="0" applyNumberFormat="0" applyBorder="0" applyAlignment="0" applyProtection="0"/>
    <xf numFmtId="169" fontId="11" fillId="9" borderId="0" applyNumberFormat="0" applyBorder="0" applyAlignment="0" applyProtection="0"/>
    <xf numFmtId="169" fontId="11" fillId="9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69" fontId="11" fillId="9" borderId="0" applyNumberFormat="0" applyBorder="0" applyAlignment="0" applyProtection="0"/>
    <xf numFmtId="169" fontId="11" fillId="9" borderId="0" applyNumberFormat="0" applyBorder="0" applyAlignment="0" applyProtection="0"/>
    <xf numFmtId="169" fontId="52" fillId="42" borderId="0" applyNumberFormat="0" applyBorder="0" applyAlignment="0" applyProtection="0"/>
    <xf numFmtId="169" fontId="52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0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0" fontId="11" fillId="10" borderId="0" applyNumberFormat="0" applyBorder="0" applyAlignment="0" applyProtection="0"/>
    <xf numFmtId="169" fontId="11" fillId="10" borderId="0" applyNumberFormat="0" applyBorder="0" applyAlignment="0" applyProtection="0"/>
    <xf numFmtId="169" fontId="11" fillId="10" borderId="0" applyNumberFormat="0" applyBorder="0" applyAlignment="0" applyProtection="0"/>
    <xf numFmtId="169" fontId="11" fillId="10" borderId="0" applyNumberFormat="0" applyBorder="0" applyAlignment="0" applyProtection="0"/>
    <xf numFmtId="0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69" fontId="11" fillId="10" borderId="0" applyNumberFormat="0" applyBorder="0" applyAlignment="0" applyProtection="0"/>
    <xf numFmtId="169" fontId="11" fillId="10" borderId="0" applyNumberFormat="0" applyBorder="0" applyAlignment="0" applyProtection="0"/>
    <xf numFmtId="169" fontId="52" fillId="43" borderId="0" applyNumberFormat="0" applyBorder="0" applyAlignment="0" applyProtection="0"/>
    <xf numFmtId="169" fontId="52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0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0" fontId="11" fillId="11" borderId="0" applyNumberFormat="0" applyBorder="0" applyAlignment="0" applyProtection="0"/>
    <xf numFmtId="169" fontId="11" fillId="11" borderId="0" applyNumberFormat="0" applyBorder="0" applyAlignment="0" applyProtection="0"/>
    <xf numFmtId="169" fontId="11" fillId="11" borderId="0" applyNumberFormat="0" applyBorder="0" applyAlignment="0" applyProtection="0"/>
    <xf numFmtId="169" fontId="11" fillId="11" borderId="0" applyNumberFormat="0" applyBorder="0" applyAlignment="0" applyProtection="0"/>
    <xf numFmtId="0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69" fontId="11" fillId="11" borderId="0" applyNumberFormat="0" applyBorder="0" applyAlignment="0" applyProtection="0"/>
    <xf numFmtId="169" fontId="11" fillId="11" borderId="0" applyNumberFormat="0" applyBorder="0" applyAlignment="0" applyProtection="0"/>
    <xf numFmtId="169" fontId="52" fillId="44" borderId="0" applyNumberFormat="0" applyBorder="0" applyAlignment="0" applyProtection="0"/>
    <xf numFmtId="169" fontId="52" fillId="4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0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11" fillId="8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11" fillId="8" borderId="0" applyNumberFormat="0" applyBorder="0" applyAlignment="0" applyProtection="0"/>
    <xf numFmtId="169" fontId="52" fillId="45" borderId="0" applyNumberFormat="0" applyBorder="0" applyAlignment="0" applyProtection="0"/>
    <xf numFmtId="169" fontId="52" fillId="4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0" fontId="11" fillId="12" borderId="0" applyNumberFormat="0" applyBorder="0" applyAlignment="0" applyProtection="0"/>
    <xf numFmtId="169" fontId="11" fillId="12" borderId="0" applyNumberFormat="0" applyBorder="0" applyAlignment="0" applyProtection="0"/>
    <xf numFmtId="169" fontId="11" fillId="12" borderId="0" applyNumberFormat="0" applyBorder="0" applyAlignment="0" applyProtection="0"/>
    <xf numFmtId="169" fontId="11" fillId="12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69" fontId="11" fillId="12" borderId="0" applyNumberFormat="0" applyBorder="0" applyAlignment="0" applyProtection="0"/>
    <xf numFmtId="169" fontId="11" fillId="12" borderId="0" applyNumberFormat="0" applyBorder="0" applyAlignment="0" applyProtection="0"/>
    <xf numFmtId="169" fontId="52" fillId="46" borderId="0" applyNumberFormat="0" applyBorder="0" applyAlignment="0" applyProtection="0"/>
    <xf numFmtId="169" fontId="52" fillId="46" borderId="0" applyNumberFormat="0" applyBorder="0" applyAlignment="0" applyProtection="0"/>
    <xf numFmtId="172" fontId="19" fillId="13" borderId="0" applyNumberFormat="0" applyBorder="0" applyAlignment="0" applyProtection="0"/>
    <xf numFmtId="169" fontId="19" fillId="13" borderId="0" applyNumberFormat="0" applyBorder="0" applyAlignment="0" applyProtection="0"/>
    <xf numFmtId="172" fontId="19" fillId="13" borderId="0" applyNumberFormat="0" applyBorder="0" applyAlignment="0" applyProtection="0"/>
    <xf numFmtId="169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2" fontId="19" fillId="13" borderId="0" applyNumberFormat="0" applyBorder="0" applyAlignment="0" applyProtection="0"/>
    <xf numFmtId="172" fontId="19" fillId="13" borderId="0" applyNumberFormat="0" applyBorder="0" applyAlignment="0" applyProtection="0"/>
    <xf numFmtId="169" fontId="19" fillId="13" borderId="0" applyNumberFormat="0" applyBorder="0" applyAlignment="0" applyProtection="0"/>
    <xf numFmtId="169" fontId="19" fillId="13" borderId="0" applyNumberFormat="0" applyBorder="0" applyAlignment="0" applyProtection="0"/>
    <xf numFmtId="169" fontId="19" fillId="13" borderId="0" applyNumberFormat="0" applyBorder="0" applyAlignment="0" applyProtection="0"/>
    <xf numFmtId="172" fontId="19" fillId="13" borderId="0" applyNumberFormat="0" applyBorder="0" applyAlignment="0" applyProtection="0"/>
    <xf numFmtId="169" fontId="19" fillId="13" borderId="0" applyNumberFormat="0" applyBorder="0" applyAlignment="0" applyProtection="0"/>
    <xf numFmtId="169" fontId="19" fillId="13" borderId="0" applyNumberFormat="0" applyBorder="0" applyAlignment="0" applyProtection="0"/>
    <xf numFmtId="169" fontId="19" fillId="13" borderId="0" applyNumberFormat="0" applyBorder="0" applyAlignment="0" applyProtection="0"/>
    <xf numFmtId="169" fontId="53" fillId="47" borderId="0" applyNumberFormat="0" applyBorder="0" applyAlignment="0" applyProtection="0"/>
    <xf numFmtId="169" fontId="53" fillId="47" borderId="0" applyNumberFormat="0" applyBorder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72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0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72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54" fillId="48" borderId="16" applyNumberFormat="0" applyAlignment="0" applyProtection="0"/>
    <xf numFmtId="169" fontId="54" fillId="48" borderId="16" applyNumberFormat="0" applyAlignment="0" applyProtection="0"/>
    <xf numFmtId="0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0" fontId="20" fillId="4" borderId="1" applyNumberFormat="0" applyAlignment="0" applyProtection="0"/>
    <xf numFmtId="172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72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72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69" fontId="20" fillId="4" borderId="1" applyNumberFormat="0" applyAlignment="0" applyProtection="0"/>
    <xf numFmtId="172" fontId="21" fillId="14" borderId="2" applyNumberFormat="0" applyAlignment="0" applyProtection="0"/>
    <xf numFmtId="169" fontId="21" fillId="14" borderId="2" applyNumberFormat="0" applyAlignment="0" applyProtection="0"/>
    <xf numFmtId="172" fontId="21" fillId="14" borderId="2" applyNumberFormat="0" applyAlignment="0" applyProtection="0"/>
    <xf numFmtId="169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172" fontId="21" fillId="14" borderId="2" applyNumberFormat="0" applyAlignment="0" applyProtection="0"/>
    <xf numFmtId="172" fontId="21" fillId="14" borderId="2" applyNumberFormat="0" applyAlignment="0" applyProtection="0"/>
    <xf numFmtId="169" fontId="21" fillId="14" borderId="2" applyNumberFormat="0" applyAlignment="0" applyProtection="0"/>
    <xf numFmtId="169" fontId="21" fillId="14" borderId="2" applyNumberFormat="0" applyAlignment="0" applyProtection="0"/>
    <xf numFmtId="169" fontId="21" fillId="14" borderId="2" applyNumberFormat="0" applyAlignment="0" applyProtection="0"/>
    <xf numFmtId="172" fontId="21" fillId="14" borderId="2" applyNumberFormat="0" applyAlignment="0" applyProtection="0"/>
    <xf numFmtId="169" fontId="21" fillId="14" borderId="2" applyNumberFormat="0" applyAlignment="0" applyProtection="0"/>
    <xf numFmtId="169" fontId="21" fillId="14" borderId="2" applyNumberFormat="0" applyAlignment="0" applyProtection="0"/>
    <xf numFmtId="169" fontId="21" fillId="14" borderId="2" applyNumberFormat="0" applyAlignment="0" applyProtection="0"/>
    <xf numFmtId="169" fontId="55" fillId="49" borderId="17" applyNumberFormat="0" applyAlignment="0" applyProtection="0"/>
    <xf numFmtId="169" fontId="55" fillId="49" borderId="17" applyNumberFormat="0" applyAlignment="0" applyProtection="0"/>
    <xf numFmtId="0" fontId="21" fillId="15" borderId="0">
      <alignment horizontal="left"/>
    </xf>
    <xf numFmtId="172" fontId="21" fillId="15" borderId="0">
      <alignment horizontal="left"/>
    </xf>
    <xf numFmtId="0" fontId="33" fillId="15" borderId="0">
      <alignment horizontal="right"/>
    </xf>
    <xf numFmtId="172" fontId="33" fillId="15" borderId="0">
      <alignment horizontal="right"/>
    </xf>
    <xf numFmtId="0" fontId="34" fillId="16" borderId="0">
      <alignment horizontal="center"/>
    </xf>
    <xf numFmtId="172" fontId="34" fillId="16" borderId="0">
      <alignment horizontal="center"/>
    </xf>
    <xf numFmtId="0" fontId="33" fillId="15" borderId="0">
      <alignment horizontal="right"/>
    </xf>
    <xf numFmtId="172" fontId="33" fillId="15" borderId="0">
      <alignment horizontal="right"/>
    </xf>
    <xf numFmtId="0" fontId="35" fillId="16" borderId="0">
      <alignment horizontal="left"/>
    </xf>
    <xf numFmtId="172" fontId="35" fillId="16" borderId="0">
      <alignment horizontal="lef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72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22" fillId="0" borderId="0" applyNumberFormat="0" applyFill="0" applyBorder="0" applyAlignment="0" applyProtection="0"/>
    <xf numFmtId="172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72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15" fillId="0" borderId="0" applyProtection="0"/>
    <xf numFmtId="172" fontId="15" fillId="0" borderId="0" applyProtection="0"/>
    <xf numFmtId="0" fontId="36" fillId="0" borderId="0" applyProtection="0"/>
    <xf numFmtId="172" fontId="36" fillId="0" borderId="0" applyProtection="0"/>
    <xf numFmtId="0" fontId="37" fillId="0" borderId="0" applyProtection="0"/>
    <xf numFmtId="172" fontId="37" fillId="0" borderId="0" applyProtection="0"/>
    <xf numFmtId="0" fontId="9" fillId="0" borderId="0" applyProtection="0"/>
    <xf numFmtId="172" fontId="9" fillId="0" borderId="0" applyProtection="0"/>
    <xf numFmtId="0" fontId="9" fillId="0" borderId="0" applyProtection="0"/>
    <xf numFmtId="172" fontId="9" fillId="0" borderId="0" applyProtection="0"/>
    <xf numFmtId="0" fontId="8" fillId="0" borderId="0" applyProtection="0"/>
    <xf numFmtId="172" fontId="8" fillId="0" borderId="0" applyProtection="0"/>
    <xf numFmtId="0" fontId="8" fillId="0" borderId="0" applyProtection="0"/>
    <xf numFmtId="172" fontId="8" fillId="0" borderId="0" applyProtection="0"/>
    <xf numFmtId="0" fontId="15" fillId="0" borderId="0" applyProtection="0"/>
    <xf numFmtId="172" fontId="15" fillId="0" borderId="0" applyProtection="0"/>
    <xf numFmtId="0" fontId="38" fillId="0" borderId="0" applyProtection="0"/>
    <xf numFmtId="172" fontId="38" fillId="0" borderId="0" applyProtection="0"/>
    <xf numFmtId="172" fontId="23" fillId="17" borderId="0" applyNumberFormat="0" applyBorder="0" applyAlignment="0" applyProtection="0"/>
    <xf numFmtId="169" fontId="23" fillId="17" borderId="0" applyNumberFormat="0" applyBorder="0" applyAlignment="0" applyProtection="0"/>
    <xf numFmtId="172" fontId="23" fillId="17" borderId="0" applyNumberFormat="0" applyBorder="0" applyAlignment="0" applyProtection="0"/>
    <xf numFmtId="169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72" fontId="23" fillId="17" borderId="0" applyNumberFormat="0" applyBorder="0" applyAlignment="0" applyProtection="0"/>
    <xf numFmtId="172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23" fillId="17" borderId="0" applyNumberFormat="0" applyBorder="0" applyAlignment="0" applyProtection="0"/>
    <xf numFmtId="172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59" fillId="50" borderId="0" applyNumberFormat="0" applyBorder="0" applyAlignment="0" applyProtection="0"/>
    <xf numFmtId="169" fontId="59" fillId="50" borderId="0" applyNumberFormat="0" applyBorder="0" applyAlignment="0" applyProtection="0"/>
    <xf numFmtId="172" fontId="24" fillId="0" borderId="3" applyNumberFormat="0" applyFill="0" applyAlignment="0" applyProtection="0"/>
    <xf numFmtId="169" fontId="24" fillId="0" borderId="3" applyNumberFormat="0" applyFill="0" applyAlignment="0" applyProtection="0"/>
    <xf numFmtId="172" fontId="24" fillId="0" borderId="3" applyNumberFormat="0" applyFill="0" applyAlignment="0" applyProtection="0"/>
    <xf numFmtId="169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172" fontId="24" fillId="0" borderId="3" applyNumberFormat="0" applyFill="0" applyAlignment="0" applyProtection="0"/>
    <xf numFmtId="172" fontId="24" fillId="0" borderId="3" applyNumberFormat="0" applyFill="0" applyAlignment="0" applyProtection="0"/>
    <xf numFmtId="169" fontId="24" fillId="0" borderId="3" applyNumberFormat="0" applyFill="0" applyAlignment="0" applyProtection="0"/>
    <xf numFmtId="169" fontId="24" fillId="0" borderId="3" applyNumberFormat="0" applyFill="0" applyAlignment="0" applyProtection="0"/>
    <xf numFmtId="169" fontId="24" fillId="0" borderId="3" applyNumberFormat="0" applyFill="0" applyAlignment="0" applyProtection="0"/>
    <xf numFmtId="172" fontId="24" fillId="0" borderId="3" applyNumberFormat="0" applyFill="0" applyAlignment="0" applyProtection="0"/>
    <xf numFmtId="169" fontId="24" fillId="0" borderId="3" applyNumberFormat="0" applyFill="0" applyAlignment="0" applyProtection="0"/>
    <xf numFmtId="169" fontId="24" fillId="0" borderId="3" applyNumberFormat="0" applyFill="0" applyAlignment="0" applyProtection="0"/>
    <xf numFmtId="169" fontId="24" fillId="0" borderId="3" applyNumberFormat="0" applyFill="0" applyAlignment="0" applyProtection="0"/>
    <xf numFmtId="169" fontId="60" fillId="0" borderId="18" applyNumberFormat="0" applyFill="0" applyAlignment="0" applyProtection="0"/>
    <xf numFmtId="169" fontId="60" fillId="0" borderId="18" applyNumberFormat="0" applyFill="0" applyAlignment="0" applyProtection="0"/>
    <xf numFmtId="172" fontId="25" fillId="0" borderId="4" applyNumberFormat="0" applyFill="0" applyAlignment="0" applyProtection="0"/>
    <xf numFmtId="169" fontId="25" fillId="0" borderId="4" applyNumberFormat="0" applyFill="0" applyAlignment="0" applyProtection="0"/>
    <xf numFmtId="172" fontId="25" fillId="0" borderId="4" applyNumberFormat="0" applyFill="0" applyAlignment="0" applyProtection="0"/>
    <xf numFmtId="169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172" fontId="25" fillId="0" borderId="4" applyNumberFormat="0" applyFill="0" applyAlignment="0" applyProtection="0"/>
    <xf numFmtId="172" fontId="25" fillId="0" borderId="4" applyNumberFormat="0" applyFill="0" applyAlignment="0" applyProtection="0"/>
    <xf numFmtId="169" fontId="25" fillId="0" borderId="4" applyNumberFormat="0" applyFill="0" applyAlignment="0" applyProtection="0"/>
    <xf numFmtId="169" fontId="25" fillId="0" borderId="4" applyNumberFormat="0" applyFill="0" applyAlignment="0" applyProtection="0"/>
    <xf numFmtId="169" fontId="25" fillId="0" borderId="4" applyNumberFormat="0" applyFill="0" applyAlignment="0" applyProtection="0"/>
    <xf numFmtId="172" fontId="25" fillId="0" borderId="4" applyNumberFormat="0" applyFill="0" applyAlignment="0" applyProtection="0"/>
    <xf numFmtId="169" fontId="25" fillId="0" borderId="4" applyNumberFormat="0" applyFill="0" applyAlignment="0" applyProtection="0"/>
    <xf numFmtId="169" fontId="25" fillId="0" borderId="4" applyNumberFormat="0" applyFill="0" applyAlignment="0" applyProtection="0"/>
    <xf numFmtId="169" fontId="25" fillId="0" borderId="4" applyNumberFormat="0" applyFill="0" applyAlignment="0" applyProtection="0"/>
    <xf numFmtId="169" fontId="61" fillId="0" borderId="19" applyNumberFormat="0" applyFill="0" applyAlignment="0" applyProtection="0"/>
    <xf numFmtId="169" fontId="61" fillId="0" borderId="19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72" fontId="26" fillId="0" borderId="5" applyNumberFormat="0" applyFill="0" applyAlignment="0" applyProtection="0"/>
    <xf numFmtId="0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0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0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72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72" fontId="26" fillId="0" borderId="5" applyNumberFormat="0" applyFill="0" applyAlignment="0" applyProtection="0"/>
    <xf numFmtId="0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0" fontId="26" fillId="0" borderId="5" applyNumberFormat="0" applyFill="0" applyAlignment="0" applyProtection="0"/>
    <xf numFmtId="172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72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69" fontId="26" fillId="0" borderId="5" applyNumberFormat="0" applyFill="0" applyAlignment="0" applyProtection="0"/>
    <xf numFmtId="172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72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0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72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63" fillId="51" borderId="16" applyNumberFormat="0" applyAlignment="0" applyProtection="0"/>
    <xf numFmtId="169" fontId="63" fillId="51" borderId="16" applyNumberFormat="0" applyAlignment="0" applyProtection="0"/>
    <xf numFmtId="0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0" fontId="27" fillId="5" borderId="1" applyNumberFormat="0" applyAlignment="0" applyProtection="0"/>
    <xf numFmtId="172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72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72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169" fontId="27" fillId="5" borderId="1" applyNumberFormat="0" applyAlignment="0" applyProtection="0"/>
    <xf numFmtId="0" fontId="21" fillId="15" borderId="0">
      <alignment horizontal="left"/>
    </xf>
    <xf numFmtId="172" fontId="21" fillId="15" borderId="0">
      <alignment horizontal="left"/>
    </xf>
    <xf numFmtId="0" fontId="32" fillId="16" borderId="0">
      <alignment horizontal="left"/>
    </xf>
    <xf numFmtId="172" fontId="32" fillId="16" borderId="0">
      <alignment horizontal="left"/>
    </xf>
    <xf numFmtId="172" fontId="28" fillId="0" borderId="6" applyNumberFormat="0" applyFill="0" applyAlignment="0" applyProtection="0"/>
    <xf numFmtId="169" fontId="28" fillId="0" borderId="6" applyNumberFormat="0" applyFill="0" applyAlignment="0" applyProtection="0"/>
    <xf numFmtId="172" fontId="28" fillId="0" borderId="6" applyNumberFormat="0" applyFill="0" applyAlignment="0" applyProtection="0"/>
    <xf numFmtId="169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2" fontId="28" fillId="0" borderId="6" applyNumberFormat="0" applyFill="0" applyAlignment="0" applyProtection="0"/>
    <xf numFmtId="172" fontId="28" fillId="0" borderId="6" applyNumberFormat="0" applyFill="0" applyAlignment="0" applyProtection="0"/>
    <xf numFmtId="169" fontId="28" fillId="0" borderId="6" applyNumberFormat="0" applyFill="0" applyAlignment="0" applyProtection="0"/>
    <xf numFmtId="169" fontId="28" fillId="0" borderId="6" applyNumberFormat="0" applyFill="0" applyAlignment="0" applyProtection="0"/>
    <xf numFmtId="169" fontId="28" fillId="0" borderId="6" applyNumberFormat="0" applyFill="0" applyAlignment="0" applyProtection="0"/>
    <xf numFmtId="172" fontId="28" fillId="0" borderId="6" applyNumberFormat="0" applyFill="0" applyAlignment="0" applyProtection="0"/>
    <xf numFmtId="169" fontId="28" fillId="0" borderId="6" applyNumberFormat="0" applyFill="0" applyAlignment="0" applyProtection="0"/>
    <xf numFmtId="169" fontId="28" fillId="0" borderId="6" applyNumberFormat="0" applyFill="0" applyAlignment="0" applyProtection="0"/>
    <xf numFmtId="169" fontId="28" fillId="0" borderId="6" applyNumberFormat="0" applyFill="0" applyAlignment="0" applyProtection="0"/>
    <xf numFmtId="169" fontId="64" fillId="0" borderId="21" applyNumberFormat="0" applyFill="0" applyAlignment="0" applyProtection="0"/>
    <xf numFmtId="169" fontId="64" fillId="0" borderId="21" applyNumberFormat="0" applyFill="0" applyAlignment="0" applyProtection="0"/>
    <xf numFmtId="172" fontId="29" fillId="18" borderId="0" applyNumberFormat="0" applyBorder="0" applyAlignment="0" applyProtection="0"/>
    <xf numFmtId="169" fontId="29" fillId="18" borderId="0" applyNumberFormat="0" applyBorder="0" applyAlignment="0" applyProtection="0"/>
    <xf numFmtId="172" fontId="29" fillId="18" borderId="0" applyNumberFormat="0" applyBorder="0" applyAlignment="0" applyProtection="0"/>
    <xf numFmtId="169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172" fontId="29" fillId="18" borderId="0" applyNumberFormat="0" applyBorder="0" applyAlignment="0" applyProtection="0"/>
    <xf numFmtId="169" fontId="29" fillId="18" borderId="0" applyNumberFormat="0" applyBorder="0" applyAlignment="0" applyProtection="0"/>
    <xf numFmtId="169" fontId="29" fillId="18" borderId="0" applyNumberFormat="0" applyBorder="0" applyAlignment="0" applyProtection="0"/>
    <xf numFmtId="169" fontId="29" fillId="18" borderId="0" applyNumberFormat="0" applyBorder="0" applyAlignment="0" applyProtection="0"/>
    <xf numFmtId="172" fontId="29" fillId="18" borderId="0" applyNumberFormat="0" applyBorder="0" applyAlignment="0" applyProtection="0"/>
    <xf numFmtId="169" fontId="29" fillId="18" borderId="0" applyNumberFormat="0" applyBorder="0" applyAlignment="0" applyProtection="0"/>
    <xf numFmtId="169" fontId="29" fillId="18" borderId="0" applyNumberFormat="0" applyBorder="0" applyAlignment="0" applyProtection="0"/>
    <xf numFmtId="169" fontId="29" fillId="18" borderId="0" applyNumberFormat="0" applyBorder="0" applyAlignment="0" applyProtection="0"/>
    <xf numFmtId="169" fontId="65" fillId="52" borderId="0" applyNumberFormat="0" applyBorder="0" applyAlignment="0" applyProtection="0"/>
    <xf numFmtId="169" fontId="65" fillId="52" borderId="0" applyNumberFormat="0" applyBorder="0" applyAlignment="0" applyProtection="0"/>
    <xf numFmtId="0" fontId="8" fillId="0" borderId="0"/>
    <xf numFmtId="169" fontId="8" fillId="0" borderId="0"/>
    <xf numFmtId="0" fontId="8" fillId="0" borderId="0"/>
    <xf numFmtId="172" fontId="8" fillId="0" borderId="0"/>
    <xf numFmtId="172" fontId="8" fillId="0" borderId="0"/>
    <xf numFmtId="169" fontId="2" fillId="0" borderId="0"/>
    <xf numFmtId="172" fontId="8" fillId="0" borderId="0"/>
    <xf numFmtId="0" fontId="6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0" fontId="2" fillId="0" borderId="0"/>
    <xf numFmtId="169" fontId="8" fillId="0" borderId="0"/>
    <xf numFmtId="0" fontId="67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2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172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8" fillId="0" borderId="0"/>
    <xf numFmtId="172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8" fillId="0" borderId="0"/>
    <xf numFmtId="169" fontId="2" fillId="0" borderId="0"/>
    <xf numFmtId="0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8" fillId="0" borderId="0"/>
    <xf numFmtId="169" fontId="2" fillId="0" borderId="0"/>
    <xf numFmtId="172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8" fillId="0" borderId="0"/>
    <xf numFmtId="169" fontId="8" fillId="0" borderId="0"/>
    <xf numFmtId="169" fontId="8" fillId="0" borderId="0"/>
    <xf numFmtId="0" fontId="8" fillId="0" borderId="0"/>
    <xf numFmtId="0" fontId="56" fillId="0" borderId="0"/>
    <xf numFmtId="0" fontId="2" fillId="0" borderId="0"/>
    <xf numFmtId="0" fontId="2" fillId="0" borderId="0"/>
    <xf numFmtId="169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8" fillId="0" borderId="0"/>
    <xf numFmtId="172" fontId="8" fillId="0" borderId="0"/>
    <xf numFmtId="172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169" fontId="2" fillId="0" borderId="0"/>
    <xf numFmtId="169" fontId="2" fillId="0" borderId="0"/>
    <xf numFmtId="169" fontId="2" fillId="0" borderId="0"/>
    <xf numFmtId="0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8" fillId="0" borderId="0"/>
    <xf numFmtId="169" fontId="2" fillId="0" borderId="0"/>
    <xf numFmtId="172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2" fontId="2" fillId="0" borderId="0"/>
    <xf numFmtId="172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7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72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2" fillId="53" borderId="22" applyNumberFormat="0" applyFont="0" applyAlignment="0" applyProtection="0"/>
    <xf numFmtId="169" fontId="2" fillId="53" borderId="22" applyNumberFormat="0" applyFont="0" applyAlignment="0" applyProtection="0"/>
    <xf numFmtId="169" fontId="8" fillId="19" borderId="7" applyNumberFormat="0" applyFont="0" applyAlignment="0" applyProtection="0"/>
    <xf numFmtId="0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72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2" fillId="53" borderId="22" applyNumberFormat="0" applyFont="0" applyAlignment="0" applyProtection="0"/>
    <xf numFmtId="169" fontId="2" fillId="53" borderId="22" applyNumberFormat="0" applyFont="0" applyAlignment="0" applyProtection="0"/>
    <xf numFmtId="0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0" fontId="8" fillId="19" borderId="7" applyNumberFormat="0" applyFont="0" applyAlignment="0" applyProtection="0"/>
    <xf numFmtId="172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72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72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8" fillId="19" borderId="7" applyNumberFormat="0" applyFon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72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0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72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69" fillId="48" borderId="23" applyNumberFormat="0" applyAlignment="0" applyProtection="0"/>
    <xf numFmtId="169" fontId="69" fillId="48" borderId="23" applyNumberFormat="0" applyAlignment="0" applyProtection="0"/>
    <xf numFmtId="0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0" fontId="30" fillId="4" borderId="8" applyNumberFormat="0" applyAlignment="0" applyProtection="0"/>
    <xf numFmtId="172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72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72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169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40" fillId="20" borderId="0">
      <alignment horizontal="center" vertical="center"/>
    </xf>
    <xf numFmtId="172" fontId="40" fillId="20" borderId="0">
      <alignment horizontal="center" vertical="center"/>
    </xf>
    <xf numFmtId="169" fontId="70" fillId="20" borderId="0">
      <alignment horizontal="right"/>
    </xf>
    <xf numFmtId="169" fontId="70" fillId="20" borderId="0">
      <alignment horizontal="right"/>
    </xf>
    <xf numFmtId="169" fontId="70" fillId="20" borderId="0">
      <alignment horizontal="right"/>
    </xf>
    <xf numFmtId="172" fontId="40" fillId="20" borderId="0">
      <alignment horizontal="center" vertical="center"/>
    </xf>
    <xf numFmtId="169" fontId="70" fillId="20" borderId="0">
      <alignment horizontal="right"/>
    </xf>
    <xf numFmtId="169" fontId="70" fillId="20" borderId="0">
      <alignment horizontal="right"/>
    </xf>
    <xf numFmtId="0" fontId="40" fillId="20" borderId="0">
      <alignment horizontal="center" vertical="center"/>
    </xf>
    <xf numFmtId="0" fontId="32" fillId="20" borderId="14"/>
    <xf numFmtId="172" fontId="32" fillId="20" borderId="14"/>
    <xf numFmtId="0" fontId="32" fillId="20" borderId="14"/>
    <xf numFmtId="169" fontId="71" fillId="20" borderId="14"/>
    <xf numFmtId="169" fontId="71" fillId="20" borderId="14"/>
    <xf numFmtId="169" fontId="71" fillId="20" borderId="14"/>
    <xf numFmtId="0" fontId="32" fillId="20" borderId="14"/>
    <xf numFmtId="172" fontId="32" fillId="20" borderId="14"/>
    <xf numFmtId="172" fontId="32" fillId="20" borderId="14"/>
    <xf numFmtId="169" fontId="71" fillId="20" borderId="14"/>
    <xf numFmtId="0" fontId="40" fillId="20" borderId="0" applyBorder="0">
      <alignment horizontal="centerContinuous"/>
    </xf>
    <xf numFmtId="0" fontId="40" fillId="20" borderId="0" applyBorder="0">
      <alignment horizontal="centerContinuous"/>
    </xf>
    <xf numFmtId="172" fontId="40" fillId="20" borderId="0" applyBorder="0">
      <alignment horizontal="centerContinuous"/>
    </xf>
    <xf numFmtId="169" fontId="71" fillId="0" borderId="0" applyBorder="0">
      <alignment horizontal="centerContinuous"/>
    </xf>
    <xf numFmtId="169" fontId="71" fillId="0" borderId="0" applyBorder="0">
      <alignment horizontal="centerContinuous"/>
    </xf>
    <xf numFmtId="169" fontId="71" fillId="0" borderId="0" applyBorder="0">
      <alignment horizontal="centerContinuous"/>
    </xf>
    <xf numFmtId="172" fontId="40" fillId="20" borderId="0" applyBorder="0">
      <alignment horizontal="centerContinuous"/>
    </xf>
    <xf numFmtId="169" fontId="71" fillId="0" borderId="0" applyBorder="0">
      <alignment horizontal="centerContinuous"/>
    </xf>
    <xf numFmtId="169" fontId="71" fillId="0" borderId="0" applyBorder="0">
      <alignment horizontal="centerContinuous"/>
    </xf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2" fontId="41" fillId="2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172" fontId="41" fillId="2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32" fillId="18" borderId="0">
      <alignment horizontal="center"/>
    </xf>
    <xf numFmtId="172" fontId="32" fillId="18" borderId="0">
      <alignment horizontal="center"/>
    </xf>
    <xf numFmtId="0" fontId="33" fillId="15" borderId="0">
      <alignment horizontal="center"/>
    </xf>
    <xf numFmtId="172" fontId="33" fillId="15" borderId="0">
      <alignment horizontal="center"/>
    </xf>
    <xf numFmtId="0" fontId="33" fillId="15" borderId="0">
      <alignment horizontal="centerContinuous"/>
    </xf>
    <xf numFmtId="172" fontId="33" fillId="15" borderId="0">
      <alignment horizontal="centerContinuous"/>
    </xf>
    <xf numFmtId="0" fontId="43" fillId="16" borderId="0">
      <alignment horizontal="left"/>
    </xf>
    <xf numFmtId="172" fontId="43" fillId="16" borderId="0">
      <alignment horizontal="left"/>
    </xf>
    <xf numFmtId="0" fontId="21" fillId="15" borderId="0">
      <alignment horizontal="left"/>
    </xf>
    <xf numFmtId="172" fontId="21" fillId="15" borderId="0">
      <alignment horizontal="left"/>
    </xf>
    <xf numFmtId="0" fontId="21" fillId="15" borderId="0">
      <alignment horizontal="centerContinuous"/>
    </xf>
    <xf numFmtId="172" fontId="21" fillId="15" borderId="0">
      <alignment horizontal="centerContinuous"/>
    </xf>
    <xf numFmtId="0" fontId="21" fillId="15" borderId="0">
      <alignment horizontal="right"/>
    </xf>
    <xf numFmtId="172" fontId="21" fillId="15" borderId="0">
      <alignment horizontal="right"/>
    </xf>
    <xf numFmtId="0" fontId="33" fillId="15" borderId="0">
      <alignment horizontal="right"/>
    </xf>
    <xf numFmtId="172" fontId="33" fillId="15" borderId="0">
      <alignment horizontal="right"/>
    </xf>
    <xf numFmtId="0" fontId="43" fillId="5" borderId="0">
      <alignment horizontal="center"/>
    </xf>
    <xf numFmtId="172" fontId="43" fillId="5" borderId="0">
      <alignment horizontal="center"/>
    </xf>
    <xf numFmtId="0" fontId="12" fillId="5" borderId="0">
      <alignment horizontal="center"/>
    </xf>
    <xf numFmtId="172" fontId="12" fillId="5" borderId="0">
      <alignment horizontal="center"/>
    </xf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69" fontId="17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4" fontId="8" fillId="21" borderId="24">
      <alignment horizontal="right"/>
    </xf>
    <xf numFmtId="172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72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0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72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0" fontId="32" fillId="0" borderId="10" applyNumberFormat="0" applyFill="0" applyAlignment="0" applyProtection="0"/>
    <xf numFmtId="172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72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72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169" fontId="32" fillId="0" borderId="10" applyNumberFormat="0" applyFill="0" applyAlignment="0" applyProtection="0"/>
    <xf numFmtId="0" fontId="44" fillId="16" borderId="0">
      <alignment horizontal="center"/>
    </xf>
    <xf numFmtId="172" fontId="44" fillId="16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75" fillId="0" borderId="0" applyNumberFormat="0" applyFill="0" applyBorder="0" applyAlignment="0" applyProtection="0"/>
    <xf numFmtId="169" fontId="75" fillId="0" borderId="0" applyNumberFormat="0" applyFill="0" applyBorder="0" applyAlignment="0" applyProtection="0"/>
    <xf numFmtId="169" fontId="8" fillId="0" borderId="0"/>
    <xf numFmtId="169" fontId="8" fillId="0" borderId="0"/>
    <xf numFmtId="0" fontId="1" fillId="0" borderId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312">
    <xf numFmtId="0" fontId="0" fillId="0" borderId="0" xfId="0"/>
    <xf numFmtId="37" fontId="46" fillId="0" borderId="0" xfId="64" applyFont="1"/>
    <xf numFmtId="37" fontId="47" fillId="0" borderId="0" xfId="64" applyFont="1"/>
    <xf numFmtId="37" fontId="47" fillId="0" borderId="0" xfId="64" applyFont="1" applyBorder="1"/>
    <xf numFmtId="37" fontId="48" fillId="0" borderId="0" xfId="64" applyFont="1" applyAlignment="1">
      <alignment horizontal="center"/>
    </xf>
    <xf numFmtId="37" fontId="46" fillId="0" borderId="0" xfId="64" applyFont="1" applyAlignment="1">
      <alignment horizontal="centerContinuous"/>
    </xf>
    <xf numFmtId="37" fontId="48" fillId="0" borderId="0" xfId="64" quotePrefix="1" applyFont="1" applyAlignment="1">
      <alignment horizontal="center"/>
    </xf>
    <xf numFmtId="43" fontId="49" fillId="0" borderId="0" xfId="33" applyFont="1" applyAlignment="1">
      <alignment horizontal="center"/>
    </xf>
    <xf numFmtId="37" fontId="47" fillId="0" borderId="0" xfId="64" applyFont="1" applyAlignment="1">
      <alignment horizontal="center"/>
    </xf>
    <xf numFmtId="37" fontId="47" fillId="0" borderId="0" xfId="64" applyFont="1" applyBorder="1" applyAlignment="1">
      <alignment horizontal="center"/>
    </xf>
    <xf numFmtId="37" fontId="47" fillId="0" borderId="0" xfId="64" quotePrefix="1" applyFont="1" applyAlignment="1">
      <alignment horizontal="center"/>
    </xf>
    <xf numFmtId="37" fontId="50" fillId="0" borderId="0" xfId="64" quotePrefix="1" applyFont="1" applyAlignment="1">
      <alignment horizontal="center"/>
    </xf>
    <xf numFmtId="37" fontId="47" fillId="0" borderId="11" xfId="64" applyFont="1" applyBorder="1" applyAlignment="1">
      <alignment horizontal="center"/>
    </xf>
    <xf numFmtId="37" fontId="48" fillId="0" borderId="0" xfId="64" applyFont="1"/>
    <xf numFmtId="37" fontId="47" fillId="0" borderId="0" xfId="64" quotePrefix="1" applyFont="1" applyAlignment="1">
      <alignment horizontal="left"/>
    </xf>
    <xf numFmtId="166" fontId="47" fillId="0" borderId="0" xfId="37" applyNumberFormat="1" applyFont="1"/>
    <xf numFmtId="10" fontId="47" fillId="0" borderId="0" xfId="72" applyNumberFormat="1" applyFont="1"/>
    <xf numFmtId="10" fontId="47" fillId="0" borderId="0" xfId="72" applyNumberFormat="1" applyFont="1" applyFill="1" applyAlignment="1">
      <alignment horizontal="center"/>
    </xf>
    <xf numFmtId="10" fontId="47" fillId="0" borderId="0" xfId="72" applyNumberFormat="1" applyFont="1" applyAlignment="1">
      <alignment horizontal="center"/>
    </xf>
    <xf numFmtId="10" fontId="47" fillId="0" borderId="0" xfId="64" applyNumberFormat="1" applyFont="1"/>
    <xf numFmtId="166" fontId="47" fillId="0" borderId="13" xfId="37" applyNumberFormat="1" applyFont="1" applyBorder="1"/>
    <xf numFmtId="164" fontId="47" fillId="0" borderId="13" xfId="72" applyNumberFormat="1" applyFont="1" applyBorder="1"/>
    <xf numFmtId="0" fontId="47" fillId="0" borderId="0" xfId="64" applyNumberFormat="1" applyFont="1" applyAlignment="1">
      <alignment horizontal="center"/>
    </xf>
    <xf numFmtId="43" fontId="49" fillId="0" borderId="0" xfId="33" applyFont="1" applyBorder="1" applyAlignment="1">
      <alignment horizontal="center"/>
    </xf>
    <xf numFmtId="37" fontId="47" fillId="0" borderId="0" xfId="64" quotePrefix="1" applyFont="1" applyBorder="1" applyAlignment="1">
      <alignment horizontal="center"/>
    </xf>
    <xf numFmtId="37" fontId="46" fillId="0" borderId="0" xfId="64" applyFont="1" applyBorder="1"/>
    <xf numFmtId="10" fontId="47" fillId="0" borderId="0" xfId="72" applyNumberFormat="1" applyFont="1" applyBorder="1"/>
    <xf numFmtId="10" fontId="47" fillId="0" borderId="0" xfId="64" applyNumberFormat="1" applyFont="1" applyBorder="1"/>
    <xf numFmtId="10" fontId="47" fillId="0" borderId="0" xfId="72" applyNumberFormat="1" applyFont="1" applyFill="1" applyBorder="1"/>
    <xf numFmtId="10" fontId="47" fillId="0" borderId="0" xfId="72" applyNumberFormat="1" applyFont="1" applyFill="1"/>
    <xf numFmtId="10" fontId="47" fillId="0" borderId="13" xfId="72" quotePrefix="1" applyNumberFormat="1" applyFont="1" applyFill="1" applyBorder="1" applyAlignment="1">
      <alignment horizontal="center"/>
    </xf>
    <xf numFmtId="170" fontId="47" fillId="0" borderId="0" xfId="72" applyNumberFormat="1" applyFont="1" applyBorder="1"/>
    <xf numFmtId="164" fontId="47" fillId="0" borderId="0" xfId="72" applyNumberFormat="1" applyFont="1" applyBorder="1"/>
    <xf numFmtId="171" fontId="47" fillId="0" borderId="0" xfId="72" applyNumberFormat="1" applyFont="1" applyBorder="1"/>
    <xf numFmtId="10" fontId="47" fillId="22" borderId="0" xfId="72" applyNumberFormat="1" applyFont="1" applyFill="1" applyAlignment="1">
      <alignment horizontal="center"/>
    </xf>
    <xf numFmtId="166" fontId="47" fillId="0" borderId="13" xfId="37" applyNumberFormat="1" applyFont="1" applyFill="1" applyBorder="1"/>
    <xf numFmtId="166" fontId="47" fillId="0" borderId="0" xfId="37" applyNumberFormat="1" applyFont="1" applyFill="1"/>
    <xf numFmtId="37" fontId="47" fillId="0" borderId="0" xfId="64" applyFont="1" applyFill="1"/>
    <xf numFmtId="165" fontId="47" fillId="0" borderId="0" xfId="33" applyNumberFormat="1" applyFont="1" applyFill="1"/>
    <xf numFmtId="166" fontId="47" fillId="0" borderId="0" xfId="37" applyNumberFormat="1" applyFont="1" applyFill="1" applyBorder="1"/>
    <xf numFmtId="37" fontId="47" fillId="0" borderId="0" xfId="64" applyFont="1" applyFill="1" applyBorder="1"/>
    <xf numFmtId="164" fontId="47" fillId="0" borderId="13" xfId="72" applyNumberFormat="1" applyFont="1" applyFill="1" applyBorder="1"/>
    <xf numFmtId="166" fontId="47" fillId="0" borderId="0" xfId="37" applyNumberFormat="1" applyFont="1" applyFill="1" applyBorder="1" applyAlignment="1">
      <alignment horizontal="center"/>
    </xf>
    <xf numFmtId="165" fontId="47" fillId="0" borderId="0" xfId="33" applyNumberFormat="1" applyFont="1" applyFill="1" applyBorder="1" applyAlignment="1">
      <alignment horizontal="center"/>
    </xf>
    <xf numFmtId="10" fontId="47" fillId="0" borderId="12" xfId="72" applyNumberFormat="1" applyFont="1" applyFill="1" applyBorder="1" applyAlignment="1">
      <alignment horizontal="center"/>
    </xf>
    <xf numFmtId="37" fontId="48" fillId="0" borderId="0" xfId="64" applyFont="1" applyAlignment="1">
      <alignment horizontal="center"/>
    </xf>
    <xf numFmtId="37" fontId="50" fillId="0" borderId="0" xfId="64" quotePrefix="1" applyFont="1" applyFill="1" applyAlignment="1">
      <alignment horizontal="center"/>
    </xf>
    <xf numFmtId="37" fontId="47" fillId="0" borderId="11" xfId="64" applyFont="1" applyFill="1" applyBorder="1" applyAlignment="1">
      <alignment horizontal="center"/>
    </xf>
    <xf numFmtId="37" fontId="47" fillId="0" borderId="0" xfId="64" applyFont="1" applyFill="1" applyAlignment="1">
      <alignment horizontal="center"/>
    </xf>
    <xf numFmtId="37" fontId="47" fillId="0" borderId="0" xfId="64" quotePrefix="1" applyFont="1"/>
    <xf numFmtId="43" fontId="46" fillId="0" borderId="0" xfId="33" applyFont="1" applyFill="1" applyAlignment="1">
      <alignment horizontal="center"/>
    </xf>
    <xf numFmtId="37" fontId="48" fillId="0" borderId="0" xfId="64" applyFont="1" applyAlignment="1">
      <alignment horizontal="center"/>
    </xf>
    <xf numFmtId="37" fontId="48" fillId="0" borderId="0" xfId="64" applyFont="1" applyAlignment="1">
      <alignment horizontal="centerContinuous"/>
    </xf>
    <xf numFmtId="37" fontId="48" fillId="0" borderId="0" xfId="64" quotePrefix="1" applyFont="1" applyAlignment="1">
      <alignment horizontal="centerContinuous"/>
    </xf>
    <xf numFmtId="37" fontId="47" fillId="0" borderId="0" xfId="143" applyFont="1" applyFill="1" applyBorder="1"/>
    <xf numFmtId="0" fontId="76" fillId="0" borderId="0" xfId="24362" applyFont="1" applyFill="1" applyAlignment="1">
      <alignment horizontal="centerContinuous"/>
    </xf>
    <xf numFmtId="0" fontId="77" fillId="0" borderId="0" xfId="24362" applyFont="1" applyFill="1" applyAlignment="1">
      <alignment horizontal="centerContinuous"/>
    </xf>
    <xf numFmtId="164" fontId="77" fillId="0" borderId="0" xfId="24362" applyNumberFormat="1" applyFont="1" applyFill="1" applyAlignment="1">
      <alignment horizontal="centerContinuous"/>
    </xf>
    <xf numFmtId="0" fontId="77" fillId="0" borderId="0" xfId="24362" applyFont="1" applyFill="1"/>
    <xf numFmtId="0" fontId="78" fillId="0" borderId="27" xfId="24362" applyFont="1" applyFill="1" applyBorder="1" applyAlignment="1">
      <alignment horizontal="centerContinuous"/>
    </xf>
    <xf numFmtId="0" fontId="77" fillId="0" borderId="28" xfId="24362" applyFont="1" applyFill="1" applyBorder="1" applyAlignment="1">
      <alignment horizontal="centerContinuous"/>
    </xf>
    <xf numFmtId="164" fontId="77" fillId="0" borderId="28" xfId="24362" applyNumberFormat="1" applyFont="1" applyFill="1" applyBorder="1" applyAlignment="1">
      <alignment horizontal="centerContinuous"/>
    </xf>
    <xf numFmtId="0" fontId="77" fillId="0" borderId="29" xfId="24362" applyFont="1" applyFill="1" applyBorder="1" applyAlignment="1">
      <alignment horizontal="centerContinuous"/>
    </xf>
    <xf numFmtId="0" fontId="77" fillId="0" borderId="0" xfId="24362" applyFont="1" applyFill="1" applyBorder="1" applyAlignment="1">
      <alignment horizontal="centerContinuous"/>
    </xf>
    <xf numFmtId="164" fontId="77" fillId="0" borderId="0" xfId="24362" applyNumberFormat="1" applyFont="1" applyFill="1" applyBorder="1" applyAlignment="1">
      <alignment horizontal="centerContinuous"/>
    </xf>
    <xf numFmtId="0" fontId="77" fillId="0" borderId="14" xfId="24362" applyFont="1" applyFill="1" applyBorder="1" applyAlignment="1">
      <alignment horizontal="centerContinuous"/>
    </xf>
    <xf numFmtId="0" fontId="77" fillId="0" borderId="15" xfId="24362" applyFont="1" applyFill="1" applyBorder="1"/>
    <xf numFmtId="0" fontId="77" fillId="0" borderId="0" xfId="24362" applyFont="1" applyFill="1" applyBorder="1"/>
    <xf numFmtId="0" fontId="77" fillId="0" borderId="30" xfId="24362" applyFont="1" applyFill="1" applyBorder="1" applyAlignment="1">
      <alignment horizontal="centerContinuous"/>
    </xf>
    <xf numFmtId="164" fontId="77" fillId="0" borderId="0" xfId="24362" applyNumberFormat="1" applyFont="1" applyFill="1" applyBorder="1" applyAlignment="1">
      <alignment horizontal="center"/>
    </xf>
    <xf numFmtId="0" fontId="77" fillId="0" borderId="0" xfId="24362" applyFont="1" applyFill="1" applyBorder="1" applyAlignment="1">
      <alignment horizontal="center"/>
    </xf>
    <xf numFmtId="0" fontId="77" fillId="0" borderId="14" xfId="24362" applyFont="1" applyFill="1" applyBorder="1"/>
    <xf numFmtId="0" fontId="79" fillId="0" borderId="0" xfId="24362" applyFont="1" applyFill="1" applyBorder="1" applyAlignment="1">
      <alignment horizontal="center"/>
    </xf>
    <xf numFmtId="164" fontId="79" fillId="0" borderId="0" xfId="24362" applyNumberFormat="1" applyFont="1" applyFill="1" applyBorder="1" applyAlignment="1">
      <alignment horizontal="center"/>
    </xf>
    <xf numFmtId="0" fontId="77" fillId="0" borderId="15" xfId="24362" applyFont="1" applyFill="1" applyBorder="1" applyAlignment="1">
      <alignment horizontal="left"/>
    </xf>
    <xf numFmtId="176" fontId="77" fillId="0" borderId="0" xfId="24362" applyNumberFormat="1" applyFont="1" applyFill="1" applyBorder="1" applyAlignment="1" applyProtection="1">
      <alignment horizontal="center"/>
    </xf>
    <xf numFmtId="42" fontId="77" fillId="0" borderId="0" xfId="24362" applyNumberFormat="1" applyFont="1" applyFill="1" applyBorder="1" applyProtection="1"/>
    <xf numFmtId="42" fontId="77" fillId="0" borderId="0" xfId="24362" applyNumberFormat="1" applyFont="1" applyFill="1" applyBorder="1"/>
    <xf numFmtId="164" fontId="77" fillId="0" borderId="0" xfId="72" applyNumberFormat="1" applyFont="1" applyFill="1" applyBorder="1" applyAlignment="1" applyProtection="1">
      <alignment horizontal="right"/>
    </xf>
    <xf numFmtId="41" fontId="77" fillId="0" borderId="0" xfId="24362" applyNumberFormat="1" applyFont="1" applyFill="1" applyBorder="1" applyProtection="1"/>
    <xf numFmtId="37" fontId="77" fillId="0" borderId="0" xfId="24362" applyNumberFormat="1" applyFont="1" applyFill="1" applyBorder="1" applyAlignment="1" applyProtection="1">
      <alignment horizontal="center"/>
    </xf>
    <xf numFmtId="164" fontId="77" fillId="0" borderId="0" xfId="72" applyNumberFormat="1" applyFont="1" applyFill="1" applyBorder="1" applyProtection="1"/>
    <xf numFmtId="41" fontId="77" fillId="0" borderId="0" xfId="33" applyNumberFormat="1" applyFont="1" applyFill="1" applyBorder="1" applyProtection="1"/>
    <xf numFmtId="41" fontId="77" fillId="0" borderId="0" xfId="33" applyNumberFormat="1" applyFont="1" applyFill="1" applyBorder="1" applyAlignment="1" applyProtection="1">
      <alignment horizontal="center"/>
    </xf>
    <xf numFmtId="164" fontId="77" fillId="0" borderId="0" xfId="24362" applyNumberFormat="1" applyFont="1" applyFill="1"/>
    <xf numFmtId="0" fontId="77" fillId="0" borderId="0" xfId="24362" applyFont="1" applyFill="1" applyAlignment="1">
      <alignment horizontal="center"/>
    </xf>
    <xf numFmtId="37" fontId="77" fillId="0" borderId="0" xfId="24362" applyNumberFormat="1" applyFont="1" applyFill="1" applyBorder="1" applyProtection="1"/>
    <xf numFmtId="164" fontId="80" fillId="0" borderId="0" xfId="72" applyNumberFormat="1" applyFont="1" applyFill="1" applyBorder="1" applyProtection="1"/>
    <xf numFmtId="164" fontId="77" fillId="0" borderId="0" xfId="24362" applyNumberFormat="1" applyFont="1" applyFill="1" applyBorder="1"/>
    <xf numFmtId="41" fontId="77" fillId="0" borderId="0" xfId="24362" applyNumberFormat="1" applyFont="1" applyFill="1" applyBorder="1"/>
    <xf numFmtId="171" fontId="77" fillId="0" borderId="0" xfId="72" applyNumberFormat="1" applyFont="1" applyFill="1" applyBorder="1" applyProtection="1"/>
    <xf numFmtId="0" fontId="76" fillId="0" borderId="15" xfId="24362" applyFont="1" applyFill="1" applyBorder="1"/>
    <xf numFmtId="177" fontId="77" fillId="0" borderId="0" xfId="24362" applyNumberFormat="1" applyFont="1" applyFill="1" applyBorder="1" applyProtection="1"/>
    <xf numFmtId="42" fontId="77" fillId="0" borderId="26" xfId="24362" applyNumberFormat="1" applyFont="1" applyFill="1" applyBorder="1" applyAlignment="1" applyProtection="1">
      <alignment horizontal="right"/>
    </xf>
    <xf numFmtId="42" fontId="76" fillId="0" borderId="0" xfId="24362" applyNumberFormat="1" applyFont="1" applyFill="1" applyBorder="1" applyAlignment="1">
      <alignment horizontal="left"/>
    </xf>
    <xf numFmtId="164" fontId="76" fillId="0" borderId="31" xfId="72" applyNumberFormat="1" applyFont="1" applyFill="1" applyBorder="1" applyAlignment="1" applyProtection="1">
      <alignment horizontal="center"/>
    </xf>
    <xf numFmtId="0" fontId="76" fillId="0" borderId="0" xfId="24362" applyFont="1" applyFill="1" applyBorder="1" applyAlignment="1">
      <alignment horizontal="left"/>
    </xf>
    <xf numFmtId="164" fontId="77" fillId="0" borderId="0" xfId="24362" applyNumberFormat="1" applyFont="1" applyFill="1" applyBorder="1" applyAlignment="1" applyProtection="1">
      <alignment horizontal="center"/>
    </xf>
    <xf numFmtId="42" fontId="77" fillId="0" borderId="0" xfId="33" applyNumberFormat="1" applyFont="1" applyFill="1" applyBorder="1"/>
    <xf numFmtId="164" fontId="77" fillId="0" borderId="0" xfId="33" applyNumberFormat="1" applyFont="1" applyFill="1" applyBorder="1"/>
    <xf numFmtId="41" fontId="77" fillId="0" borderId="0" xfId="33" applyNumberFormat="1" applyFont="1" applyFill="1" applyBorder="1"/>
    <xf numFmtId="42" fontId="77" fillId="0" borderId="26" xfId="24362" applyNumberFormat="1" applyFont="1" applyFill="1" applyBorder="1" applyProtection="1"/>
    <xf numFmtId="177" fontId="77" fillId="0" borderId="0" xfId="24362" applyNumberFormat="1" applyFont="1" applyFill="1" applyBorder="1" applyAlignment="1" applyProtection="1">
      <alignment horizontal="left"/>
    </xf>
    <xf numFmtId="42" fontId="77" fillId="0" borderId="12" xfId="24362" applyNumberFormat="1" applyFont="1" applyFill="1" applyBorder="1" applyProtection="1"/>
    <xf numFmtId="0" fontId="77" fillId="0" borderId="32" xfId="24362" applyFont="1" applyFill="1" applyBorder="1"/>
    <xf numFmtId="0" fontId="77" fillId="0" borderId="11" xfId="24362" applyFont="1" applyFill="1" applyBorder="1"/>
    <xf numFmtId="177" fontId="77" fillId="0" borderId="11" xfId="24362" applyNumberFormat="1" applyFont="1" applyFill="1" applyBorder="1" applyAlignment="1" applyProtection="1">
      <alignment horizontal="left"/>
    </xf>
    <xf numFmtId="37" fontId="77" fillId="0" borderId="11" xfId="24362" applyNumberFormat="1" applyFont="1" applyFill="1" applyBorder="1" applyProtection="1"/>
    <xf numFmtId="164" fontId="76" fillId="0" borderId="11" xfId="24362" applyNumberFormat="1" applyFont="1" applyFill="1" applyBorder="1" applyAlignment="1" applyProtection="1">
      <alignment horizontal="center"/>
    </xf>
    <xf numFmtId="0" fontId="77" fillId="0" borderId="33" xfId="24362" applyFont="1" applyFill="1" applyBorder="1"/>
    <xf numFmtId="177" fontId="77" fillId="0" borderId="0" xfId="24362" applyNumberFormat="1" applyFont="1" applyFill="1" applyAlignment="1" applyProtection="1">
      <alignment horizontal="left"/>
    </xf>
    <xf numFmtId="37" fontId="77" fillId="0" borderId="0" xfId="24362" applyNumberFormat="1" applyFont="1" applyFill="1" applyProtection="1"/>
    <xf numFmtId="164" fontId="76" fillId="0" borderId="0" xfId="24362" applyNumberFormat="1" applyFont="1" applyFill="1" applyBorder="1" applyProtection="1"/>
    <xf numFmtId="39" fontId="77" fillId="0" borderId="0" xfId="24362" applyNumberFormat="1" applyFont="1" applyFill="1" applyProtection="1"/>
    <xf numFmtId="165" fontId="77" fillId="0" borderId="0" xfId="33" applyNumberFormat="1" applyFont="1" applyFill="1"/>
    <xf numFmtId="0" fontId="79" fillId="0" borderId="0" xfId="24362" applyFont="1" applyFill="1" applyBorder="1"/>
    <xf numFmtId="0" fontId="79" fillId="0" borderId="14" xfId="24362" applyFont="1" applyFill="1" applyBorder="1" applyAlignment="1">
      <alignment horizontal="centerContinuous"/>
    </xf>
    <xf numFmtId="164" fontId="77" fillId="0" borderId="0" xfId="24362" applyNumberFormat="1" applyFont="1" applyFill="1" applyBorder="1" applyProtection="1"/>
    <xf numFmtId="42" fontId="77" fillId="0" borderId="12" xfId="33" applyNumberFormat="1" applyFont="1" applyFill="1" applyBorder="1"/>
    <xf numFmtId="42" fontId="77" fillId="0" borderId="0" xfId="33" applyNumberFormat="1" applyFont="1" applyFill="1" applyBorder="1" applyAlignment="1">
      <alignment horizontal="center"/>
    </xf>
    <xf numFmtId="165" fontId="77" fillId="0" borderId="11" xfId="33" applyNumberFormat="1" applyFont="1" applyFill="1" applyBorder="1"/>
    <xf numFmtId="164" fontId="77" fillId="0" borderId="11" xfId="24362" applyNumberFormat="1" applyFont="1" applyFill="1" applyBorder="1"/>
    <xf numFmtId="177" fontId="77" fillId="0" borderId="0" xfId="24362" applyNumberFormat="1" applyFont="1" applyFill="1" applyProtection="1"/>
    <xf numFmtId="164" fontId="76" fillId="0" borderId="31" xfId="72" applyNumberFormat="1" applyFont="1" applyFill="1" applyBorder="1"/>
    <xf numFmtId="42" fontId="77" fillId="0" borderId="0" xfId="24362" applyNumberFormat="1" applyFont="1" applyFill="1"/>
    <xf numFmtId="178" fontId="77" fillId="0" borderId="0" xfId="24362" applyNumberFormat="1" applyFont="1" applyFill="1"/>
    <xf numFmtId="14" fontId="77" fillId="0" borderId="0" xfId="24362" applyNumberFormat="1" applyFont="1" applyFill="1"/>
    <xf numFmtId="43" fontId="77" fillId="0" borderId="0" xfId="24362" applyNumberFormat="1" applyFont="1" applyFill="1"/>
    <xf numFmtId="0" fontId="77" fillId="0" borderId="0" xfId="24362" applyFont="1" applyFill="1" applyAlignment="1">
      <alignment horizontal="left"/>
    </xf>
    <xf numFmtId="39" fontId="77" fillId="0" borderId="0" xfId="24362" applyNumberFormat="1" applyFont="1" applyFill="1"/>
    <xf numFmtId="42" fontId="77" fillId="0" borderId="0" xfId="33" applyNumberFormat="1" applyFont="1" applyFill="1" applyBorder="1" applyProtection="1"/>
    <xf numFmtId="42" fontId="77" fillId="0" borderId="0" xfId="33" applyNumberFormat="1" applyFont="1" applyFill="1" applyBorder="1" applyAlignment="1" applyProtection="1">
      <alignment horizontal="center"/>
    </xf>
    <xf numFmtId="0" fontId="77" fillId="0" borderId="0" xfId="24362" applyFont="1" applyFill="1" applyAlignment="1"/>
    <xf numFmtId="41" fontId="77" fillId="0" borderId="11" xfId="24362" applyNumberFormat="1" applyFont="1" applyFill="1" applyBorder="1"/>
    <xf numFmtId="164" fontId="77" fillId="0" borderId="0" xfId="72" applyNumberFormat="1" applyFont="1" applyFill="1" applyBorder="1"/>
    <xf numFmtId="164" fontId="76" fillId="0" borderId="31" xfId="24362" applyNumberFormat="1" applyFont="1" applyFill="1" applyBorder="1"/>
    <xf numFmtId="37" fontId="76" fillId="0" borderId="0" xfId="24362" applyNumberFormat="1" applyFont="1" applyFill="1" applyBorder="1" applyAlignment="1" applyProtection="1">
      <alignment horizontal="center"/>
    </xf>
    <xf numFmtId="0" fontId="76" fillId="0" borderId="0" xfId="24362" applyFont="1" applyFill="1" applyBorder="1"/>
    <xf numFmtId="0" fontId="77" fillId="0" borderId="11" xfId="24362" applyFont="1" applyFill="1" applyBorder="1" applyAlignment="1">
      <alignment horizontal="center"/>
    </xf>
    <xf numFmtId="37" fontId="76" fillId="0" borderId="0" xfId="24362" applyNumberFormat="1" applyFont="1" applyFill="1" applyAlignment="1" applyProtection="1">
      <alignment horizontal="right"/>
    </xf>
    <xf numFmtId="0" fontId="77" fillId="0" borderId="0" xfId="24362" applyFont="1" applyFill="1" applyBorder="1" applyAlignment="1">
      <alignment horizontal="left"/>
    </xf>
    <xf numFmtId="0" fontId="76" fillId="0" borderId="15" xfId="24362" applyFont="1" applyFill="1" applyBorder="1" applyAlignment="1">
      <alignment horizontal="left"/>
    </xf>
    <xf numFmtId="176" fontId="77" fillId="0" borderId="0" xfId="24362" applyNumberFormat="1" applyFont="1" applyFill="1" applyBorder="1" applyAlignment="1">
      <alignment horizontal="center"/>
    </xf>
    <xf numFmtId="165" fontId="77" fillId="0" borderId="0" xfId="24362" applyNumberFormat="1" applyFont="1" applyFill="1" applyBorder="1"/>
    <xf numFmtId="41" fontId="77" fillId="0" borderId="11" xfId="24362" applyNumberFormat="1" applyFont="1" applyFill="1" applyBorder="1" applyAlignment="1">
      <alignment horizontal="center"/>
    </xf>
    <xf numFmtId="41" fontId="77" fillId="0" borderId="0" xfId="24362" applyNumberFormat="1" applyFont="1" applyFill="1" applyBorder="1" applyAlignment="1">
      <alignment horizontal="center"/>
    </xf>
    <xf numFmtId="10" fontId="76" fillId="0" borderId="0" xfId="24362" applyNumberFormat="1" applyFont="1" applyFill="1" applyAlignment="1">
      <alignment horizontal="center"/>
    </xf>
    <xf numFmtId="42" fontId="77" fillId="0" borderId="12" xfId="24362" applyNumberFormat="1" applyFont="1" applyFill="1" applyBorder="1"/>
    <xf numFmtId="42" fontId="77" fillId="0" borderId="0" xfId="24362" applyNumberFormat="1" applyFont="1" applyFill="1" applyBorder="1" applyAlignment="1" applyProtection="1">
      <alignment horizontal="right"/>
    </xf>
    <xf numFmtId="0" fontId="77" fillId="0" borderId="11" xfId="24362" applyFont="1" applyFill="1" applyBorder="1" applyAlignment="1">
      <alignment horizontal="center" wrapText="1"/>
    </xf>
    <xf numFmtId="164" fontId="77" fillId="0" borderId="11" xfId="24362" applyNumberFormat="1" applyFont="1" applyFill="1" applyBorder="1" applyAlignment="1">
      <alignment horizontal="center" wrapText="1"/>
    </xf>
    <xf numFmtId="164" fontId="77" fillId="0" borderId="11" xfId="24362" applyNumberFormat="1" applyFont="1" applyFill="1" applyBorder="1" applyAlignment="1">
      <alignment horizontal="center"/>
    </xf>
    <xf numFmtId="42" fontId="77" fillId="54" borderId="0" xfId="33" applyNumberFormat="1" applyFont="1" applyFill="1" applyBorder="1" applyAlignment="1" applyProtection="1">
      <alignment horizontal="center"/>
    </xf>
    <xf numFmtId="42" fontId="77" fillId="54" borderId="0" xfId="24362" applyNumberFormat="1" applyFont="1" applyFill="1" applyBorder="1" applyProtection="1"/>
    <xf numFmtId="164" fontId="77" fillId="54" borderId="0" xfId="72" applyNumberFormat="1" applyFont="1" applyFill="1" applyBorder="1" applyAlignment="1" applyProtection="1">
      <alignment horizontal="right"/>
    </xf>
    <xf numFmtId="41" fontId="77" fillId="54" borderId="0" xfId="33" applyNumberFormat="1" applyFont="1" applyFill="1" applyBorder="1" applyAlignment="1" applyProtection="1">
      <alignment horizontal="center"/>
    </xf>
    <xf numFmtId="41" fontId="77" fillId="54" borderId="0" xfId="24362" applyNumberFormat="1" applyFont="1" applyFill="1" applyBorder="1" applyProtection="1"/>
    <xf numFmtId="42" fontId="77" fillId="54" borderId="26" xfId="24362" applyNumberFormat="1" applyFont="1" applyFill="1" applyBorder="1" applyAlignment="1" applyProtection="1">
      <alignment horizontal="right"/>
    </xf>
    <xf numFmtId="164" fontId="76" fillId="54" borderId="31" xfId="72" applyNumberFormat="1" applyFont="1" applyFill="1" applyBorder="1" applyAlignment="1" applyProtection="1">
      <alignment horizontal="center"/>
    </xf>
    <xf numFmtId="42" fontId="77" fillId="54" borderId="12" xfId="24362" applyNumberFormat="1" applyFont="1" applyFill="1" applyBorder="1"/>
    <xf numFmtId="164" fontId="76" fillId="54" borderId="31" xfId="72" applyNumberFormat="1" applyFont="1" applyFill="1" applyBorder="1"/>
    <xf numFmtId="175" fontId="76" fillId="0" borderId="0" xfId="24362" applyNumberFormat="1" applyFont="1" applyFill="1" applyAlignment="1">
      <alignment horizontal="centerContinuous"/>
    </xf>
    <xf numFmtId="0" fontId="76" fillId="0" borderId="11" xfId="24362" applyFont="1" applyFill="1" applyBorder="1" applyAlignment="1">
      <alignment horizontal="centerContinuous"/>
    </xf>
    <xf numFmtId="0" fontId="76" fillId="0" borderId="0" xfId="24362" applyFont="1" applyFill="1" applyAlignment="1">
      <alignment horizontal="right"/>
    </xf>
    <xf numFmtId="175" fontId="76" fillId="0" borderId="0" xfId="24362" applyNumberFormat="1" applyFont="1" applyFill="1" applyAlignment="1">
      <alignment horizontal="right"/>
    </xf>
    <xf numFmtId="0" fontId="81" fillId="0" borderId="34" xfId="57524" applyFont="1" applyFill="1" applyBorder="1"/>
    <xf numFmtId="0" fontId="82" fillId="0" borderId="35" xfId="57524" applyFont="1" applyFill="1" applyBorder="1"/>
    <xf numFmtId="0" fontId="81" fillId="0" borderId="36" xfId="57524" quotePrefix="1" applyFont="1" applyFill="1" applyBorder="1" applyAlignment="1">
      <alignment horizontal="right"/>
    </xf>
    <xf numFmtId="0" fontId="82" fillId="0" borderId="0" xfId="57524" applyFont="1" applyFill="1"/>
    <xf numFmtId="0" fontId="81" fillId="0" borderId="35" xfId="57524" applyFont="1" applyFill="1" applyBorder="1"/>
    <xf numFmtId="165" fontId="82" fillId="0" borderId="0" xfId="57525" applyNumberFormat="1" applyFont="1" applyFill="1"/>
    <xf numFmtId="0" fontId="81" fillId="0" borderId="37" xfId="57524" applyFont="1" applyFill="1" applyBorder="1"/>
    <xf numFmtId="0" fontId="82" fillId="0" borderId="0" xfId="57524" applyFont="1" applyFill="1" applyBorder="1"/>
    <xf numFmtId="0" fontId="81" fillId="0" borderId="38" xfId="57524" quotePrefix="1" applyFont="1" applyFill="1" applyBorder="1" applyAlignment="1">
      <alignment horizontal="right"/>
    </xf>
    <xf numFmtId="0" fontId="81" fillId="0" borderId="38" xfId="57524" applyFont="1" applyFill="1" applyBorder="1" applyAlignment="1">
      <alignment horizontal="right"/>
    </xf>
    <xf numFmtId="0" fontId="81" fillId="0" borderId="0" xfId="57524" applyFont="1" applyFill="1" applyBorder="1"/>
    <xf numFmtId="0" fontId="81" fillId="0" borderId="37" xfId="57524" quotePrefix="1" applyFont="1" applyFill="1" applyBorder="1" applyAlignment="1">
      <alignment horizontal="left"/>
    </xf>
    <xf numFmtId="0" fontId="82" fillId="0" borderId="37" xfId="57524" applyFont="1" applyFill="1" applyBorder="1"/>
    <xf numFmtId="0" fontId="82" fillId="0" borderId="38" xfId="57524" applyFont="1" applyFill="1" applyBorder="1"/>
    <xf numFmtId="0" fontId="82" fillId="0" borderId="34" xfId="57524" quotePrefix="1" applyFont="1" applyFill="1" applyBorder="1" applyAlignment="1">
      <alignment horizontal="center"/>
    </xf>
    <xf numFmtId="0" fontId="82" fillId="0" borderId="35" xfId="57524" quotePrefix="1" applyFont="1" applyFill="1" applyBorder="1" applyAlignment="1">
      <alignment horizontal="center"/>
    </xf>
    <xf numFmtId="0" fontId="82" fillId="0" borderId="36" xfId="57524" quotePrefix="1" applyFont="1" applyFill="1" applyBorder="1" applyAlignment="1">
      <alignment horizontal="center"/>
    </xf>
    <xf numFmtId="0" fontId="82" fillId="0" borderId="34" xfId="57524" applyFont="1" applyFill="1" applyBorder="1" applyAlignment="1">
      <alignment horizontal="center"/>
    </xf>
    <xf numFmtId="0" fontId="82" fillId="0" borderId="35" xfId="57524" applyFont="1" applyFill="1" applyBorder="1" applyAlignment="1">
      <alignment horizontal="center"/>
    </xf>
    <xf numFmtId="0" fontId="82" fillId="0" borderId="36" xfId="57524" applyFont="1" applyFill="1" applyBorder="1" applyAlignment="1">
      <alignment horizontal="center"/>
    </xf>
    <xf numFmtId="0" fontId="82" fillId="0" borderId="37" xfId="57524" applyFont="1" applyFill="1" applyBorder="1" applyAlignment="1">
      <alignment horizontal="center" wrapText="1"/>
    </xf>
    <xf numFmtId="0" fontId="82" fillId="0" borderId="0" xfId="57524" applyFont="1" applyFill="1" applyBorder="1" applyAlignment="1">
      <alignment horizontal="center" wrapText="1"/>
    </xf>
    <xf numFmtId="0" fontId="82" fillId="0" borderId="38" xfId="57524" quotePrefix="1" applyFont="1" applyFill="1" applyBorder="1" applyAlignment="1">
      <alignment horizontal="center" wrapText="1"/>
    </xf>
    <xf numFmtId="0" fontId="82" fillId="0" borderId="0" xfId="57524" applyFont="1" applyFill="1" applyAlignment="1">
      <alignment horizontal="center" wrapText="1"/>
    </xf>
    <xf numFmtId="0" fontId="82" fillId="0" borderId="38" xfId="57524" applyFont="1" applyFill="1" applyBorder="1" applyAlignment="1">
      <alignment horizontal="left" wrapText="1"/>
    </xf>
    <xf numFmtId="0" fontId="82" fillId="0" borderId="0" xfId="57524" quotePrefix="1" applyFont="1" applyFill="1" applyBorder="1" applyAlignment="1">
      <alignment horizontal="center" wrapText="1"/>
    </xf>
    <xf numFmtId="0" fontId="82" fillId="0" borderId="38" xfId="57524" applyFont="1" applyFill="1" applyBorder="1" applyAlignment="1">
      <alignment horizontal="center" wrapText="1"/>
    </xf>
    <xf numFmtId="165" fontId="82" fillId="0" borderId="0" xfId="57525" applyNumberFormat="1" applyFont="1" applyFill="1" applyAlignment="1">
      <alignment horizontal="center" wrapText="1"/>
    </xf>
    <xf numFmtId="0" fontId="82" fillId="0" borderId="39" xfId="57524" applyFont="1" applyFill="1" applyBorder="1"/>
    <xf numFmtId="0" fontId="82" fillId="0" borderId="11" xfId="57524" applyFont="1" applyFill="1" applyBorder="1"/>
    <xf numFmtId="0" fontId="82" fillId="0" borderId="11" xfId="57524" quotePrefix="1" applyFont="1" applyFill="1" applyBorder="1" applyAlignment="1">
      <alignment horizontal="center"/>
    </xf>
    <xf numFmtId="0" fontId="82" fillId="0" borderId="11" xfId="57524" applyFont="1" applyFill="1" applyBorder="1" applyAlignment="1">
      <alignment horizontal="center"/>
    </xf>
    <xf numFmtId="0" fontId="82" fillId="0" borderId="40" xfId="57524" quotePrefix="1" applyFont="1" applyFill="1" applyBorder="1" applyAlignment="1">
      <alignment horizontal="center"/>
    </xf>
    <xf numFmtId="0" fontId="82" fillId="0" borderId="11" xfId="57524" applyFont="1" applyFill="1" applyBorder="1" applyAlignment="1"/>
    <xf numFmtId="0" fontId="83" fillId="0" borderId="11" xfId="57524" quotePrefix="1" applyFont="1" applyFill="1" applyBorder="1" applyAlignment="1">
      <alignment horizontal="right" wrapText="1"/>
    </xf>
    <xf numFmtId="0" fontId="82" fillId="0" borderId="40" xfId="57524" applyFont="1" applyFill="1" applyBorder="1"/>
    <xf numFmtId="0" fontId="82" fillId="0" borderId="11" xfId="57524" quotePrefix="1" applyFont="1" applyFill="1" applyBorder="1" applyAlignment="1">
      <alignment horizontal="center" wrapText="1"/>
    </xf>
    <xf numFmtId="0" fontId="82" fillId="0" borderId="11" xfId="57524" applyFont="1" applyBorder="1"/>
    <xf numFmtId="0" fontId="82" fillId="0" borderId="40" xfId="57524" quotePrefix="1" applyFont="1" applyFill="1" applyBorder="1" applyAlignment="1">
      <alignment horizontal="center" wrapText="1"/>
    </xf>
    <xf numFmtId="169" fontId="82" fillId="0" borderId="37" xfId="57524" applyNumberFormat="1" applyFont="1" applyFill="1" applyBorder="1" applyAlignment="1">
      <alignment horizontal="center"/>
    </xf>
    <xf numFmtId="169" fontId="82" fillId="0" borderId="28" xfId="57524" applyNumberFormat="1" applyFont="1" applyFill="1" applyBorder="1" applyAlignment="1">
      <alignment horizontal="center"/>
    </xf>
    <xf numFmtId="10" fontId="82" fillId="0" borderId="28" xfId="57526" applyNumberFormat="1" applyFont="1" applyFill="1" applyBorder="1" applyAlignment="1">
      <alignment horizontal="center"/>
    </xf>
    <xf numFmtId="42" fontId="82" fillId="0" borderId="0" xfId="57525" applyNumberFormat="1" applyFont="1" applyFill="1" applyBorder="1"/>
    <xf numFmtId="166" fontId="82" fillId="0" borderId="0" xfId="57524" applyNumberFormat="1" applyFont="1" applyFill="1" applyBorder="1"/>
    <xf numFmtId="179" fontId="82" fillId="0" borderId="28" xfId="57527" applyNumberFormat="1" applyFont="1" applyFill="1" applyBorder="1"/>
    <xf numFmtId="179" fontId="82" fillId="0" borderId="41" xfId="57527" applyNumberFormat="1" applyFont="1" applyFill="1" applyBorder="1"/>
    <xf numFmtId="169" fontId="82" fillId="0" borderId="42" xfId="57524" applyNumberFormat="1" applyFont="1" applyFill="1" applyBorder="1" applyAlignment="1">
      <alignment horizontal="center"/>
    </xf>
    <xf numFmtId="166" fontId="82" fillId="0" borderId="28" xfId="57524" applyNumberFormat="1" applyFont="1" applyFill="1" applyBorder="1"/>
    <xf numFmtId="179" fontId="82" fillId="0" borderId="28" xfId="57524" applyNumberFormat="1" applyFont="1" applyFill="1" applyBorder="1"/>
    <xf numFmtId="10" fontId="82" fillId="0" borderId="28" xfId="57524" applyNumberFormat="1" applyFont="1" applyFill="1" applyBorder="1" applyAlignment="1">
      <alignment horizontal="center"/>
    </xf>
    <xf numFmtId="179" fontId="82" fillId="0" borderId="41" xfId="57524" applyNumberFormat="1" applyFont="1" applyFill="1" applyBorder="1"/>
    <xf numFmtId="169" fontId="82" fillId="0" borderId="37" xfId="57524" applyNumberFormat="1" applyFont="1" applyFill="1" applyBorder="1"/>
    <xf numFmtId="10" fontId="82" fillId="0" borderId="0" xfId="57524" applyNumberFormat="1" applyFont="1" applyFill="1" applyBorder="1" applyAlignment="1">
      <alignment horizontal="center"/>
    </xf>
    <xf numFmtId="165" fontId="82" fillId="0" borderId="0" xfId="57525" applyNumberFormat="1" applyFont="1" applyFill="1" applyBorder="1"/>
    <xf numFmtId="179" fontId="82" fillId="0" borderId="0" xfId="57525" applyNumberFormat="1" applyFont="1" applyFill="1" applyBorder="1"/>
    <xf numFmtId="10" fontId="82" fillId="0" borderId="0" xfId="57526" applyNumberFormat="1" applyFont="1" applyFill="1" applyBorder="1" applyAlignment="1">
      <alignment horizontal="center"/>
    </xf>
    <xf numFmtId="169" fontId="82" fillId="0" borderId="0" xfId="57524" applyNumberFormat="1" applyFont="1" applyFill="1" applyBorder="1"/>
    <xf numFmtId="42" fontId="82" fillId="0" borderId="38" xfId="57524" applyNumberFormat="1" applyFont="1" applyFill="1" applyBorder="1"/>
    <xf numFmtId="37" fontId="82" fillId="0" borderId="0" xfId="57524" applyNumberFormat="1" applyFont="1" applyFill="1"/>
    <xf numFmtId="169" fontId="82" fillId="0" borderId="0" xfId="57524" applyNumberFormat="1" applyFont="1" applyFill="1" applyBorder="1" applyAlignment="1">
      <alignment horizontal="center"/>
    </xf>
    <xf numFmtId="180" fontId="82" fillId="0" borderId="0" xfId="57525" applyNumberFormat="1" applyFont="1" applyFill="1" applyBorder="1"/>
    <xf numFmtId="180" fontId="82" fillId="0" borderId="38" xfId="57525" applyNumberFormat="1" applyFont="1" applyFill="1" applyBorder="1"/>
    <xf numFmtId="165" fontId="82" fillId="0" borderId="0" xfId="57524" applyNumberFormat="1" applyFont="1" applyFill="1" applyBorder="1"/>
    <xf numFmtId="41" fontId="82" fillId="0" borderId="38" xfId="57524" applyNumberFormat="1" applyFont="1" applyFill="1" applyBorder="1"/>
    <xf numFmtId="165" fontId="82" fillId="0" borderId="0" xfId="57524" applyNumberFormat="1" applyFont="1" applyFill="1"/>
    <xf numFmtId="180" fontId="82" fillId="0" borderId="11" xfId="57525" applyNumberFormat="1" applyFont="1" applyFill="1" applyBorder="1"/>
    <xf numFmtId="180" fontId="82" fillId="0" borderId="40" xfId="57525" applyNumberFormat="1" applyFont="1" applyFill="1" applyBorder="1"/>
    <xf numFmtId="37" fontId="82" fillId="0" borderId="0" xfId="57525" applyNumberFormat="1" applyFont="1" applyFill="1" applyBorder="1"/>
    <xf numFmtId="179" fontId="82" fillId="0" borderId="0" xfId="57527" applyNumberFormat="1" applyFont="1" applyFill="1" applyBorder="1"/>
    <xf numFmtId="179" fontId="82" fillId="0" borderId="38" xfId="57527" applyNumberFormat="1" applyFont="1" applyFill="1" applyBorder="1"/>
    <xf numFmtId="166" fontId="82" fillId="0" borderId="28" xfId="57527" applyNumberFormat="1" applyFont="1" applyFill="1" applyBorder="1"/>
    <xf numFmtId="166" fontId="82" fillId="0" borderId="41" xfId="57527" applyNumberFormat="1" applyFont="1" applyFill="1" applyBorder="1"/>
    <xf numFmtId="181" fontId="82" fillId="0" borderId="0" xfId="57525" applyNumberFormat="1" applyFont="1" applyFill="1"/>
    <xf numFmtId="169" fontId="82" fillId="0" borderId="43" xfId="57524" applyNumberFormat="1" applyFont="1" applyFill="1" applyBorder="1" applyAlignment="1">
      <alignment horizontal="center"/>
    </xf>
    <xf numFmtId="169" fontId="82" fillId="0" borderId="44" xfId="57524" applyNumberFormat="1" applyFont="1" applyFill="1" applyBorder="1" applyAlignment="1">
      <alignment horizontal="center"/>
    </xf>
    <xf numFmtId="10" fontId="82" fillId="0" borderId="44" xfId="57526" applyNumberFormat="1" applyFont="1" applyFill="1" applyBorder="1" applyAlignment="1">
      <alignment horizontal="center"/>
    </xf>
    <xf numFmtId="37" fontId="82" fillId="0" borderId="44" xfId="57525" applyNumberFormat="1" applyFont="1" applyFill="1" applyBorder="1"/>
    <xf numFmtId="165" fontId="82" fillId="0" borderId="44" xfId="57525" applyNumberFormat="1" applyFont="1" applyFill="1" applyBorder="1"/>
    <xf numFmtId="0" fontId="82" fillId="0" borderId="45" xfId="57524" applyFont="1" applyFill="1" applyBorder="1"/>
    <xf numFmtId="165" fontId="82" fillId="0" borderId="44" xfId="57524" applyNumberFormat="1" applyFont="1" applyFill="1" applyBorder="1"/>
    <xf numFmtId="10" fontId="82" fillId="0" borderId="44" xfId="57524" applyNumberFormat="1" applyFont="1" applyFill="1" applyBorder="1" applyAlignment="1">
      <alignment horizontal="center"/>
    </xf>
    <xf numFmtId="0" fontId="82" fillId="0" borderId="43" xfId="57524" applyFont="1" applyFill="1" applyBorder="1"/>
    <xf numFmtId="0" fontId="82" fillId="0" borderId="44" xfId="57524" applyFont="1" applyFill="1" applyBorder="1"/>
    <xf numFmtId="4" fontId="82" fillId="0" borderId="0" xfId="57524" applyNumberFormat="1" applyFont="1" applyFill="1"/>
    <xf numFmtId="43" fontId="82" fillId="0" borderId="0" xfId="57525" applyFont="1" applyFill="1" applyBorder="1"/>
    <xf numFmtId="0" fontId="84" fillId="0" borderId="0" xfId="124" applyFont="1" applyFill="1"/>
    <xf numFmtId="0" fontId="85" fillId="0" borderId="0" xfId="124" applyFont="1" applyFill="1"/>
    <xf numFmtId="0" fontId="36" fillId="0" borderId="0" xfId="124" applyFont="1" applyFill="1"/>
    <xf numFmtId="0" fontId="84" fillId="0" borderId="0" xfId="57524" quotePrefix="1" applyFont="1" applyFill="1" applyAlignment="1">
      <alignment horizontal="right"/>
    </xf>
    <xf numFmtId="0" fontId="84" fillId="0" borderId="0" xfId="124" quotePrefix="1" applyFont="1" applyFill="1" applyAlignment="1">
      <alignment horizontal="left"/>
    </xf>
    <xf numFmtId="0" fontId="36" fillId="0" borderId="0" xfId="124" applyFont="1" applyFill="1" applyAlignment="1">
      <alignment horizontal="center"/>
    </xf>
    <xf numFmtId="182" fontId="36" fillId="0" borderId="0" xfId="124" applyNumberFormat="1" applyFont="1" applyFill="1" applyAlignment="1">
      <alignment horizontal="center"/>
    </xf>
    <xf numFmtId="0" fontId="36" fillId="0" borderId="0" xfId="124" applyFont="1" applyFill="1" applyAlignment="1"/>
    <xf numFmtId="0" fontId="36" fillId="0" borderId="0" xfId="124" applyFont="1" applyFill="1" applyAlignment="1">
      <alignment horizontal="center" wrapText="1"/>
    </xf>
    <xf numFmtId="0" fontId="36" fillId="0" borderId="0" xfId="124" quotePrefix="1" applyFont="1" applyFill="1" applyAlignment="1">
      <alignment horizontal="center" wrapText="1"/>
    </xf>
    <xf numFmtId="0" fontId="36" fillId="0" borderId="0" xfId="124" applyFont="1" applyFill="1" applyBorder="1"/>
    <xf numFmtId="0" fontId="36" fillId="0" borderId="0" xfId="124" applyFont="1" applyFill="1" applyBorder="1" applyAlignment="1">
      <alignment horizontal="center"/>
    </xf>
    <xf numFmtId="0" fontId="36" fillId="0" borderId="0" xfId="124" quotePrefix="1" applyFont="1" applyFill="1" applyAlignment="1">
      <alignment horizontal="center"/>
    </xf>
    <xf numFmtId="169" fontId="36" fillId="0" borderId="0" xfId="124" applyNumberFormat="1" applyFont="1" applyFill="1" applyBorder="1" applyAlignment="1">
      <alignment horizontal="center"/>
    </xf>
    <xf numFmtId="10" fontId="36" fillId="0" borderId="0" xfId="127" applyNumberFormat="1" applyFont="1" applyFill="1" applyBorder="1" applyAlignment="1">
      <alignment horizontal="center"/>
    </xf>
    <xf numFmtId="10" fontId="36" fillId="0" borderId="0" xfId="124" applyNumberFormat="1" applyFont="1" applyFill="1" applyBorder="1" applyAlignment="1">
      <alignment horizontal="center"/>
    </xf>
    <xf numFmtId="10" fontId="36" fillId="0" borderId="0" xfId="127" applyNumberFormat="1" applyFont="1" applyFill="1" applyAlignment="1">
      <alignment horizontal="center"/>
    </xf>
    <xf numFmtId="179" fontId="36" fillId="0" borderId="0" xfId="57524" applyNumberFormat="1" applyFill="1" applyBorder="1"/>
    <xf numFmtId="180" fontId="36" fillId="0" borderId="0" xfId="57524" applyNumberFormat="1" applyFill="1" applyBorder="1"/>
    <xf numFmtId="180" fontId="36" fillId="0" borderId="11" xfId="57524" applyNumberFormat="1" applyFill="1" applyBorder="1"/>
    <xf numFmtId="43" fontId="36" fillId="0" borderId="0" xfId="124" applyNumberFormat="1" applyFont="1" applyFill="1"/>
    <xf numFmtId="0" fontId="36" fillId="0" borderId="0" xfId="57524" quotePrefix="1" applyFont="1" applyFill="1" applyAlignment="1">
      <alignment horizontal="right"/>
    </xf>
    <xf numFmtId="0" fontId="36" fillId="0" borderId="0" xfId="124" applyFont="1" applyFill="1" applyBorder="1" applyAlignment="1"/>
    <xf numFmtId="182" fontId="36" fillId="0" borderId="0" xfId="124" applyNumberFormat="1" applyFont="1" applyFill="1"/>
    <xf numFmtId="0" fontId="36" fillId="0" borderId="0" xfId="124" applyFont="1" applyFill="1" applyBorder="1" applyAlignment="1">
      <alignment horizontal="center" wrapText="1"/>
    </xf>
    <xf numFmtId="0" fontId="36" fillId="0" borderId="0" xfId="57524" applyFont="1" applyFill="1" applyAlignment="1">
      <alignment horizontal="right" vertical="top"/>
    </xf>
    <xf numFmtId="17" fontId="36" fillId="0" borderId="0" xfId="124" applyNumberFormat="1" applyFont="1" applyFill="1" applyBorder="1" applyAlignment="1" applyProtection="1">
      <alignment horizontal="center"/>
      <protection locked="0"/>
    </xf>
    <xf numFmtId="0" fontId="36" fillId="0" borderId="0" xfId="124" quotePrefix="1" applyFont="1" applyFill="1" applyAlignment="1">
      <alignment horizontal="left"/>
    </xf>
    <xf numFmtId="42" fontId="36" fillId="0" borderId="0" xfId="124" applyNumberFormat="1" applyFont="1" applyFill="1" applyAlignment="1">
      <alignment horizontal="center"/>
    </xf>
    <xf numFmtId="180" fontId="36" fillId="0" borderId="0" xfId="124" applyNumberFormat="1" applyFont="1" applyFill="1" applyAlignment="1">
      <alignment horizontal="center"/>
    </xf>
    <xf numFmtId="17" fontId="36" fillId="0" borderId="11" xfId="124" applyNumberFormat="1" applyFont="1" applyFill="1" applyBorder="1" applyAlignment="1" applyProtection="1">
      <alignment horizontal="center"/>
      <protection locked="0"/>
    </xf>
    <xf numFmtId="180" fontId="36" fillId="0" borderId="11" xfId="124" applyNumberFormat="1" applyFont="1" applyFill="1" applyBorder="1" applyAlignment="1">
      <alignment horizontal="center"/>
    </xf>
    <xf numFmtId="165" fontId="36" fillId="0" borderId="0" xfId="124" applyNumberFormat="1" applyFont="1" applyFill="1"/>
    <xf numFmtId="165" fontId="36" fillId="0" borderId="0" xfId="114" applyNumberFormat="1" applyFont="1" applyFill="1" applyBorder="1"/>
    <xf numFmtId="165" fontId="36" fillId="0" borderId="0" xfId="114" applyNumberFormat="1" applyFont="1" applyFill="1" applyAlignment="1"/>
    <xf numFmtId="165" fontId="36" fillId="0" borderId="0" xfId="114" applyNumberFormat="1" applyFont="1" applyFill="1"/>
    <xf numFmtId="10" fontId="36" fillId="0" borderId="0" xfId="127" applyNumberFormat="1" applyFont="1" applyFill="1"/>
    <xf numFmtId="0" fontId="36" fillId="0" borderId="34" xfId="124" applyFont="1" applyFill="1" applyBorder="1"/>
    <xf numFmtId="0" fontId="36" fillId="0" borderId="35" xfId="124" applyFont="1" applyFill="1" applyBorder="1"/>
    <xf numFmtId="165" fontId="36" fillId="0" borderId="36" xfId="124" applyNumberFormat="1" applyFont="1" applyFill="1" applyBorder="1"/>
    <xf numFmtId="0" fontId="36" fillId="0" borderId="37" xfId="124" applyFont="1" applyFill="1" applyBorder="1"/>
    <xf numFmtId="0" fontId="84" fillId="0" borderId="0" xfId="124" applyFont="1" applyFill="1" applyBorder="1"/>
    <xf numFmtId="0" fontId="36" fillId="0" borderId="38" xfId="124" applyFont="1" applyFill="1" applyBorder="1"/>
    <xf numFmtId="0" fontId="36" fillId="0" borderId="0" xfId="124" quotePrefix="1" applyFont="1" applyFill="1" applyBorder="1" applyAlignment="1">
      <alignment horizontal="right"/>
    </xf>
    <xf numFmtId="179" fontId="36" fillId="0" borderId="38" xfId="57524" applyNumberFormat="1" applyFill="1" applyBorder="1"/>
    <xf numFmtId="165" fontId="36" fillId="0" borderId="0" xfId="124" applyNumberFormat="1" applyFont="1" applyFill="1" applyBorder="1"/>
    <xf numFmtId="0" fontId="36" fillId="0" borderId="37" xfId="124" applyFont="1" applyFill="1" applyBorder="1" applyAlignment="1">
      <alignment horizontal="center"/>
    </xf>
    <xf numFmtId="0" fontId="36" fillId="0" borderId="0" xfId="124" applyFont="1" applyFill="1" applyBorder="1" applyAlignment="1">
      <alignment horizontal="right"/>
    </xf>
    <xf numFmtId="179" fontId="36" fillId="0" borderId="11" xfId="57524" applyNumberFormat="1" applyFill="1" applyBorder="1"/>
    <xf numFmtId="0" fontId="36" fillId="0" borderId="38" xfId="124" applyFont="1" applyFill="1" applyBorder="1" applyAlignment="1">
      <alignment horizontal="center"/>
    </xf>
    <xf numFmtId="0" fontId="36" fillId="0" borderId="43" xfId="124" applyFont="1" applyFill="1" applyBorder="1"/>
    <xf numFmtId="0" fontId="36" fillId="0" borderId="44" xfId="124" applyFont="1" applyFill="1" applyBorder="1"/>
    <xf numFmtId="165" fontId="36" fillId="0" borderId="44" xfId="124" applyNumberFormat="1" applyFont="1" applyFill="1" applyBorder="1" applyAlignment="1">
      <alignment horizontal="right"/>
    </xf>
    <xf numFmtId="0" fontId="36" fillId="0" borderId="45" xfId="124" applyFont="1" applyFill="1" applyBorder="1"/>
    <xf numFmtId="165" fontId="36" fillId="0" borderId="0" xfId="124" applyNumberFormat="1" applyFont="1" applyFill="1" applyBorder="1" applyAlignment="1">
      <alignment horizontal="right"/>
    </xf>
    <xf numFmtId="37" fontId="46" fillId="0" borderId="0" xfId="64" applyFont="1" applyBorder="1" applyAlignment="1">
      <alignment horizontal="right"/>
    </xf>
    <xf numFmtId="37" fontId="46" fillId="0" borderId="0" xfId="64" applyFont="1" applyFill="1" applyBorder="1" applyAlignment="1">
      <alignment horizontal="right"/>
    </xf>
    <xf numFmtId="0" fontId="84" fillId="0" borderId="0" xfId="57524" applyFont="1" applyFill="1" applyAlignment="1">
      <alignment horizontal="right"/>
    </xf>
    <xf numFmtId="0" fontId="36" fillId="0" borderId="0" xfId="124" quotePrefix="1" applyFont="1" applyFill="1" applyBorder="1" applyAlignment="1">
      <alignment horizontal="center"/>
    </xf>
    <xf numFmtId="0" fontId="84" fillId="0" borderId="37" xfId="124" quotePrefix="1" applyFont="1" applyFill="1" applyBorder="1" applyAlignment="1">
      <alignment horizontal="center"/>
    </xf>
    <xf numFmtId="0" fontId="84" fillId="0" borderId="0" xfId="124" applyFont="1" applyFill="1" applyBorder="1" applyAlignment="1">
      <alignment horizontal="center"/>
    </xf>
    <xf numFmtId="0" fontId="84" fillId="0" borderId="38" xfId="124" applyFont="1" applyFill="1" applyBorder="1" applyAlignment="1">
      <alignment horizontal="center"/>
    </xf>
  </cellXfs>
  <cellStyles count="57528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5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7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4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6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KU\2013\J529%20DSM%20Over%20Under\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4"/>
  <sheetViews>
    <sheetView view="pageBreakPreview" zoomScale="80" zoomScaleNormal="90" zoomScaleSheetLayoutView="80" workbookViewId="0"/>
  </sheetViews>
  <sheetFormatPr defaultRowHeight="12.75" x14ac:dyDescent="0.2"/>
  <cols>
    <col min="1" max="3" width="14.42578125" style="168" customWidth="1"/>
    <col min="4" max="5" width="18.7109375" style="168" customWidth="1"/>
    <col min="6" max="8" width="14.42578125" style="168" customWidth="1"/>
    <col min="9" max="9" width="20.42578125" style="168" customWidth="1"/>
    <col min="10" max="10" width="2.42578125" style="168" customWidth="1"/>
    <col min="11" max="15" width="14.42578125" style="168" customWidth="1"/>
    <col min="16" max="17" width="18.7109375" style="168" customWidth="1"/>
    <col min="18" max="18" width="14.42578125" style="168" customWidth="1"/>
    <col min="19" max="19" width="20.42578125" style="168" customWidth="1"/>
    <col min="20" max="20" width="2.42578125" style="168" customWidth="1"/>
    <col min="21" max="21" width="14.42578125" style="168" customWidth="1"/>
    <col min="22" max="23" width="18.7109375" style="168" customWidth="1"/>
    <col min="24" max="24" width="14.42578125" style="168" customWidth="1"/>
    <col min="25" max="25" width="18.7109375" style="168" customWidth="1"/>
    <col min="26" max="28" width="14.42578125" style="168" customWidth="1"/>
    <col min="29" max="29" width="20.5703125" style="168" customWidth="1"/>
    <col min="30" max="30" width="2.42578125" style="168" customWidth="1"/>
    <col min="31" max="31" width="9.28515625" style="168" customWidth="1"/>
    <col min="32" max="32" width="12.5703125" style="168" customWidth="1"/>
    <col min="33" max="33" width="13.7109375" style="168" customWidth="1"/>
    <col min="34" max="34" width="15.140625" style="168" customWidth="1"/>
    <col min="35" max="36" width="11.140625" style="168" customWidth="1"/>
    <col min="37" max="37" width="14.5703125" style="168" customWidth="1"/>
    <col min="38" max="38" width="8.85546875" style="168" customWidth="1"/>
    <col min="39" max="39" width="15" style="168" bestFit="1" customWidth="1"/>
    <col min="40" max="40" width="13.5703125" style="168" customWidth="1"/>
    <col min="41" max="41" width="16.85546875" style="168" customWidth="1"/>
    <col min="42" max="42" width="3.85546875" style="168" customWidth="1"/>
    <col min="43" max="43" width="17.42578125" style="170" customWidth="1"/>
    <col min="44" max="44" width="14.140625" style="168" bestFit="1" customWidth="1"/>
    <col min="45" max="46" width="14.42578125" style="168" bestFit="1" customWidth="1"/>
    <col min="47" max="47" width="11.28515625" style="168" bestFit="1" customWidth="1"/>
    <col min="48" max="48" width="13.7109375" style="168" bestFit="1" customWidth="1"/>
    <col min="49" max="49" width="12.5703125" style="168" bestFit="1" customWidth="1"/>
    <col min="50" max="50" width="13.28515625" style="168" bestFit="1" customWidth="1"/>
    <col min="51" max="51" width="12.5703125" style="168" bestFit="1" customWidth="1"/>
    <col min="52" max="52" width="10.140625" style="168" bestFit="1" customWidth="1"/>
    <col min="53" max="16384" width="9.140625" style="168"/>
  </cols>
  <sheetData>
    <row r="1" spans="1:52" x14ac:dyDescent="0.2">
      <c r="A1" s="165" t="s">
        <v>119</v>
      </c>
      <c r="B1" s="166"/>
      <c r="C1" s="166"/>
      <c r="D1" s="166"/>
      <c r="E1" s="166"/>
      <c r="F1" s="166"/>
      <c r="G1" s="166"/>
      <c r="H1" s="166"/>
      <c r="I1" s="167" t="s">
        <v>115</v>
      </c>
      <c r="K1" s="165" t="s">
        <v>119</v>
      </c>
      <c r="L1" s="166"/>
      <c r="M1" s="166"/>
      <c r="N1" s="166"/>
      <c r="O1" s="166"/>
      <c r="P1" s="166"/>
      <c r="Q1" s="166"/>
      <c r="R1" s="166"/>
      <c r="S1" s="167" t="s">
        <v>115</v>
      </c>
      <c r="U1" s="165" t="s">
        <v>119</v>
      </c>
      <c r="V1" s="166"/>
      <c r="W1" s="166"/>
      <c r="X1" s="166"/>
      <c r="Y1" s="166"/>
      <c r="Z1" s="166"/>
      <c r="AA1" s="166"/>
      <c r="AB1" s="166"/>
      <c r="AC1" s="167" t="s">
        <v>120</v>
      </c>
      <c r="AE1" s="165" t="s">
        <v>119</v>
      </c>
      <c r="AF1" s="166"/>
      <c r="AG1" s="166"/>
      <c r="AH1" s="166"/>
      <c r="AI1" s="166"/>
      <c r="AJ1" s="166"/>
      <c r="AK1" s="166"/>
      <c r="AL1" s="169"/>
      <c r="AM1" s="166"/>
      <c r="AN1" s="166"/>
      <c r="AO1" s="167" t="s">
        <v>120</v>
      </c>
    </row>
    <row r="2" spans="1:52" x14ac:dyDescent="0.2">
      <c r="A2" s="171" t="s">
        <v>121</v>
      </c>
      <c r="B2" s="172"/>
      <c r="C2" s="172"/>
      <c r="D2" s="172"/>
      <c r="E2" s="172"/>
      <c r="F2" s="172"/>
      <c r="G2" s="172"/>
      <c r="H2" s="172"/>
      <c r="I2" s="173" t="s">
        <v>122</v>
      </c>
      <c r="K2" s="171" t="s">
        <v>123</v>
      </c>
      <c r="L2" s="172"/>
      <c r="M2" s="172"/>
      <c r="N2" s="172"/>
      <c r="O2" s="172"/>
      <c r="P2" s="172"/>
      <c r="Q2" s="172"/>
      <c r="R2" s="172"/>
      <c r="S2" s="173" t="s">
        <v>124</v>
      </c>
      <c r="U2" s="171" t="s">
        <v>125</v>
      </c>
      <c r="V2" s="172"/>
      <c r="W2" s="172"/>
      <c r="X2" s="172"/>
      <c r="Y2" s="172"/>
      <c r="Z2" s="172"/>
      <c r="AA2" s="172"/>
      <c r="AB2" s="172"/>
      <c r="AC2" s="174" t="s">
        <v>126</v>
      </c>
      <c r="AE2" s="171" t="s">
        <v>125</v>
      </c>
      <c r="AF2" s="172"/>
      <c r="AG2" s="172"/>
      <c r="AH2" s="172"/>
      <c r="AI2" s="172"/>
      <c r="AJ2" s="172"/>
      <c r="AK2" s="172"/>
      <c r="AL2" s="175"/>
      <c r="AM2" s="172"/>
      <c r="AN2" s="172"/>
      <c r="AO2" s="174" t="s">
        <v>127</v>
      </c>
    </row>
    <row r="3" spans="1:52" x14ac:dyDescent="0.2">
      <c r="A3" s="171" t="s">
        <v>128</v>
      </c>
      <c r="B3" s="172"/>
      <c r="C3" s="172"/>
      <c r="D3" s="172"/>
      <c r="E3" s="172"/>
      <c r="F3" s="172"/>
      <c r="G3" s="172"/>
      <c r="H3" s="172"/>
      <c r="I3" s="174" t="s">
        <v>117</v>
      </c>
      <c r="K3" s="171" t="str">
        <f>A3</f>
        <v xml:space="preserve">Impact on Calculated E(m) </v>
      </c>
      <c r="L3" s="172"/>
      <c r="M3" s="172"/>
      <c r="N3" s="172"/>
      <c r="O3" s="172"/>
      <c r="P3" s="172"/>
      <c r="Q3" s="172"/>
      <c r="R3" s="172"/>
      <c r="S3" s="174" t="s">
        <v>117</v>
      </c>
      <c r="U3" s="176" t="s">
        <v>129</v>
      </c>
      <c r="V3" s="172"/>
      <c r="W3" s="172"/>
      <c r="X3" s="172"/>
      <c r="Y3" s="172"/>
      <c r="Z3" s="172"/>
      <c r="AA3" s="172"/>
      <c r="AB3" s="172"/>
      <c r="AC3" s="174" t="s">
        <v>130</v>
      </c>
      <c r="AE3" s="176" t="s">
        <v>129</v>
      </c>
      <c r="AF3" s="172"/>
      <c r="AG3" s="172"/>
      <c r="AH3" s="172"/>
      <c r="AI3" s="172"/>
      <c r="AJ3" s="172"/>
      <c r="AK3" s="172"/>
      <c r="AL3" s="175"/>
      <c r="AM3" s="172"/>
      <c r="AN3" s="172"/>
      <c r="AO3" s="174" t="s">
        <v>130</v>
      </c>
    </row>
    <row r="4" spans="1:52" ht="13.5" thickBot="1" x14ac:dyDescent="0.25">
      <c r="A4" s="177"/>
      <c r="B4" s="172"/>
      <c r="C4" s="172"/>
      <c r="D4" s="172"/>
      <c r="E4" s="172"/>
      <c r="F4" s="172"/>
      <c r="G4" s="172"/>
      <c r="H4" s="172"/>
      <c r="I4" s="178"/>
      <c r="K4" s="177"/>
      <c r="L4" s="172"/>
      <c r="M4" s="172"/>
      <c r="N4" s="172"/>
      <c r="O4" s="172"/>
      <c r="P4" s="172"/>
      <c r="Q4" s="172"/>
      <c r="R4" s="172"/>
      <c r="S4" s="178"/>
      <c r="U4" s="177"/>
      <c r="V4" s="172"/>
      <c r="W4" s="172"/>
      <c r="X4" s="172"/>
      <c r="Y4" s="172"/>
      <c r="Z4" s="172"/>
      <c r="AA4" s="172"/>
      <c r="AB4" s="172"/>
      <c r="AC4" s="178"/>
      <c r="AE4" s="177"/>
      <c r="AF4" s="172"/>
      <c r="AG4" s="172"/>
      <c r="AH4" s="172"/>
      <c r="AI4" s="172"/>
      <c r="AJ4" s="172"/>
      <c r="AK4" s="172"/>
      <c r="AL4" s="172"/>
      <c r="AM4" s="172"/>
      <c r="AN4" s="172"/>
      <c r="AO4" s="178"/>
    </row>
    <row r="5" spans="1:52" x14ac:dyDescent="0.2">
      <c r="A5" s="179" t="s">
        <v>131</v>
      </c>
      <c r="B5" s="180" t="s">
        <v>132</v>
      </c>
      <c r="C5" s="180" t="s">
        <v>133</v>
      </c>
      <c r="D5" s="180" t="s">
        <v>134</v>
      </c>
      <c r="E5" s="180" t="s">
        <v>135</v>
      </c>
      <c r="F5" s="180" t="s">
        <v>136</v>
      </c>
      <c r="G5" s="180" t="s">
        <v>137</v>
      </c>
      <c r="H5" s="180" t="s">
        <v>138</v>
      </c>
      <c r="I5" s="181" t="s">
        <v>139</v>
      </c>
      <c r="K5" s="179" t="s">
        <v>131</v>
      </c>
      <c r="L5" s="180" t="s">
        <v>132</v>
      </c>
      <c r="M5" s="180" t="s">
        <v>133</v>
      </c>
      <c r="N5" s="180" t="s">
        <v>134</v>
      </c>
      <c r="O5" s="180" t="s">
        <v>135</v>
      </c>
      <c r="P5" s="180" t="s">
        <v>136</v>
      </c>
      <c r="Q5" s="180" t="s">
        <v>137</v>
      </c>
      <c r="R5" s="180" t="s">
        <v>138</v>
      </c>
      <c r="S5" s="181" t="s">
        <v>139</v>
      </c>
      <c r="U5" s="182" t="s">
        <v>131</v>
      </c>
      <c r="V5" s="183" t="s">
        <v>132</v>
      </c>
      <c r="W5" s="183" t="s">
        <v>133</v>
      </c>
      <c r="X5" s="183" t="s">
        <v>134</v>
      </c>
      <c r="Y5" s="183" t="s">
        <v>135</v>
      </c>
      <c r="Z5" s="180" t="s">
        <v>136</v>
      </c>
      <c r="AA5" s="180" t="s">
        <v>137</v>
      </c>
      <c r="AB5" s="180" t="s">
        <v>138</v>
      </c>
      <c r="AC5" s="184"/>
      <c r="AE5" s="182" t="s">
        <v>131</v>
      </c>
      <c r="AF5" s="183" t="s">
        <v>132</v>
      </c>
      <c r="AG5" s="180" t="s">
        <v>133</v>
      </c>
      <c r="AH5" s="183" t="s">
        <v>134</v>
      </c>
      <c r="AI5" s="183" t="s">
        <v>135</v>
      </c>
      <c r="AJ5" s="183" t="s">
        <v>136</v>
      </c>
      <c r="AK5" s="183" t="s">
        <v>137</v>
      </c>
      <c r="AL5" s="183" t="s">
        <v>138</v>
      </c>
      <c r="AM5" s="183" t="s">
        <v>139</v>
      </c>
      <c r="AN5" s="180" t="s">
        <v>140</v>
      </c>
      <c r="AO5" s="181" t="s">
        <v>141</v>
      </c>
    </row>
    <row r="6" spans="1:52" s="188" customFormat="1" ht="51" x14ac:dyDescent="0.2">
      <c r="A6" s="185" t="s">
        <v>142</v>
      </c>
      <c r="B6" s="186" t="s">
        <v>143</v>
      </c>
      <c r="C6" s="186" t="s">
        <v>144</v>
      </c>
      <c r="D6" s="186" t="s">
        <v>145</v>
      </c>
      <c r="E6" s="186" t="s">
        <v>146</v>
      </c>
      <c r="F6" s="186" t="s">
        <v>147</v>
      </c>
      <c r="G6" s="186" t="s">
        <v>148</v>
      </c>
      <c r="H6" s="186" t="s">
        <v>149</v>
      </c>
      <c r="I6" s="187" t="s">
        <v>150</v>
      </c>
      <c r="K6" s="185" t="s">
        <v>142</v>
      </c>
      <c r="L6" s="186" t="s">
        <v>143</v>
      </c>
      <c r="M6" s="186" t="s">
        <v>144</v>
      </c>
      <c r="N6" s="186" t="s">
        <v>151</v>
      </c>
      <c r="O6" s="186" t="s">
        <v>152</v>
      </c>
      <c r="P6" s="186" t="s">
        <v>153</v>
      </c>
      <c r="Q6" s="186" t="s">
        <v>148</v>
      </c>
      <c r="R6" s="186" t="s">
        <v>149</v>
      </c>
      <c r="S6" s="187" t="s">
        <v>150</v>
      </c>
      <c r="U6" s="185" t="s">
        <v>143</v>
      </c>
      <c r="V6" s="186" t="s">
        <v>153</v>
      </c>
      <c r="W6" s="186" t="s">
        <v>154</v>
      </c>
      <c r="X6" s="186" t="s">
        <v>151</v>
      </c>
      <c r="Y6" s="186" t="s">
        <v>155</v>
      </c>
      <c r="Z6" s="186" t="s">
        <v>156</v>
      </c>
      <c r="AA6" s="186" t="s">
        <v>157</v>
      </c>
      <c r="AB6" s="186" t="s">
        <v>158</v>
      </c>
      <c r="AC6" s="189" t="s">
        <v>159</v>
      </c>
      <c r="AE6" s="185" t="s">
        <v>143</v>
      </c>
      <c r="AF6" s="186" t="s">
        <v>160</v>
      </c>
      <c r="AG6" s="190" t="s">
        <v>161</v>
      </c>
      <c r="AH6" s="186" t="s">
        <v>162</v>
      </c>
      <c r="AI6" s="186" t="s">
        <v>163</v>
      </c>
      <c r="AJ6" s="186" t="s">
        <v>164</v>
      </c>
      <c r="AK6" s="186" t="s">
        <v>165</v>
      </c>
      <c r="AL6" s="186" t="s">
        <v>166</v>
      </c>
      <c r="AM6" s="186" t="s">
        <v>167</v>
      </c>
      <c r="AN6" s="186" t="s">
        <v>168</v>
      </c>
      <c r="AO6" s="191" t="s">
        <v>169</v>
      </c>
      <c r="AQ6" s="192"/>
    </row>
    <row r="7" spans="1:52" ht="35.25" customHeight="1" x14ac:dyDescent="0.2">
      <c r="A7" s="193"/>
      <c r="B7" s="194"/>
      <c r="C7" s="194"/>
      <c r="D7" s="194"/>
      <c r="E7" s="194"/>
      <c r="F7" s="195" t="s">
        <v>170</v>
      </c>
      <c r="G7" s="195" t="s">
        <v>171</v>
      </c>
      <c r="H7" s="196"/>
      <c r="I7" s="197" t="s">
        <v>172</v>
      </c>
      <c r="K7" s="193"/>
      <c r="L7" s="194"/>
      <c r="M7" s="194"/>
      <c r="N7" s="194"/>
      <c r="O7" s="195" t="s">
        <v>173</v>
      </c>
      <c r="P7" s="194"/>
      <c r="Q7" s="195" t="s">
        <v>174</v>
      </c>
      <c r="R7" s="196"/>
      <c r="S7" s="197" t="s">
        <v>172</v>
      </c>
      <c r="U7" s="193"/>
      <c r="V7" s="196" t="s">
        <v>175</v>
      </c>
      <c r="W7" s="195" t="s">
        <v>176</v>
      </c>
      <c r="X7" s="198"/>
      <c r="Y7" s="196" t="s">
        <v>177</v>
      </c>
      <c r="Z7" s="199" t="s">
        <v>178</v>
      </c>
      <c r="AA7" s="196" t="s">
        <v>179</v>
      </c>
      <c r="AB7" s="195" t="s">
        <v>180</v>
      </c>
      <c r="AC7" s="200"/>
      <c r="AE7" s="193"/>
      <c r="AF7" s="196" t="s">
        <v>181</v>
      </c>
      <c r="AG7" s="201" t="s">
        <v>182</v>
      </c>
      <c r="AH7" s="195" t="s">
        <v>183</v>
      </c>
      <c r="AI7" s="196" t="s">
        <v>184</v>
      </c>
      <c r="AJ7" s="196" t="s">
        <v>184</v>
      </c>
      <c r="AK7" s="196" t="s">
        <v>184</v>
      </c>
      <c r="AL7" s="202"/>
      <c r="AM7" s="196" t="s">
        <v>184</v>
      </c>
      <c r="AN7" s="196" t="s">
        <v>184</v>
      </c>
      <c r="AO7" s="203" t="s">
        <v>185</v>
      </c>
    </row>
    <row r="8" spans="1:52" x14ac:dyDescent="0.2">
      <c r="A8" s="204">
        <v>42125</v>
      </c>
      <c r="B8" s="205">
        <v>42064</v>
      </c>
      <c r="C8" s="206">
        <v>0.1022</v>
      </c>
      <c r="D8" s="207">
        <v>1011330612</v>
      </c>
      <c r="E8" s="208">
        <v>1011330612</v>
      </c>
      <c r="F8" s="209">
        <f t="shared" ref="F8:F13" si="0">E8-D8</f>
        <v>0</v>
      </c>
      <c r="G8" s="209">
        <f t="shared" ref="G8:G13" si="1">(C8*F8)/12</f>
        <v>0</v>
      </c>
      <c r="H8" s="206">
        <v>0.84870000000000001</v>
      </c>
      <c r="I8" s="210">
        <f t="shared" ref="I8:I13" si="2">G8*H8</f>
        <v>0</v>
      </c>
      <c r="K8" s="211">
        <f t="shared" ref="K8:M13" si="3">A8</f>
        <v>42125</v>
      </c>
      <c r="L8" s="205">
        <f t="shared" si="3"/>
        <v>42064</v>
      </c>
      <c r="M8" s="206">
        <f t="shared" si="3"/>
        <v>0.1022</v>
      </c>
      <c r="N8" s="206">
        <f>+X8</f>
        <v>0.1056</v>
      </c>
      <c r="O8" s="206">
        <f t="shared" ref="O8:O13" si="4">N8-M8</f>
        <v>3.4000000000000002E-3</v>
      </c>
      <c r="P8" s="212">
        <f t="shared" ref="P8:P13" si="5">V8</f>
        <v>1011330612</v>
      </c>
      <c r="Q8" s="213">
        <f>(O8*P8)/12</f>
        <v>286543.67340000003</v>
      </c>
      <c r="R8" s="214">
        <f t="shared" ref="R8:R13" si="6">H8</f>
        <v>0.84870000000000001</v>
      </c>
      <c r="S8" s="215">
        <f>R8*Q8</f>
        <v>243189.61561458002</v>
      </c>
      <c r="U8" s="216">
        <f t="shared" ref="U8:U13" si="7">L8</f>
        <v>42064</v>
      </c>
      <c r="V8" s="207">
        <v>1011330612</v>
      </c>
      <c r="W8" s="212">
        <f t="shared" ref="W8:W13" si="8">V8/12</f>
        <v>84277551</v>
      </c>
      <c r="X8" s="217">
        <f>'Q1 - ROR Jun15'!R$32</f>
        <v>0.1056</v>
      </c>
      <c r="Y8" s="207">
        <v>2771960.33</v>
      </c>
      <c r="Z8" s="212">
        <f>(W8*X8)+Y8</f>
        <v>11671669.715600001</v>
      </c>
      <c r="AA8" s="217">
        <f t="shared" ref="AA8:AA13" si="9">R8</f>
        <v>0.84870000000000001</v>
      </c>
      <c r="AB8" s="212">
        <f t="shared" ref="AB8:AB13" si="10">Z8*AA8</f>
        <v>9905746.0876297206</v>
      </c>
      <c r="AC8" s="178"/>
      <c r="AE8" s="216">
        <f t="shared" ref="AE8:AE10" si="11">U8</f>
        <v>42064</v>
      </c>
      <c r="AF8" s="218">
        <f t="shared" ref="AF8:AF10" si="12">AB8</f>
        <v>9905746.0876297206</v>
      </c>
      <c r="AG8" s="219">
        <v>0</v>
      </c>
      <c r="AH8" s="212">
        <f t="shared" ref="AH8:AH13" si="13">SUM(AF8:AG8)</f>
        <v>9905746.0876297206</v>
      </c>
      <c r="AI8" s="220">
        <v>3.6744917772936529E-2</v>
      </c>
      <c r="AJ8" s="220">
        <v>6.367227012420397E-2</v>
      </c>
      <c r="AK8" s="207">
        <v>5161444</v>
      </c>
      <c r="AL8" s="221">
        <f>+A8</f>
        <v>42125</v>
      </c>
      <c r="AM8" s="207">
        <v>1256726.0700000008</v>
      </c>
      <c r="AN8" s="207">
        <v>2502085.5599999991</v>
      </c>
      <c r="AO8" s="222">
        <f t="shared" ref="AO8:AO13" si="14">(AK8+AM8+AN8)-AH8</f>
        <v>-985490.45762972161</v>
      </c>
      <c r="AQ8" s="218"/>
      <c r="AR8" s="223"/>
      <c r="AS8" s="223"/>
      <c r="AT8" s="223"/>
      <c r="AU8" s="223"/>
      <c r="AV8" s="223"/>
      <c r="AW8" s="223"/>
      <c r="AX8" s="223"/>
      <c r="AY8" s="223"/>
      <c r="AZ8" s="223"/>
    </row>
    <row r="9" spans="1:52" x14ac:dyDescent="0.2">
      <c r="A9" s="204">
        <v>42156</v>
      </c>
      <c r="B9" s="224">
        <v>42095</v>
      </c>
      <c r="C9" s="220">
        <v>0.1022</v>
      </c>
      <c r="D9" s="218">
        <v>1028733727</v>
      </c>
      <c r="E9" s="218">
        <v>1028733727</v>
      </c>
      <c r="F9" s="225">
        <f t="shared" si="0"/>
        <v>0</v>
      </c>
      <c r="G9" s="225">
        <f t="shared" si="1"/>
        <v>0</v>
      </c>
      <c r="H9" s="220">
        <v>0.88580000000000003</v>
      </c>
      <c r="I9" s="226">
        <f t="shared" si="2"/>
        <v>0</v>
      </c>
      <c r="K9" s="204">
        <f t="shared" si="3"/>
        <v>42156</v>
      </c>
      <c r="L9" s="224">
        <f t="shared" si="3"/>
        <v>42095</v>
      </c>
      <c r="M9" s="220">
        <f t="shared" si="3"/>
        <v>0.1022</v>
      </c>
      <c r="N9" s="220">
        <f>+X9</f>
        <v>0.1056</v>
      </c>
      <c r="O9" s="220">
        <f t="shared" si="4"/>
        <v>3.4000000000000002E-3</v>
      </c>
      <c r="P9" s="227">
        <f t="shared" si="5"/>
        <v>1028733727</v>
      </c>
      <c r="Q9" s="225">
        <f t="shared" ref="Q9:Q13" si="15">(O9*P9)/12</f>
        <v>291474.55598333332</v>
      </c>
      <c r="R9" s="217">
        <f t="shared" si="6"/>
        <v>0.88580000000000003</v>
      </c>
      <c r="S9" s="226">
        <f t="shared" ref="S9:S13" si="16">R9*Q9</f>
        <v>258188.16169003668</v>
      </c>
      <c r="U9" s="216">
        <f t="shared" si="7"/>
        <v>42095</v>
      </c>
      <c r="V9" s="218">
        <v>1028733727</v>
      </c>
      <c r="W9" s="218">
        <f t="shared" si="8"/>
        <v>85727810.583333328</v>
      </c>
      <c r="X9" s="217">
        <f>'Q1 - ROR Jun15'!R$32</f>
        <v>0.1056</v>
      </c>
      <c r="Y9" s="218">
        <v>2899591.68</v>
      </c>
      <c r="Z9" s="218">
        <f>(W9*X9)+Y9</f>
        <v>11952448.477599999</v>
      </c>
      <c r="AA9" s="217">
        <f t="shared" si="9"/>
        <v>0.88580000000000003</v>
      </c>
      <c r="AB9" s="218">
        <f t="shared" si="10"/>
        <v>10587478.86145808</v>
      </c>
      <c r="AC9" s="178"/>
      <c r="AE9" s="216">
        <f t="shared" si="11"/>
        <v>42095</v>
      </c>
      <c r="AF9" s="218">
        <f t="shared" si="12"/>
        <v>10587478.86145808</v>
      </c>
      <c r="AG9" s="225">
        <v>0</v>
      </c>
      <c r="AH9" s="218">
        <f t="shared" si="13"/>
        <v>10587478.86145808</v>
      </c>
      <c r="AI9" s="220">
        <v>5.3996878625367374E-2</v>
      </c>
      <c r="AJ9" s="220">
        <v>9.3366139508420085E-2</v>
      </c>
      <c r="AK9" s="218">
        <v>3742568</v>
      </c>
      <c r="AL9" s="221">
        <f>+A9</f>
        <v>42156</v>
      </c>
      <c r="AM9" s="218">
        <v>2352982.879999999</v>
      </c>
      <c r="AN9" s="218">
        <v>3809970.4500000011</v>
      </c>
      <c r="AO9" s="228">
        <f t="shared" si="14"/>
        <v>-681957.53145807981</v>
      </c>
      <c r="AQ9" s="218"/>
      <c r="AR9" s="223"/>
      <c r="AS9" s="223"/>
      <c r="AT9" s="223"/>
      <c r="AU9" s="223"/>
      <c r="AV9" s="223"/>
      <c r="AW9" s="223"/>
      <c r="AX9" s="223"/>
      <c r="AY9" s="223"/>
      <c r="AZ9" s="223"/>
    </row>
    <row r="10" spans="1:52" x14ac:dyDescent="0.2">
      <c r="A10" s="204">
        <v>42186</v>
      </c>
      <c r="B10" s="224">
        <v>42125</v>
      </c>
      <c r="C10" s="220">
        <v>0.1022</v>
      </c>
      <c r="D10" s="218">
        <v>1035180880</v>
      </c>
      <c r="E10" s="218">
        <v>1035180880</v>
      </c>
      <c r="F10" s="225">
        <f t="shared" si="0"/>
        <v>0</v>
      </c>
      <c r="G10" s="225">
        <f t="shared" si="1"/>
        <v>0</v>
      </c>
      <c r="H10" s="220">
        <v>0.86099999999999999</v>
      </c>
      <c r="I10" s="226">
        <f t="shared" si="2"/>
        <v>0</v>
      </c>
      <c r="K10" s="204">
        <f t="shared" si="3"/>
        <v>42186</v>
      </c>
      <c r="L10" s="224">
        <f t="shared" si="3"/>
        <v>42125</v>
      </c>
      <c r="M10" s="220">
        <f t="shared" si="3"/>
        <v>0.1022</v>
      </c>
      <c r="N10" s="220">
        <f t="shared" ref="N10:N13" si="17">+X10</f>
        <v>0.1056</v>
      </c>
      <c r="O10" s="220">
        <f t="shared" si="4"/>
        <v>3.4000000000000002E-3</v>
      </c>
      <c r="P10" s="227">
        <f t="shared" si="5"/>
        <v>1035180880</v>
      </c>
      <c r="Q10" s="225">
        <f t="shared" si="15"/>
        <v>293301.24933333334</v>
      </c>
      <c r="R10" s="217">
        <f t="shared" si="6"/>
        <v>0.86099999999999999</v>
      </c>
      <c r="S10" s="226">
        <f t="shared" si="16"/>
        <v>252532.375676</v>
      </c>
      <c r="U10" s="216">
        <f t="shared" si="7"/>
        <v>42125</v>
      </c>
      <c r="V10" s="218">
        <v>1035180880</v>
      </c>
      <c r="W10" s="218">
        <f t="shared" si="8"/>
        <v>86265073.333333328</v>
      </c>
      <c r="X10" s="217">
        <f>'Q1 - ROR Jun15'!R$32</f>
        <v>0.1056</v>
      </c>
      <c r="Y10" s="218">
        <v>3241044.09</v>
      </c>
      <c r="Z10" s="218">
        <f t="shared" ref="Z10:Z13" si="18">(W10*X10)+Y10</f>
        <v>12350635.833999999</v>
      </c>
      <c r="AA10" s="217">
        <f t="shared" si="9"/>
        <v>0.86099999999999999</v>
      </c>
      <c r="AB10" s="218">
        <f t="shared" si="10"/>
        <v>10633897.453073999</v>
      </c>
      <c r="AC10" s="178"/>
      <c r="AE10" s="216">
        <f t="shared" si="11"/>
        <v>42125</v>
      </c>
      <c r="AF10" s="218">
        <f t="shared" si="12"/>
        <v>10633897.453073999</v>
      </c>
      <c r="AG10" s="225">
        <v>0</v>
      </c>
      <c r="AH10" s="218">
        <f t="shared" si="13"/>
        <v>10633897.453073999</v>
      </c>
      <c r="AI10" s="220">
        <v>5.6611831838091833E-2</v>
      </c>
      <c r="AJ10" s="220">
        <v>9.7466820485109726E-2</v>
      </c>
      <c r="AK10" s="218">
        <v>3522397</v>
      </c>
      <c r="AL10" s="221">
        <f t="shared" ref="AL10:AL13" si="19">+A10</f>
        <v>42186</v>
      </c>
      <c r="AM10" s="218">
        <v>2805937.5500000021</v>
      </c>
      <c r="AN10" s="218">
        <v>4814893.1099999994</v>
      </c>
      <c r="AO10" s="228">
        <f t="shared" si="14"/>
        <v>509330.2069260031</v>
      </c>
      <c r="AP10" s="229"/>
      <c r="AQ10" s="218"/>
      <c r="AR10" s="223"/>
      <c r="AS10" s="223"/>
      <c r="AT10" s="223"/>
      <c r="AU10" s="223"/>
      <c r="AV10" s="223"/>
      <c r="AW10" s="223"/>
      <c r="AX10" s="223"/>
      <c r="AY10" s="223"/>
      <c r="AZ10" s="223"/>
    </row>
    <row r="11" spans="1:52" x14ac:dyDescent="0.2">
      <c r="A11" s="204">
        <v>42217</v>
      </c>
      <c r="B11" s="224">
        <v>42156</v>
      </c>
      <c r="C11" s="220">
        <v>0.10150000000000001</v>
      </c>
      <c r="D11" s="218">
        <v>1042656936</v>
      </c>
      <c r="E11" s="218">
        <v>1042656936</v>
      </c>
      <c r="F11" s="225">
        <f t="shared" si="0"/>
        <v>0</v>
      </c>
      <c r="G11" s="225">
        <f t="shared" si="1"/>
        <v>0</v>
      </c>
      <c r="H11" s="220">
        <v>0.86029999999999995</v>
      </c>
      <c r="I11" s="226">
        <f t="shared" si="2"/>
        <v>0</v>
      </c>
      <c r="K11" s="204">
        <f t="shared" si="3"/>
        <v>42217</v>
      </c>
      <c r="L11" s="224">
        <f t="shared" si="3"/>
        <v>42156</v>
      </c>
      <c r="M11" s="220">
        <f t="shared" si="3"/>
        <v>0.10150000000000001</v>
      </c>
      <c r="N11" s="220">
        <f t="shared" si="17"/>
        <v>0.1056</v>
      </c>
      <c r="O11" s="220">
        <f t="shared" si="4"/>
        <v>4.0999999999999925E-3</v>
      </c>
      <c r="P11" s="227">
        <f t="shared" si="5"/>
        <v>1042656936</v>
      </c>
      <c r="Q11" s="225">
        <f t="shared" si="15"/>
        <v>356241.11979999935</v>
      </c>
      <c r="R11" s="217">
        <f t="shared" si="6"/>
        <v>0.86029999999999995</v>
      </c>
      <c r="S11" s="226">
        <f t="shared" si="16"/>
        <v>306474.23536393943</v>
      </c>
      <c r="U11" s="216">
        <f t="shared" si="7"/>
        <v>42156</v>
      </c>
      <c r="V11" s="218">
        <v>1042656936</v>
      </c>
      <c r="W11" s="218">
        <f t="shared" si="8"/>
        <v>86888078</v>
      </c>
      <c r="X11" s="217">
        <f>'Q1 - ROR Jun15'!R$32</f>
        <v>0.1056</v>
      </c>
      <c r="Y11" s="218">
        <v>3441474.29</v>
      </c>
      <c r="Z11" s="218">
        <f t="shared" si="18"/>
        <v>12616855.3268</v>
      </c>
      <c r="AA11" s="217">
        <f t="shared" si="9"/>
        <v>0.86029999999999995</v>
      </c>
      <c r="AB11" s="218">
        <f t="shared" si="10"/>
        <v>10854280.63764604</v>
      </c>
      <c r="AC11" s="178"/>
      <c r="AE11" s="216">
        <f>U11</f>
        <v>42156</v>
      </c>
      <c r="AF11" s="218">
        <f>AB11</f>
        <v>10854280.63764604</v>
      </c>
      <c r="AG11" s="225">
        <v>-739055</v>
      </c>
      <c r="AH11" s="218">
        <f t="shared" si="13"/>
        <v>10115225.63764604</v>
      </c>
      <c r="AI11" s="220">
        <v>4.7829325453535361E-2</v>
      </c>
      <c r="AJ11" s="220">
        <v>8.1904472229130998E-2</v>
      </c>
      <c r="AK11" s="218">
        <v>4047553</v>
      </c>
      <c r="AL11" s="221">
        <f t="shared" si="19"/>
        <v>42217</v>
      </c>
      <c r="AM11" s="218">
        <v>2536755.6199999987</v>
      </c>
      <c r="AN11" s="218">
        <v>3862097.6799999997</v>
      </c>
      <c r="AO11" s="228">
        <f t="shared" si="14"/>
        <v>331180.66235395893</v>
      </c>
      <c r="AP11" s="229"/>
      <c r="AQ11" s="218"/>
      <c r="AR11" s="223"/>
      <c r="AS11" s="223"/>
      <c r="AT11" s="223"/>
      <c r="AU11" s="223"/>
      <c r="AV11" s="223"/>
      <c r="AW11" s="223"/>
      <c r="AX11" s="223"/>
      <c r="AY11" s="223"/>
      <c r="AZ11" s="223"/>
    </row>
    <row r="12" spans="1:52" x14ac:dyDescent="0.2">
      <c r="A12" s="204">
        <v>42248</v>
      </c>
      <c r="B12" s="224">
        <v>42186</v>
      </c>
      <c r="C12" s="220">
        <v>9.9500000000000005E-2</v>
      </c>
      <c r="D12" s="218">
        <v>1062420272</v>
      </c>
      <c r="E12" s="218">
        <v>1062420272</v>
      </c>
      <c r="F12" s="225">
        <f t="shared" si="0"/>
        <v>0</v>
      </c>
      <c r="G12" s="225">
        <f t="shared" si="1"/>
        <v>0</v>
      </c>
      <c r="H12" s="220">
        <v>0.86129999999999995</v>
      </c>
      <c r="I12" s="226">
        <f t="shared" si="2"/>
        <v>0</v>
      </c>
      <c r="K12" s="204">
        <f t="shared" si="3"/>
        <v>42248</v>
      </c>
      <c r="L12" s="224">
        <f t="shared" si="3"/>
        <v>42186</v>
      </c>
      <c r="M12" s="220">
        <f t="shared" si="3"/>
        <v>9.9500000000000005E-2</v>
      </c>
      <c r="N12" s="220">
        <f t="shared" si="17"/>
        <v>0.10340000000000001</v>
      </c>
      <c r="O12" s="220">
        <f t="shared" si="4"/>
        <v>3.9000000000000007E-3</v>
      </c>
      <c r="P12" s="227">
        <f t="shared" si="5"/>
        <v>1062420272</v>
      </c>
      <c r="Q12" s="225">
        <f t="shared" si="15"/>
        <v>345286.58840000007</v>
      </c>
      <c r="R12" s="217">
        <f t="shared" si="6"/>
        <v>0.86129999999999995</v>
      </c>
      <c r="S12" s="226">
        <f t="shared" si="16"/>
        <v>297395.33858892001</v>
      </c>
      <c r="U12" s="216">
        <f t="shared" si="7"/>
        <v>42186</v>
      </c>
      <c r="V12" s="218">
        <v>1062420272</v>
      </c>
      <c r="W12" s="218">
        <f t="shared" si="8"/>
        <v>88535022.666666672</v>
      </c>
      <c r="X12" s="217">
        <f>'Q1 - KU ROR Aug15'!R$32</f>
        <v>0.10340000000000001</v>
      </c>
      <c r="Y12" s="218">
        <v>3795486.4966666666</v>
      </c>
      <c r="Z12" s="218">
        <f t="shared" si="18"/>
        <v>12950007.840400001</v>
      </c>
      <c r="AA12" s="217">
        <f t="shared" si="9"/>
        <v>0.86129999999999995</v>
      </c>
      <c r="AB12" s="218">
        <f t="shared" si="10"/>
        <v>11153841.75293652</v>
      </c>
      <c r="AC12" s="178"/>
      <c r="AE12" s="216">
        <f>U12</f>
        <v>42186</v>
      </c>
      <c r="AF12" s="218">
        <f>AB12</f>
        <v>11153841.75293652</v>
      </c>
      <c r="AG12" s="225">
        <v>-739055</v>
      </c>
      <c r="AH12" s="218">
        <f t="shared" si="13"/>
        <v>10414786.75293652</v>
      </c>
      <c r="AI12" s="220">
        <v>4.6541847239971561E-2</v>
      </c>
      <c r="AJ12" s="220">
        <v>7.9228760830452716E-2</v>
      </c>
      <c r="AK12" s="218">
        <v>4511501</v>
      </c>
      <c r="AL12" s="221">
        <f t="shared" si="19"/>
        <v>42248</v>
      </c>
      <c r="AM12" s="218">
        <v>2303940.2000000002</v>
      </c>
      <c r="AN12" s="218">
        <v>3796071.8099999996</v>
      </c>
      <c r="AO12" s="228">
        <f t="shared" si="14"/>
        <v>196726.25706348009</v>
      </c>
      <c r="AP12" s="229"/>
      <c r="AQ12" s="218"/>
      <c r="AR12" s="223"/>
      <c r="AS12" s="223"/>
      <c r="AT12" s="223"/>
      <c r="AU12" s="223"/>
      <c r="AV12" s="223"/>
      <c r="AW12" s="223"/>
      <c r="AX12" s="223"/>
      <c r="AY12" s="223"/>
      <c r="AZ12" s="223"/>
    </row>
    <row r="13" spans="1:52" x14ac:dyDescent="0.2">
      <c r="A13" s="204">
        <v>42278</v>
      </c>
      <c r="B13" s="224">
        <v>42217</v>
      </c>
      <c r="C13" s="220">
        <v>9.9500000000000005E-2</v>
      </c>
      <c r="D13" s="218">
        <v>1073710930</v>
      </c>
      <c r="E13" s="218">
        <v>1073710930</v>
      </c>
      <c r="F13" s="225">
        <f t="shared" si="0"/>
        <v>0</v>
      </c>
      <c r="G13" s="230">
        <f t="shared" si="1"/>
        <v>0</v>
      </c>
      <c r="H13" s="220">
        <v>0.86939999999999995</v>
      </c>
      <c r="I13" s="231">
        <f t="shared" si="2"/>
        <v>0</v>
      </c>
      <c r="K13" s="204">
        <f t="shared" si="3"/>
        <v>42278</v>
      </c>
      <c r="L13" s="224">
        <f t="shared" si="3"/>
        <v>42217</v>
      </c>
      <c r="M13" s="220">
        <f t="shared" si="3"/>
        <v>9.9500000000000005E-2</v>
      </c>
      <c r="N13" s="220">
        <f t="shared" si="17"/>
        <v>0.10340000000000001</v>
      </c>
      <c r="O13" s="220">
        <f t="shared" si="4"/>
        <v>3.9000000000000007E-3</v>
      </c>
      <c r="P13" s="227">
        <f t="shared" si="5"/>
        <v>1073710930</v>
      </c>
      <c r="Q13" s="230">
        <f t="shared" si="15"/>
        <v>348956.05225000007</v>
      </c>
      <c r="R13" s="217">
        <f t="shared" si="6"/>
        <v>0.86939999999999995</v>
      </c>
      <c r="S13" s="231">
        <f t="shared" si="16"/>
        <v>303382.39182615007</v>
      </c>
      <c r="U13" s="216">
        <f t="shared" si="7"/>
        <v>42217</v>
      </c>
      <c r="V13" s="218">
        <v>1073710930</v>
      </c>
      <c r="W13" s="218">
        <f t="shared" si="8"/>
        <v>89475910.833333328</v>
      </c>
      <c r="X13" s="217">
        <f>'Q1 - KU ROR Aug15'!R$32</f>
        <v>0.10340000000000001</v>
      </c>
      <c r="Y13" s="218">
        <v>3648830.6766666668</v>
      </c>
      <c r="Z13" s="218">
        <f t="shared" si="18"/>
        <v>12900639.856833335</v>
      </c>
      <c r="AA13" s="217">
        <f t="shared" si="9"/>
        <v>0.86939999999999995</v>
      </c>
      <c r="AB13" s="218">
        <f t="shared" si="10"/>
        <v>11215816.291530902</v>
      </c>
      <c r="AC13" s="178"/>
      <c r="AE13" s="216">
        <f>U13</f>
        <v>42217</v>
      </c>
      <c r="AF13" s="218">
        <f>AB13</f>
        <v>11215816.291530902</v>
      </c>
      <c r="AG13" s="225">
        <v>0</v>
      </c>
      <c r="AH13" s="218">
        <f t="shared" si="13"/>
        <v>11215816.291530902</v>
      </c>
      <c r="AI13" s="220">
        <v>5.4640396008029259E-2</v>
      </c>
      <c r="AJ13" s="220">
        <v>9.2365368124425959E-2</v>
      </c>
      <c r="AK13" s="218">
        <v>4280639</v>
      </c>
      <c r="AL13" s="221">
        <f t="shared" si="19"/>
        <v>42278</v>
      </c>
      <c r="AM13" s="218">
        <v>2043123.0099999995</v>
      </c>
      <c r="AN13" s="218">
        <v>4212533.5600000005</v>
      </c>
      <c r="AO13" s="228">
        <f t="shared" si="14"/>
        <v>-679520.72153090127</v>
      </c>
      <c r="AP13" s="229"/>
      <c r="AQ13" s="218"/>
      <c r="AR13" s="223"/>
      <c r="AS13" s="223"/>
      <c r="AT13" s="223"/>
      <c r="AU13" s="223"/>
      <c r="AV13" s="223"/>
      <c r="AW13" s="223"/>
      <c r="AX13" s="223"/>
      <c r="AY13" s="223"/>
      <c r="AZ13" s="223"/>
    </row>
    <row r="14" spans="1:52" x14ac:dyDescent="0.2">
      <c r="A14" s="204"/>
      <c r="B14" s="224"/>
      <c r="C14" s="220"/>
      <c r="D14" s="232"/>
      <c r="E14" s="218"/>
      <c r="F14" s="218"/>
      <c r="G14" s="233">
        <f>SUM(G8:G13)</f>
        <v>0</v>
      </c>
      <c r="H14" s="172"/>
      <c r="I14" s="234">
        <f>SUM(I8:I13)</f>
        <v>0</v>
      </c>
      <c r="K14" s="177"/>
      <c r="L14" s="172"/>
      <c r="M14" s="172"/>
      <c r="N14" s="172"/>
      <c r="O14" s="172"/>
      <c r="P14" s="172"/>
      <c r="Q14" s="233">
        <f>SUM(Q8:Q13)</f>
        <v>1921803.2391666663</v>
      </c>
      <c r="R14" s="172"/>
      <c r="S14" s="234">
        <f>SUM(S8:S13)</f>
        <v>1661162.1187596261</v>
      </c>
      <c r="U14" s="216"/>
      <c r="V14" s="218"/>
      <c r="W14" s="172"/>
      <c r="X14" s="172"/>
      <c r="Y14" s="227"/>
      <c r="Z14" s="172"/>
      <c r="AA14" s="172"/>
      <c r="AB14" s="172"/>
      <c r="AC14" s="178"/>
      <c r="AE14" s="177"/>
      <c r="AF14" s="172"/>
      <c r="AG14" s="172"/>
      <c r="AH14" s="235">
        <f>SUM(AH8:AH13)</f>
        <v>62872951.084275261</v>
      </c>
      <c r="AI14" s="172"/>
      <c r="AJ14" s="172"/>
      <c r="AK14" s="235">
        <f>SUM(AK8:AK13)</f>
        <v>25266102</v>
      </c>
      <c r="AL14" s="172"/>
      <c r="AM14" s="235">
        <f>SUM(AM8:AM13)</f>
        <v>13299465.33</v>
      </c>
      <c r="AN14" s="235">
        <f>SUM(AN8:AN13)</f>
        <v>22997652.170000002</v>
      </c>
      <c r="AO14" s="236">
        <f>SUM(AO8:AO13)</f>
        <v>-1309731.5842752606</v>
      </c>
      <c r="AP14" s="229"/>
      <c r="AQ14" s="237"/>
      <c r="AR14" s="223"/>
      <c r="AS14" s="223"/>
      <c r="AT14" s="223"/>
      <c r="AU14" s="223"/>
      <c r="AV14" s="223"/>
      <c r="AW14" s="223"/>
      <c r="AX14" s="223"/>
      <c r="AY14" s="223"/>
      <c r="AZ14" s="223"/>
    </row>
    <row r="15" spans="1:52" ht="13.5" thickBot="1" x14ac:dyDescent="0.25">
      <c r="A15" s="238"/>
      <c r="B15" s="239"/>
      <c r="C15" s="240"/>
      <c r="D15" s="241"/>
      <c r="E15" s="242"/>
      <c r="F15" s="242"/>
      <c r="G15" s="242"/>
      <c r="H15" s="240"/>
      <c r="I15" s="243"/>
      <c r="K15" s="238"/>
      <c r="L15" s="239"/>
      <c r="M15" s="240"/>
      <c r="N15" s="240"/>
      <c r="O15" s="240"/>
      <c r="P15" s="244"/>
      <c r="Q15" s="244"/>
      <c r="R15" s="245"/>
      <c r="S15" s="243"/>
      <c r="U15" s="246"/>
      <c r="V15" s="242"/>
      <c r="W15" s="247"/>
      <c r="X15" s="247"/>
      <c r="Y15" s="247"/>
      <c r="Z15" s="247"/>
      <c r="AA15" s="247"/>
      <c r="AB15" s="247"/>
      <c r="AC15" s="243"/>
      <c r="AE15" s="246"/>
      <c r="AF15" s="247"/>
      <c r="AG15" s="247"/>
      <c r="AH15" s="247"/>
      <c r="AI15" s="247"/>
      <c r="AJ15" s="247"/>
      <c r="AK15" s="247"/>
      <c r="AL15" s="247"/>
      <c r="AM15" s="247"/>
      <c r="AN15" s="247"/>
      <c r="AO15" s="243"/>
      <c r="AP15" s="229"/>
      <c r="AQ15" s="218"/>
      <c r="AR15" s="223"/>
      <c r="AS15" s="223"/>
      <c r="AT15" s="223"/>
      <c r="AU15" s="223"/>
      <c r="AV15" s="223"/>
      <c r="AW15" s="223"/>
      <c r="AX15" s="223"/>
      <c r="AY15" s="223"/>
      <c r="AZ15" s="223"/>
    </row>
    <row r="16" spans="1:52" x14ac:dyDescent="0.2">
      <c r="A16" s="204"/>
      <c r="E16" s="172"/>
      <c r="W16" s="248"/>
      <c r="X16" s="172"/>
      <c r="Y16" s="218"/>
      <c r="Z16" s="218"/>
      <c r="AA16" s="218"/>
      <c r="AB16" s="218"/>
      <c r="AC16" s="249"/>
    </row>
    <row r="17" spans="1:29" x14ac:dyDescent="0.2">
      <c r="A17" s="204"/>
      <c r="E17" s="172"/>
      <c r="X17" s="172"/>
      <c r="Y17" s="207"/>
      <c r="Z17" s="172"/>
      <c r="AA17" s="172"/>
      <c r="AB17" s="172"/>
      <c r="AC17" s="172"/>
    </row>
    <row r="18" spans="1:29" x14ac:dyDescent="0.2">
      <c r="A18" s="204"/>
      <c r="X18" s="172"/>
      <c r="Y18" s="218"/>
      <c r="Z18" s="172"/>
      <c r="AA18" s="172"/>
      <c r="AB18" s="172"/>
      <c r="AC18" s="172"/>
    </row>
    <row r="19" spans="1:29" x14ac:dyDescent="0.2">
      <c r="A19" s="204"/>
      <c r="X19" s="172"/>
      <c r="Y19" s="218"/>
      <c r="Z19" s="172"/>
      <c r="AA19" s="172"/>
      <c r="AB19" s="172"/>
      <c r="AC19" s="172"/>
    </row>
    <row r="20" spans="1:29" x14ac:dyDescent="0.2">
      <c r="A20" s="204"/>
      <c r="X20" s="172"/>
      <c r="Y20" s="218"/>
      <c r="Z20" s="172"/>
      <c r="AA20" s="172"/>
      <c r="AB20" s="172"/>
      <c r="AC20" s="172"/>
    </row>
    <row r="21" spans="1:29" x14ac:dyDescent="0.2">
      <c r="A21" s="204"/>
      <c r="T21" s="229"/>
      <c r="X21" s="172"/>
      <c r="Y21" s="218"/>
      <c r="Z21" s="172"/>
      <c r="AA21" s="172"/>
      <c r="AB21" s="172"/>
      <c r="AC21" s="172"/>
    </row>
    <row r="22" spans="1:29" x14ac:dyDescent="0.2">
      <c r="A22" s="204"/>
      <c r="X22" s="172"/>
      <c r="Y22" s="218"/>
      <c r="Z22" s="172"/>
      <c r="AA22" s="172"/>
      <c r="AB22" s="172"/>
      <c r="AC22" s="172"/>
    </row>
    <row r="23" spans="1:29" x14ac:dyDescent="0.2">
      <c r="A23" s="204"/>
      <c r="X23" s="172"/>
      <c r="Y23" s="172"/>
      <c r="Z23" s="172"/>
      <c r="AA23" s="172"/>
      <c r="AB23" s="172"/>
      <c r="AC23" s="172"/>
    </row>
    <row r="24" spans="1:29" x14ac:dyDescent="0.2">
      <c r="A24" s="204"/>
    </row>
  </sheetData>
  <printOptions horizontalCentered="1"/>
  <pageMargins left="0.25" right="0.25" top="0.75" bottom="0.5" header="0.5" footer="0.5"/>
  <pageSetup scale="91" orientation="landscape" r:id="rId1"/>
  <headerFooter alignWithMargins="0"/>
  <colBreaks count="3" manualBreakCount="3">
    <brk id="10" max="53" man="1"/>
    <brk id="20" max="53" man="1"/>
    <brk id="3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Normal="80" zoomScaleSheetLayoutView="100" workbookViewId="0"/>
  </sheetViews>
  <sheetFormatPr defaultRowHeight="12.75" x14ac:dyDescent="0.2"/>
  <cols>
    <col min="1" max="1" width="4.7109375" style="252" customWidth="1"/>
    <col min="2" max="2" width="9.85546875" style="252" customWidth="1"/>
    <col min="3" max="3" width="11.42578125" style="252" customWidth="1"/>
    <col min="4" max="4" width="13" style="252" customWidth="1"/>
    <col min="5" max="5" width="12.85546875" style="252" customWidth="1"/>
    <col min="6" max="6" width="12.28515625" style="252" customWidth="1"/>
    <col min="7" max="7" width="14.140625" style="252" customWidth="1"/>
    <col min="8" max="8" width="13.140625" style="252" customWidth="1"/>
    <col min="9" max="9" width="12.28515625" style="252" customWidth="1"/>
    <col min="10" max="10" width="12.7109375" style="252" customWidth="1"/>
    <col min="11" max="11" width="13" style="252" bestFit="1" customWidth="1"/>
    <col min="12" max="12" width="13" style="252" customWidth="1"/>
    <col min="13" max="13" width="9.42578125" style="252" customWidth="1"/>
    <col min="14" max="14" width="12.28515625" style="252" customWidth="1"/>
    <col min="15" max="15" width="18.5703125" style="252" customWidth="1"/>
    <col min="16" max="16" width="16.140625" style="252" customWidth="1"/>
    <col min="17" max="17" width="16.5703125" style="252" customWidth="1"/>
    <col min="18" max="18" width="14.85546875" style="252" bestFit="1" customWidth="1"/>
    <col min="19" max="19" width="11.5703125" style="252" bestFit="1" customWidth="1"/>
    <col min="20" max="22" width="12.85546875" style="252" bestFit="1" customWidth="1"/>
    <col min="23" max="23" width="11.140625" style="252" bestFit="1" customWidth="1"/>
    <col min="24" max="24" width="12.5703125" style="252" bestFit="1" customWidth="1"/>
    <col min="25" max="25" width="11.5703125" style="252" bestFit="1" customWidth="1"/>
    <col min="26" max="26" width="12.5703125" style="252" bestFit="1" customWidth="1"/>
    <col min="27" max="27" width="11.5703125" style="252" bestFit="1" customWidth="1"/>
    <col min="28" max="28" width="12.5703125" style="252" bestFit="1" customWidth="1"/>
    <col min="29" max="29" width="10.42578125" style="252" bestFit="1" customWidth="1"/>
    <col min="30" max="16384" width="9.140625" style="252"/>
  </cols>
  <sheetData>
    <row r="1" spans="1:28" ht="12.75" customHeight="1" x14ac:dyDescent="0.3">
      <c r="A1" s="250" t="s">
        <v>119</v>
      </c>
      <c r="B1" s="251"/>
      <c r="J1" s="253" t="s">
        <v>120</v>
      </c>
    </row>
    <row r="2" spans="1:28" ht="12.75" customHeight="1" x14ac:dyDescent="0.3">
      <c r="A2" s="250" t="s">
        <v>186</v>
      </c>
      <c r="B2" s="251"/>
      <c r="J2" s="253" t="s">
        <v>187</v>
      </c>
    </row>
    <row r="3" spans="1:28" ht="12.75" customHeight="1" x14ac:dyDescent="0.3">
      <c r="A3" s="254" t="s">
        <v>129</v>
      </c>
      <c r="B3" s="251"/>
      <c r="J3" s="307" t="s">
        <v>130</v>
      </c>
    </row>
    <row r="5" spans="1:28" s="255" customFormat="1" x14ac:dyDescent="0.2">
      <c r="B5" s="256">
        <v>-1</v>
      </c>
      <c r="C5" s="256">
        <f t="shared" ref="C5:J5" si="0">+B5-1</f>
        <v>-2</v>
      </c>
      <c r="D5" s="256">
        <f t="shared" si="0"/>
        <v>-3</v>
      </c>
      <c r="E5" s="256">
        <f t="shared" si="0"/>
        <v>-4</v>
      </c>
      <c r="F5" s="256">
        <f t="shared" si="0"/>
        <v>-5</v>
      </c>
      <c r="G5" s="256">
        <f t="shared" si="0"/>
        <v>-6</v>
      </c>
      <c r="H5" s="256">
        <f t="shared" si="0"/>
        <v>-7</v>
      </c>
      <c r="I5" s="256">
        <f t="shared" si="0"/>
        <v>-8</v>
      </c>
      <c r="J5" s="256">
        <f t="shared" si="0"/>
        <v>-9</v>
      </c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8" ht="38.25" x14ac:dyDescent="0.2">
      <c r="B6" s="258" t="s">
        <v>142</v>
      </c>
      <c r="C6" s="258" t="s">
        <v>143</v>
      </c>
      <c r="D6" s="258" t="s">
        <v>144</v>
      </c>
      <c r="E6" s="258" t="s">
        <v>151</v>
      </c>
      <c r="F6" s="258" t="s">
        <v>152</v>
      </c>
      <c r="G6" s="258" t="s">
        <v>153</v>
      </c>
      <c r="H6" s="258" t="s">
        <v>188</v>
      </c>
      <c r="I6" s="259" t="s">
        <v>189</v>
      </c>
      <c r="J6" s="259" t="s">
        <v>190</v>
      </c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8" x14ac:dyDescent="0.2">
      <c r="B7" s="260"/>
      <c r="C7" s="260"/>
      <c r="D7" s="261"/>
      <c r="E7" s="255"/>
      <c r="F7" s="262" t="s">
        <v>173</v>
      </c>
      <c r="G7" s="260"/>
      <c r="H7" s="255" t="s">
        <v>174</v>
      </c>
      <c r="I7" s="260"/>
      <c r="J7" s="255" t="s">
        <v>172</v>
      </c>
      <c r="R7" s="257"/>
      <c r="S7" s="257"/>
      <c r="T7" s="257"/>
      <c r="U7" s="257"/>
      <c r="V7" s="257"/>
      <c r="W7" s="257"/>
      <c r="X7" s="257"/>
    </row>
    <row r="8" spans="1:28" x14ac:dyDescent="0.2">
      <c r="B8" s="260"/>
      <c r="C8" s="260"/>
      <c r="D8" s="261"/>
      <c r="E8" s="255"/>
      <c r="F8" s="262"/>
      <c r="G8" s="260"/>
      <c r="H8" s="255"/>
      <c r="I8" s="260"/>
      <c r="J8" s="255"/>
      <c r="R8" s="257"/>
      <c r="S8" s="257"/>
      <c r="T8" s="257"/>
      <c r="U8" s="257"/>
      <c r="V8" s="257"/>
      <c r="W8" s="257"/>
      <c r="X8" s="257"/>
    </row>
    <row r="9" spans="1:28" x14ac:dyDescent="0.2">
      <c r="B9" s="263">
        <f>'Q1-Q2 KU Over-Under Calc'!A8</f>
        <v>42125</v>
      </c>
      <c r="C9" s="263">
        <f>'Q1-Q2 KU Over-Under Calc'!B8</f>
        <v>42064</v>
      </c>
      <c r="D9" s="264">
        <f>'Q1-Q2 KU Over-Under Calc'!C8</f>
        <v>0.1022</v>
      </c>
      <c r="E9" s="265">
        <f>'Q1-Q2 KU Over-Under Calc'!N8</f>
        <v>0.1056</v>
      </c>
      <c r="F9" s="266">
        <f t="shared" ref="F9:F14" si="1">E9-D9</f>
        <v>3.4000000000000002E-3</v>
      </c>
      <c r="G9" s="267">
        <f>'Q1-Q2 KU Over-Under Calc'!E8</f>
        <v>1011330612</v>
      </c>
      <c r="H9" s="267">
        <f t="shared" ref="H9:H14" si="2">(F9*G9)/12</f>
        <v>286543.67340000003</v>
      </c>
      <c r="I9" s="264">
        <f>'Q1-Q2 KU Over-Under Calc'!H8</f>
        <v>0.84870000000000001</v>
      </c>
      <c r="J9" s="267">
        <f t="shared" ref="J9:J14" si="3">+H9*I9</f>
        <v>243189.61561458002</v>
      </c>
      <c r="R9" s="257"/>
      <c r="S9" s="257"/>
      <c r="T9" s="257"/>
      <c r="U9" s="257"/>
      <c r="V9" s="257"/>
      <c r="W9" s="257"/>
      <c r="X9" s="257"/>
    </row>
    <row r="10" spans="1:28" x14ac:dyDescent="0.2">
      <c r="B10" s="263">
        <f>'Q1-Q2 KU Over-Under Calc'!A9</f>
        <v>42156</v>
      </c>
      <c r="C10" s="263">
        <f>'Q1-Q2 KU Over-Under Calc'!B9</f>
        <v>42095</v>
      </c>
      <c r="D10" s="264">
        <f>'Q1-Q2 KU Over-Under Calc'!C9</f>
        <v>0.1022</v>
      </c>
      <c r="E10" s="265">
        <f>'Q1-Q2 KU Over-Under Calc'!N9</f>
        <v>0.1056</v>
      </c>
      <c r="F10" s="266">
        <f t="shared" si="1"/>
        <v>3.4000000000000002E-3</v>
      </c>
      <c r="G10" s="268">
        <f>'Q1-Q2 KU Over-Under Calc'!E9</f>
        <v>1028733727</v>
      </c>
      <c r="H10" s="268">
        <f t="shared" si="2"/>
        <v>291474.55598333332</v>
      </c>
      <c r="I10" s="264">
        <f>'Q1-Q2 KU Over-Under Calc'!H9</f>
        <v>0.88580000000000003</v>
      </c>
      <c r="J10" s="268">
        <f t="shared" si="3"/>
        <v>258188.16169003668</v>
      </c>
      <c r="R10" s="257"/>
      <c r="S10" s="257"/>
      <c r="T10" s="257"/>
      <c r="U10" s="257"/>
      <c r="V10" s="257"/>
      <c r="W10" s="257"/>
      <c r="X10" s="257"/>
    </row>
    <row r="11" spans="1:28" x14ac:dyDescent="0.2">
      <c r="B11" s="263">
        <f>'Q1-Q2 KU Over-Under Calc'!A10</f>
        <v>42186</v>
      </c>
      <c r="C11" s="263">
        <f>'Q1-Q2 KU Over-Under Calc'!B10</f>
        <v>42125</v>
      </c>
      <c r="D11" s="264">
        <f>'Q1-Q2 KU Over-Under Calc'!C10</f>
        <v>0.1022</v>
      </c>
      <c r="E11" s="265">
        <f>'Q1-Q2 KU Over-Under Calc'!N10</f>
        <v>0.1056</v>
      </c>
      <c r="F11" s="266">
        <f t="shared" si="1"/>
        <v>3.4000000000000002E-3</v>
      </c>
      <c r="G11" s="268">
        <f>'Q1-Q2 KU Over-Under Calc'!E10</f>
        <v>1035180880</v>
      </c>
      <c r="H11" s="268">
        <f t="shared" si="2"/>
        <v>293301.24933333334</v>
      </c>
      <c r="I11" s="264">
        <f>'Q1-Q2 KU Over-Under Calc'!H10</f>
        <v>0.86099999999999999</v>
      </c>
      <c r="J11" s="268">
        <f t="shared" si="3"/>
        <v>252532.375676</v>
      </c>
      <c r="R11" s="257"/>
      <c r="S11" s="257"/>
      <c r="T11" s="257"/>
      <c r="U11" s="257"/>
      <c r="V11" s="257"/>
      <c r="W11" s="257"/>
      <c r="X11" s="257"/>
    </row>
    <row r="12" spans="1:28" x14ac:dyDescent="0.2">
      <c r="B12" s="263">
        <f>'Q1-Q2 KU Over-Under Calc'!A11</f>
        <v>42217</v>
      </c>
      <c r="C12" s="263">
        <f>'Q1-Q2 KU Over-Under Calc'!B11</f>
        <v>42156</v>
      </c>
      <c r="D12" s="264">
        <f>'Q1-Q2 KU Over-Under Calc'!C11</f>
        <v>0.10150000000000001</v>
      </c>
      <c r="E12" s="265">
        <f>'Q1-Q2 KU Over-Under Calc'!N11</f>
        <v>0.1056</v>
      </c>
      <c r="F12" s="266">
        <f t="shared" si="1"/>
        <v>4.0999999999999925E-3</v>
      </c>
      <c r="G12" s="268">
        <f>'Q1-Q2 KU Over-Under Calc'!E11</f>
        <v>1042656936</v>
      </c>
      <c r="H12" s="268">
        <f t="shared" si="2"/>
        <v>356241.11979999935</v>
      </c>
      <c r="I12" s="264">
        <f>'Q1-Q2 KU Over-Under Calc'!H11</f>
        <v>0.86029999999999995</v>
      </c>
      <c r="J12" s="268">
        <f t="shared" si="3"/>
        <v>306474.23536393943</v>
      </c>
      <c r="R12" s="257"/>
      <c r="S12" s="257"/>
      <c r="T12" s="257"/>
      <c r="U12" s="257"/>
      <c r="V12" s="257"/>
      <c r="W12" s="257"/>
      <c r="X12" s="257"/>
    </row>
    <row r="13" spans="1:28" x14ac:dyDescent="0.2">
      <c r="B13" s="263">
        <f>'Q1-Q2 KU Over-Under Calc'!A12</f>
        <v>42248</v>
      </c>
      <c r="C13" s="263">
        <f>'Q1-Q2 KU Over-Under Calc'!B12</f>
        <v>42186</v>
      </c>
      <c r="D13" s="264">
        <f>'Q1-Q2 KU Over-Under Calc'!C12</f>
        <v>9.9500000000000005E-2</v>
      </c>
      <c r="E13" s="265">
        <f>'Q1-Q2 KU Over-Under Calc'!N12</f>
        <v>0.10340000000000001</v>
      </c>
      <c r="F13" s="266">
        <f t="shared" si="1"/>
        <v>3.9000000000000007E-3</v>
      </c>
      <c r="G13" s="268">
        <f>'Q1-Q2 KU Over-Under Calc'!E12</f>
        <v>1062420272</v>
      </c>
      <c r="H13" s="268">
        <f t="shared" si="2"/>
        <v>345286.58840000007</v>
      </c>
      <c r="I13" s="264">
        <f>'Q1-Q2 KU Over-Under Calc'!H12</f>
        <v>0.86129999999999995</v>
      </c>
      <c r="J13" s="268">
        <f t="shared" si="3"/>
        <v>297395.33858892001</v>
      </c>
      <c r="R13" s="257"/>
      <c r="S13" s="257"/>
      <c r="T13" s="257"/>
      <c r="U13" s="257"/>
      <c r="V13" s="257"/>
      <c r="W13" s="257"/>
      <c r="X13" s="257"/>
    </row>
    <row r="14" spans="1:28" x14ac:dyDescent="0.2">
      <c r="B14" s="263">
        <f>'Q1-Q2 KU Over-Under Calc'!A13</f>
        <v>42278</v>
      </c>
      <c r="C14" s="263">
        <f>'Q1-Q2 KU Over-Under Calc'!B13</f>
        <v>42217</v>
      </c>
      <c r="D14" s="264">
        <f>'Q1-Q2 KU Over-Under Calc'!C13</f>
        <v>9.9500000000000005E-2</v>
      </c>
      <c r="E14" s="265">
        <f>'Q1-Q2 KU Over-Under Calc'!N13</f>
        <v>0.10340000000000001</v>
      </c>
      <c r="F14" s="266">
        <f t="shared" si="1"/>
        <v>3.9000000000000007E-3</v>
      </c>
      <c r="G14" s="268">
        <f>'Q1-Q2 KU Over-Under Calc'!E13</f>
        <v>1073710930</v>
      </c>
      <c r="H14" s="269">
        <f t="shared" si="2"/>
        <v>348956.05225000007</v>
      </c>
      <c r="I14" s="264">
        <f>'Q1-Q2 KU Over-Under Calc'!H13</f>
        <v>0.86939999999999995</v>
      </c>
      <c r="J14" s="269">
        <f t="shared" si="3"/>
        <v>303382.39182615007</v>
      </c>
      <c r="R14" s="257"/>
      <c r="S14" s="257"/>
      <c r="T14" s="257"/>
      <c r="U14" s="257"/>
      <c r="V14" s="257"/>
      <c r="W14" s="257"/>
      <c r="X14" s="257"/>
    </row>
    <row r="15" spans="1:28" x14ac:dyDescent="0.2">
      <c r="B15" s="260"/>
      <c r="C15" s="260"/>
      <c r="D15" s="261"/>
      <c r="E15" s="255"/>
      <c r="F15" s="262"/>
      <c r="G15" s="260"/>
      <c r="H15" s="267">
        <f>SUM(H9:H14)</f>
        <v>1921803.2391666663</v>
      </c>
      <c r="J15" s="267">
        <f>SUM(J9:J14)</f>
        <v>1661162.1187596261</v>
      </c>
      <c r="R15" s="257"/>
      <c r="S15" s="257"/>
      <c r="T15" s="257"/>
      <c r="U15" s="257"/>
      <c r="V15" s="257"/>
      <c r="W15" s="257"/>
      <c r="X15" s="257"/>
    </row>
    <row r="16" spans="1:28" x14ac:dyDescent="0.2">
      <c r="B16" s="263"/>
      <c r="C16" s="263"/>
      <c r="R16" s="257"/>
      <c r="S16" s="257"/>
      <c r="T16" s="257"/>
      <c r="U16" s="257"/>
      <c r="V16" s="257"/>
      <c r="W16" s="257"/>
      <c r="X16" s="257"/>
      <c r="AA16" s="270"/>
      <c r="AB16" s="270"/>
    </row>
    <row r="17" spans="2:31" x14ac:dyDescent="0.2">
      <c r="R17" s="257"/>
      <c r="S17" s="257"/>
      <c r="T17" s="257"/>
      <c r="U17" s="257"/>
      <c r="V17" s="257"/>
      <c r="W17" s="257"/>
      <c r="X17" s="257"/>
    </row>
    <row r="18" spans="2:31" s="255" customFormat="1" x14ac:dyDescent="0.2">
      <c r="B18" s="256">
        <v>-1</v>
      </c>
      <c r="C18" s="256">
        <f t="shared" ref="C18:F18" si="4">+B18-1</f>
        <v>-2</v>
      </c>
      <c r="D18" s="256">
        <f t="shared" si="4"/>
        <v>-3</v>
      </c>
      <c r="E18" s="256">
        <f t="shared" si="4"/>
        <v>-4</v>
      </c>
      <c r="F18" s="256">
        <f t="shared" si="4"/>
        <v>-5</v>
      </c>
      <c r="H18" s="256"/>
      <c r="I18" s="256"/>
      <c r="J18" s="271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61"/>
      <c r="X18" s="261"/>
    </row>
    <row r="19" spans="2:31" x14ac:dyDescent="0.2">
      <c r="C19" s="273"/>
      <c r="D19" s="308" t="s">
        <v>191</v>
      </c>
      <c r="E19" s="308"/>
      <c r="F19" s="308"/>
      <c r="G19" s="308"/>
      <c r="H19" s="255"/>
      <c r="J19" s="271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</row>
    <row r="20" spans="2:31" ht="51" x14ac:dyDescent="0.2">
      <c r="B20" s="259" t="s">
        <v>192</v>
      </c>
      <c r="C20" s="259" t="s">
        <v>193</v>
      </c>
      <c r="D20" s="274" t="s">
        <v>169</v>
      </c>
      <c r="E20" s="259" t="s">
        <v>194</v>
      </c>
      <c r="F20" s="258" t="s">
        <v>195</v>
      </c>
      <c r="H20" s="255"/>
      <c r="I20" s="255"/>
      <c r="J20" s="275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</row>
    <row r="21" spans="2:31" x14ac:dyDescent="0.2">
      <c r="B21" s="255"/>
      <c r="C21" s="255"/>
      <c r="D21" s="262" t="s">
        <v>196</v>
      </c>
      <c r="E21" s="255"/>
      <c r="F21" s="255"/>
      <c r="H21" s="255"/>
      <c r="I21" s="255"/>
      <c r="J21" s="257"/>
      <c r="K21" s="257"/>
      <c r="L21" s="257"/>
      <c r="M21" s="257"/>
      <c r="N21" s="272"/>
      <c r="O21" s="257"/>
      <c r="P21" s="257"/>
      <c r="Q21" s="257"/>
      <c r="R21" s="257"/>
      <c r="S21" s="257"/>
      <c r="T21" s="257"/>
      <c r="U21" s="257"/>
      <c r="V21" s="257"/>
    </row>
    <row r="22" spans="2:31" x14ac:dyDescent="0.2">
      <c r="B22" s="276"/>
      <c r="C22" s="255"/>
      <c r="D22" s="255"/>
      <c r="H22" s="255"/>
      <c r="I22" s="255"/>
      <c r="J22" s="277"/>
      <c r="K22" s="272"/>
      <c r="L22" s="272"/>
      <c r="M22" s="272"/>
      <c r="N22" s="272"/>
      <c r="O22" s="257"/>
      <c r="P22" s="257"/>
      <c r="Q22" s="257"/>
      <c r="R22" s="257"/>
      <c r="S22" s="257"/>
      <c r="T22" s="257"/>
      <c r="U22" s="257"/>
      <c r="V22" s="257"/>
    </row>
    <row r="23" spans="2:31" x14ac:dyDescent="0.2">
      <c r="B23" s="276">
        <f>B9</f>
        <v>42125</v>
      </c>
      <c r="C23" s="276">
        <f>+C9</f>
        <v>42064</v>
      </c>
      <c r="D23" s="278">
        <f>'Q1-Q2 KU Over-Under Calc'!AO8</f>
        <v>-985490.45762972161</v>
      </c>
      <c r="E23" s="267">
        <f>-J9</f>
        <v>-243189.61561458002</v>
      </c>
      <c r="F23" s="267">
        <f t="shared" ref="F23:F28" si="5">D23-E23</f>
        <v>-742300.84201514162</v>
      </c>
      <c r="H23" s="255"/>
      <c r="I23" s="255"/>
      <c r="J23" s="277"/>
      <c r="K23" s="272"/>
      <c r="L23" s="272"/>
      <c r="M23" s="272"/>
      <c r="N23" s="272"/>
      <c r="O23" s="257"/>
      <c r="P23" s="257"/>
      <c r="Q23" s="257"/>
      <c r="R23" s="257"/>
      <c r="S23" s="257"/>
      <c r="T23" s="257"/>
      <c r="U23" s="257"/>
      <c r="V23" s="257"/>
    </row>
    <row r="24" spans="2:31" x14ac:dyDescent="0.2">
      <c r="B24" s="276">
        <f t="shared" ref="B24:B28" si="6">B10</f>
        <v>42156</v>
      </c>
      <c r="C24" s="276">
        <f t="shared" ref="C24:C28" si="7">+C10</f>
        <v>42095</v>
      </c>
      <c r="D24" s="279">
        <f>'Q1-Q2 KU Over-Under Calc'!AO9</f>
        <v>-681957.53145807981</v>
      </c>
      <c r="E24" s="268">
        <f t="shared" ref="E24:E28" si="8">-J10</f>
        <v>-258188.16169003668</v>
      </c>
      <c r="F24" s="268">
        <f t="shared" si="5"/>
        <v>-423769.36976804317</v>
      </c>
      <c r="H24" s="255"/>
      <c r="I24" s="255"/>
      <c r="J24" s="277"/>
      <c r="K24" s="272"/>
      <c r="L24" s="272"/>
      <c r="M24" s="272"/>
      <c r="N24" s="272"/>
      <c r="O24" s="257"/>
      <c r="P24" s="257"/>
      <c r="Q24" s="257"/>
      <c r="R24" s="257"/>
      <c r="S24" s="257"/>
      <c r="T24" s="257"/>
      <c r="U24" s="257"/>
      <c r="V24" s="257"/>
    </row>
    <row r="25" spans="2:31" x14ac:dyDescent="0.2">
      <c r="B25" s="276">
        <f t="shared" si="6"/>
        <v>42186</v>
      </c>
      <c r="C25" s="276">
        <f t="shared" si="7"/>
        <v>42125</v>
      </c>
      <c r="D25" s="279">
        <f>'Q1-Q2 KU Over-Under Calc'!AO10</f>
        <v>509330.2069260031</v>
      </c>
      <c r="E25" s="268">
        <f t="shared" si="8"/>
        <v>-252532.375676</v>
      </c>
      <c r="F25" s="268">
        <f t="shared" si="5"/>
        <v>761862.58260200312</v>
      </c>
      <c r="H25" s="255"/>
      <c r="I25" s="255"/>
      <c r="J25" s="277"/>
      <c r="K25" s="272"/>
      <c r="L25" s="272"/>
      <c r="M25" s="272"/>
      <c r="N25" s="272"/>
      <c r="O25" s="257"/>
      <c r="P25" s="257"/>
      <c r="Q25" s="257"/>
      <c r="R25" s="257"/>
      <c r="S25" s="257"/>
      <c r="T25" s="257"/>
      <c r="U25" s="257"/>
      <c r="V25" s="257"/>
    </row>
    <row r="26" spans="2:31" x14ac:dyDescent="0.2">
      <c r="B26" s="276">
        <f t="shared" si="6"/>
        <v>42217</v>
      </c>
      <c r="C26" s="276">
        <f t="shared" si="7"/>
        <v>42156</v>
      </c>
      <c r="D26" s="279">
        <f>'Q1-Q2 KU Over-Under Calc'!AO11</f>
        <v>331180.66235395893</v>
      </c>
      <c r="E26" s="268">
        <f t="shared" si="8"/>
        <v>-306474.23536393943</v>
      </c>
      <c r="F26" s="268">
        <f t="shared" si="5"/>
        <v>637654.89771789836</v>
      </c>
      <c r="H26" s="255"/>
      <c r="I26" s="255"/>
      <c r="J26" s="277"/>
      <c r="K26" s="272"/>
      <c r="L26" s="272"/>
      <c r="M26" s="272"/>
      <c r="N26" s="272"/>
      <c r="O26" s="257"/>
      <c r="P26" s="257"/>
      <c r="Q26" s="257"/>
      <c r="R26" s="257"/>
      <c r="S26" s="257"/>
      <c r="T26" s="257"/>
      <c r="U26" s="257"/>
      <c r="V26" s="257"/>
    </row>
    <row r="27" spans="2:31" x14ac:dyDescent="0.2">
      <c r="B27" s="276">
        <f t="shared" si="6"/>
        <v>42248</v>
      </c>
      <c r="C27" s="276">
        <f t="shared" si="7"/>
        <v>42186</v>
      </c>
      <c r="D27" s="279">
        <f>'Q1-Q2 KU Over-Under Calc'!AO12</f>
        <v>196726.25706348009</v>
      </c>
      <c r="E27" s="268">
        <f t="shared" si="8"/>
        <v>-297395.33858892001</v>
      </c>
      <c r="F27" s="268">
        <f t="shared" si="5"/>
        <v>494121.59565240011</v>
      </c>
      <c r="H27" s="255"/>
      <c r="I27" s="255"/>
      <c r="J27" s="277"/>
      <c r="K27" s="272"/>
      <c r="L27" s="272"/>
      <c r="M27" s="272"/>
      <c r="N27" s="272"/>
      <c r="O27" s="257"/>
      <c r="P27" s="257"/>
      <c r="Q27" s="257"/>
      <c r="R27" s="257"/>
      <c r="S27" s="257"/>
      <c r="T27" s="257"/>
      <c r="U27" s="257"/>
      <c r="V27" s="257"/>
    </row>
    <row r="28" spans="2:31" x14ac:dyDescent="0.2">
      <c r="B28" s="280">
        <f t="shared" si="6"/>
        <v>42278</v>
      </c>
      <c r="C28" s="280">
        <f t="shared" si="7"/>
        <v>42217</v>
      </c>
      <c r="D28" s="281">
        <f>'Q1-Q2 KU Over-Under Calc'!AO13</f>
        <v>-679520.72153090127</v>
      </c>
      <c r="E28" s="269">
        <f t="shared" si="8"/>
        <v>-303382.39182615007</v>
      </c>
      <c r="F28" s="269">
        <f t="shared" si="5"/>
        <v>-376138.3297047512</v>
      </c>
      <c r="H28" s="255"/>
      <c r="I28" s="255"/>
      <c r="J28" s="277"/>
      <c r="K28" s="272"/>
      <c r="L28" s="272"/>
      <c r="M28" s="272"/>
      <c r="N28" s="272"/>
      <c r="O28" s="257"/>
      <c r="P28" s="257"/>
      <c r="Q28" s="257"/>
      <c r="R28" s="257"/>
      <c r="S28" s="257"/>
      <c r="T28" s="257"/>
      <c r="U28" s="257"/>
      <c r="V28" s="257"/>
    </row>
    <row r="29" spans="2:31" x14ac:dyDescent="0.2">
      <c r="B29" s="252" t="s">
        <v>197</v>
      </c>
      <c r="D29" s="267">
        <f>SUM(D23:D28)</f>
        <v>-1309731.5842752606</v>
      </c>
      <c r="E29" s="267">
        <f>SUM(E23:E28)</f>
        <v>-1661162.1187596261</v>
      </c>
      <c r="F29" s="267">
        <f>SUM(F23:F28)</f>
        <v>351430.53448436578</v>
      </c>
      <c r="H29" s="255"/>
      <c r="I29" s="255"/>
      <c r="J29" s="277"/>
      <c r="K29" s="272"/>
      <c r="L29" s="272"/>
      <c r="M29" s="272"/>
      <c r="N29" s="272"/>
      <c r="O29" s="257"/>
      <c r="P29" s="257"/>
      <c r="Q29" s="257"/>
      <c r="R29" s="257"/>
      <c r="S29" s="257"/>
      <c r="T29" s="257"/>
      <c r="U29" s="257"/>
      <c r="V29" s="257"/>
    </row>
    <row r="30" spans="2:31" x14ac:dyDescent="0.2">
      <c r="G30" s="260"/>
      <c r="H30" s="282"/>
      <c r="I30" s="282"/>
      <c r="J30" s="257"/>
      <c r="K30" s="283"/>
      <c r="L30" s="283"/>
      <c r="M30" s="283"/>
      <c r="N30" s="283"/>
      <c r="O30" s="284"/>
      <c r="X30" s="270"/>
      <c r="Y30" s="270"/>
      <c r="Z30" s="270"/>
      <c r="AB30" s="285"/>
      <c r="AC30" s="270"/>
      <c r="AD30" s="286"/>
      <c r="AE30" s="282"/>
    </row>
    <row r="31" spans="2:31" ht="13.5" thickBot="1" x14ac:dyDescent="0.25"/>
    <row r="32" spans="2:31" x14ac:dyDescent="0.2">
      <c r="D32" s="287"/>
      <c r="E32" s="288"/>
      <c r="F32" s="288"/>
      <c r="G32" s="288"/>
      <c r="H32" s="289"/>
    </row>
    <row r="33" spans="4:19" x14ac:dyDescent="0.2">
      <c r="D33" s="309" t="s">
        <v>198</v>
      </c>
      <c r="E33" s="310"/>
      <c r="F33" s="310"/>
      <c r="G33" s="310"/>
      <c r="H33" s="311"/>
      <c r="J33" s="260"/>
    </row>
    <row r="34" spans="4:19" x14ac:dyDescent="0.2">
      <c r="D34" s="290"/>
      <c r="E34" s="291"/>
      <c r="F34" s="260"/>
      <c r="G34" s="260"/>
      <c r="H34" s="292"/>
      <c r="J34" s="260"/>
    </row>
    <row r="35" spans="4:19" x14ac:dyDescent="0.2">
      <c r="D35" s="290"/>
      <c r="E35" s="260"/>
      <c r="F35" s="293" t="s">
        <v>199</v>
      </c>
      <c r="G35" s="260"/>
      <c r="H35" s="294">
        <f>D29</f>
        <v>-1309731.5842752606</v>
      </c>
      <c r="J35" s="295"/>
    </row>
    <row r="36" spans="4:19" x14ac:dyDescent="0.2">
      <c r="D36" s="290"/>
      <c r="E36" s="260"/>
      <c r="F36" s="260"/>
      <c r="G36" s="260"/>
      <c r="H36" s="292"/>
      <c r="J36" s="260"/>
    </row>
    <row r="37" spans="4:19" x14ac:dyDescent="0.2">
      <c r="D37" s="296"/>
      <c r="E37" s="260"/>
      <c r="F37" s="293" t="s">
        <v>200</v>
      </c>
      <c r="G37" s="267">
        <f>E29</f>
        <v>-1661162.1187596261</v>
      </c>
      <c r="H37" s="292"/>
      <c r="J37" s="260"/>
      <c r="N37" s="295"/>
      <c r="O37" s="255"/>
      <c r="P37" s="295"/>
      <c r="Q37" s="282"/>
      <c r="S37" s="295"/>
    </row>
    <row r="38" spans="4:19" x14ac:dyDescent="0.2">
      <c r="D38" s="296"/>
      <c r="E38" s="260"/>
      <c r="F38" s="297" t="s">
        <v>195</v>
      </c>
      <c r="G38" s="298">
        <f>F29</f>
        <v>351430.53448436578</v>
      </c>
      <c r="H38" s="292"/>
      <c r="J38" s="260"/>
      <c r="N38" s="295"/>
      <c r="O38" s="255"/>
      <c r="P38" s="295"/>
      <c r="Q38" s="282"/>
      <c r="S38" s="295"/>
    </row>
    <row r="39" spans="4:19" x14ac:dyDescent="0.2">
      <c r="D39" s="290"/>
      <c r="E39" s="260"/>
      <c r="F39" s="297"/>
      <c r="G39" s="295"/>
      <c r="H39" s="299"/>
      <c r="J39" s="260"/>
      <c r="N39" s="295"/>
      <c r="O39" s="255"/>
      <c r="P39" s="295"/>
      <c r="Q39" s="282"/>
      <c r="S39" s="295"/>
    </row>
    <row r="40" spans="4:19" x14ac:dyDescent="0.2">
      <c r="D40" s="290"/>
      <c r="E40" s="261"/>
      <c r="F40" s="297" t="s">
        <v>201</v>
      </c>
      <c r="G40" s="260"/>
      <c r="H40" s="294">
        <f>SUM(G37:G38)</f>
        <v>-1309731.5842752603</v>
      </c>
      <c r="N40" s="295"/>
      <c r="O40" s="255"/>
      <c r="S40" s="295"/>
    </row>
    <row r="41" spans="4:19" x14ac:dyDescent="0.2">
      <c r="D41" s="290"/>
      <c r="E41" s="260"/>
      <c r="F41" s="297"/>
      <c r="G41" s="295"/>
      <c r="H41" s="292"/>
      <c r="N41" s="295"/>
      <c r="O41" s="255"/>
      <c r="S41" s="295"/>
    </row>
    <row r="42" spans="4:19" x14ac:dyDescent="0.2">
      <c r="D42" s="290"/>
      <c r="E42" s="260"/>
      <c r="F42" s="297" t="s">
        <v>202</v>
      </c>
      <c r="G42" s="260"/>
      <c r="H42" s="294">
        <f>+H35-H40</f>
        <v>0</v>
      </c>
      <c r="N42" s="295"/>
      <c r="O42" s="255"/>
    </row>
    <row r="43" spans="4:19" ht="13.5" thickBot="1" x14ac:dyDescent="0.25">
      <c r="D43" s="300"/>
      <c r="E43" s="301"/>
      <c r="F43" s="302"/>
      <c r="G43" s="301"/>
      <c r="H43" s="303"/>
      <c r="O43" s="255"/>
    </row>
    <row r="44" spans="4:19" x14ac:dyDescent="0.2">
      <c r="D44" s="260"/>
      <c r="E44" s="260"/>
      <c r="F44" s="304"/>
      <c r="G44" s="260"/>
      <c r="H44" s="260"/>
      <c r="O44" s="255"/>
    </row>
    <row r="45" spans="4:19" x14ac:dyDescent="0.2">
      <c r="D45" s="260"/>
      <c r="E45" s="260"/>
      <c r="F45" s="304"/>
      <c r="G45" s="260"/>
      <c r="H45" s="260"/>
      <c r="O45" s="255"/>
    </row>
    <row r="46" spans="4:19" x14ac:dyDescent="0.2">
      <c r="D46" s="260"/>
      <c r="E46" s="260"/>
      <c r="F46" s="304"/>
      <c r="G46" s="260"/>
      <c r="H46" s="260"/>
      <c r="O46" s="255"/>
    </row>
    <row r="47" spans="4:19" x14ac:dyDescent="0.2">
      <c r="D47" s="260"/>
      <c r="E47" s="260"/>
      <c r="F47" s="304"/>
      <c r="G47" s="260"/>
      <c r="H47" s="260"/>
      <c r="O47" s="255"/>
    </row>
  </sheetData>
  <mergeCells count="2">
    <mergeCell ref="D19:G19"/>
    <mergeCell ref="D33:H33"/>
  </mergeCells>
  <pageMargins left="1" right="0.75" top="1" bottom="0.55000000000000004" header="0.5" footer="0.5"/>
  <pageSetup scale="7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S46"/>
  <sheetViews>
    <sheetView showGridLines="0" zoomScale="70" zoomScaleNormal="70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9" style="3" customWidth="1"/>
    <col min="4" max="4" width="4" style="3" bestFit="1" customWidth="1"/>
    <col min="5" max="5" width="1.7109375" style="3" customWidth="1"/>
    <col min="6" max="6" width="16" style="3" bestFit="1" customWidth="1"/>
    <col min="7" max="7" width="2" style="3" customWidth="1"/>
    <col min="8" max="8" width="25.5703125" style="3" bestFit="1" customWidth="1"/>
    <col min="9" max="9" width="2" style="3" customWidth="1"/>
    <col min="10" max="10" width="19" style="3" customWidth="1"/>
    <col min="11" max="11" width="2" style="3" customWidth="1"/>
    <col min="12" max="12" width="19" style="3" customWidth="1"/>
    <col min="13" max="13" width="2.28515625" style="3" customWidth="1"/>
    <col min="14" max="14" width="19" style="3" customWidth="1"/>
    <col min="15" max="15" width="2.28515625" style="3" customWidth="1"/>
    <col min="16" max="16" width="19" style="3" customWidth="1"/>
    <col min="17" max="17" width="1.85546875" style="3" customWidth="1"/>
    <col min="18" max="18" width="19" style="3" customWidth="1"/>
    <col min="19" max="19" width="1.85546875" style="3" customWidth="1"/>
    <col min="20" max="16384" width="17.85546875" style="3"/>
  </cols>
  <sheetData>
    <row r="1" spans="1:19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5">
      <c r="A5" s="53" t="s">
        <v>113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x14ac:dyDescent="0.25">
      <c r="A6" s="6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0"/>
      <c r="S6" s="51"/>
    </row>
    <row r="7" spans="1:19" ht="18" x14ac:dyDescent="0.4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1"/>
      <c r="B8" s="1"/>
      <c r="C8" s="2"/>
      <c r="D8" s="2"/>
      <c r="E8" s="2"/>
      <c r="H8" s="2"/>
      <c r="I8" s="2"/>
      <c r="J8" s="2"/>
      <c r="K8" s="2"/>
      <c r="L8" s="8" t="s">
        <v>3</v>
      </c>
      <c r="O8" s="2"/>
      <c r="P8" s="2"/>
      <c r="Q8" s="2"/>
      <c r="R8" s="2"/>
    </row>
    <row r="9" spans="1:19" x14ac:dyDescent="0.25">
      <c r="A9" s="1"/>
      <c r="B9" s="1"/>
      <c r="C9" s="8"/>
      <c r="D9" s="8"/>
      <c r="E9" s="8"/>
      <c r="H9" s="8"/>
      <c r="I9" s="8"/>
      <c r="J9" s="8"/>
      <c r="K9" s="8"/>
      <c r="L9" s="8" t="s">
        <v>4</v>
      </c>
      <c r="M9" s="8"/>
      <c r="N9" s="8" t="s">
        <v>6</v>
      </c>
      <c r="Q9" s="8"/>
      <c r="R9" s="9" t="s">
        <v>7</v>
      </c>
    </row>
    <row r="10" spans="1:19" x14ac:dyDescent="0.25">
      <c r="A10" s="1"/>
      <c r="B10" s="1"/>
      <c r="C10" s="8"/>
      <c r="D10" s="8"/>
      <c r="E10" s="8"/>
      <c r="F10" s="8"/>
      <c r="H10" s="8"/>
      <c r="I10" s="8"/>
      <c r="J10" s="8" t="s">
        <v>8</v>
      </c>
      <c r="K10" s="8"/>
      <c r="L10" s="8" t="s">
        <v>9</v>
      </c>
      <c r="M10" s="8"/>
      <c r="N10" s="8" t="s">
        <v>10</v>
      </c>
      <c r="O10" s="9"/>
      <c r="P10" s="8" t="s">
        <v>2</v>
      </c>
      <c r="Q10" s="8"/>
      <c r="R10" s="8" t="s">
        <v>2</v>
      </c>
    </row>
    <row r="11" spans="1:19" x14ac:dyDescent="0.25">
      <c r="A11" s="1"/>
      <c r="B11" s="2"/>
      <c r="C11" s="8" t="s">
        <v>34</v>
      </c>
      <c r="D11" s="8"/>
      <c r="E11" s="8"/>
      <c r="F11" s="9" t="s">
        <v>11</v>
      </c>
      <c r="H11" s="8"/>
      <c r="I11" s="8"/>
      <c r="J11" s="8" t="s">
        <v>12</v>
      </c>
      <c r="K11" s="8"/>
      <c r="L11" s="8" t="s">
        <v>13</v>
      </c>
      <c r="M11" s="8"/>
      <c r="N11" s="8" t="s">
        <v>13</v>
      </c>
      <c r="O11" s="9"/>
      <c r="P11" s="8" t="s">
        <v>1</v>
      </c>
      <c r="Q11" s="8"/>
      <c r="R11" s="9" t="s">
        <v>13</v>
      </c>
    </row>
    <row r="12" spans="1:19" x14ac:dyDescent="0.25">
      <c r="A12" s="2"/>
      <c r="B12" s="2"/>
      <c r="C12" s="10" t="s">
        <v>112</v>
      </c>
      <c r="D12" s="8"/>
      <c r="E12" s="8"/>
      <c r="F12" s="9" t="s">
        <v>14</v>
      </c>
      <c r="H12" s="8" t="s">
        <v>37</v>
      </c>
      <c r="I12" s="8"/>
      <c r="J12" s="46" t="s">
        <v>15</v>
      </c>
      <c r="K12" s="8"/>
      <c r="L12" s="46" t="s">
        <v>38</v>
      </c>
      <c r="M12" s="8"/>
      <c r="N12" s="11" t="s">
        <v>39</v>
      </c>
      <c r="O12" s="9"/>
      <c r="P12" s="8" t="s">
        <v>16</v>
      </c>
      <c r="Q12" s="8"/>
      <c r="R12" s="46" t="s">
        <v>40</v>
      </c>
    </row>
    <row r="13" spans="1:19" x14ac:dyDescent="0.25">
      <c r="A13" s="2"/>
      <c r="B13" s="2"/>
      <c r="C13" s="12">
        <v>-1</v>
      </c>
      <c r="D13" s="8"/>
      <c r="E13" s="9"/>
      <c r="F13" s="12">
        <v>-2</v>
      </c>
      <c r="H13" s="12">
        <v>-3</v>
      </c>
      <c r="I13" s="8"/>
      <c r="J13" s="47">
        <v>-4</v>
      </c>
      <c r="K13" s="8"/>
      <c r="L13" s="47">
        <v>-5</v>
      </c>
      <c r="M13" s="8"/>
      <c r="N13" s="12">
        <v>-6</v>
      </c>
      <c r="O13" s="8"/>
      <c r="P13" s="12">
        <v>-7</v>
      </c>
      <c r="Q13" s="8"/>
      <c r="R13" s="12">
        <v>-8</v>
      </c>
    </row>
    <row r="14" spans="1:19" ht="30" customHeight="1" x14ac:dyDescent="0.25">
      <c r="A14" s="14" t="s">
        <v>17</v>
      </c>
      <c r="B14" s="2" t="s">
        <v>18</v>
      </c>
      <c r="C14" s="15">
        <f>'Q1 - KU ECC Jun15'!F61</f>
        <v>185675670.93000001</v>
      </c>
      <c r="D14" s="49" t="s">
        <v>35</v>
      </c>
      <c r="E14" s="2"/>
      <c r="F14" s="29">
        <f>ROUND(+C14/$C$17,4)</f>
        <v>3.78E-2</v>
      </c>
      <c r="H14" s="36">
        <v>0</v>
      </c>
      <c r="I14" s="2"/>
      <c r="J14" s="36">
        <f>ROUND(+F14*$J$17,0)</f>
        <v>-46166</v>
      </c>
      <c r="K14" s="2"/>
      <c r="L14" s="36">
        <f>SUM(H14:K14)</f>
        <v>-46166</v>
      </c>
      <c r="M14" s="2"/>
      <c r="N14" s="39">
        <f>+C14+L14</f>
        <v>185629504.93000001</v>
      </c>
      <c r="P14" s="34">
        <v>0.88819999999999999</v>
      </c>
      <c r="Q14" s="2"/>
      <c r="R14" s="39">
        <f>ROUND(+N14*P14,0)</f>
        <v>164876126</v>
      </c>
    </row>
    <row r="15" spans="1:19" ht="30" customHeight="1" x14ac:dyDescent="0.25">
      <c r="A15" s="14" t="s">
        <v>19</v>
      </c>
      <c r="B15" s="2" t="s">
        <v>20</v>
      </c>
      <c r="C15" s="2">
        <f>'Q1 - KU ECC Jun15'!F45</f>
        <v>2091026562.9790983</v>
      </c>
      <c r="D15" s="49" t="s">
        <v>35</v>
      </c>
      <c r="E15" s="2"/>
      <c r="F15" s="29">
        <f>ROUND(+C15/$C$17,4)</f>
        <v>0.42570000000000002</v>
      </c>
      <c r="H15" s="38">
        <v>0</v>
      </c>
      <c r="I15" s="2"/>
      <c r="J15" s="37">
        <f>ROUND(+F15*$J$17,0)</f>
        <v>-519913</v>
      </c>
      <c r="K15" s="2"/>
      <c r="L15" s="37">
        <f>SUM(H15:K15)</f>
        <v>-519913</v>
      </c>
      <c r="M15" s="2"/>
      <c r="N15" s="40">
        <f>+C15+L15</f>
        <v>2090506649.9790983</v>
      </c>
      <c r="P15" s="18">
        <f>+P14</f>
        <v>0.88819999999999999</v>
      </c>
      <c r="Q15" s="2"/>
      <c r="R15" s="40">
        <f>ROUND(+N15*P15,0)</f>
        <v>1856788007</v>
      </c>
    </row>
    <row r="16" spans="1:19" ht="30" customHeight="1" x14ac:dyDescent="0.25">
      <c r="A16" s="14" t="s">
        <v>21</v>
      </c>
      <c r="B16" s="2" t="s">
        <v>22</v>
      </c>
      <c r="C16" s="2">
        <v>2634709975</v>
      </c>
      <c r="D16" s="2"/>
      <c r="E16" s="2"/>
      <c r="F16" s="16">
        <f>ROUND(1-F14-F15,4)</f>
        <v>0.53649999999999998</v>
      </c>
      <c r="H16" s="38">
        <f>H17</f>
        <v>-504066</v>
      </c>
      <c r="I16" s="2"/>
      <c r="J16" s="38">
        <f>+J17-J14-J15</f>
        <v>-655234</v>
      </c>
      <c r="K16" s="2"/>
      <c r="L16" s="38">
        <f>SUM(H16:K16)</f>
        <v>-1159300</v>
      </c>
      <c r="M16" s="2"/>
      <c r="N16" s="40">
        <f>+C16+L16</f>
        <v>2633550675</v>
      </c>
      <c r="P16" s="18">
        <f>+P14</f>
        <v>0.88819999999999999</v>
      </c>
      <c r="Q16" s="2"/>
      <c r="R16" s="40">
        <f>ROUND(+N16*P16,0)</f>
        <v>2339119710</v>
      </c>
    </row>
    <row r="17" spans="1:19" ht="30" customHeight="1" thickBot="1" x14ac:dyDescent="0.3">
      <c r="A17" s="14" t="s">
        <v>23</v>
      </c>
      <c r="B17" s="2" t="s">
        <v>24</v>
      </c>
      <c r="C17" s="20">
        <f>SUM(C14:C16)</f>
        <v>4911412208.9090977</v>
      </c>
      <c r="D17" s="2"/>
      <c r="E17" s="2"/>
      <c r="F17" s="21">
        <f>SUM(F14:F16)</f>
        <v>1</v>
      </c>
      <c r="H17" s="35">
        <v>-504066</v>
      </c>
      <c r="I17" s="2"/>
      <c r="J17" s="35">
        <v>-1221313</v>
      </c>
      <c r="K17" s="2"/>
      <c r="L17" s="35">
        <f>SUM(L14:L16)</f>
        <v>-1725379</v>
      </c>
      <c r="M17" s="2"/>
      <c r="N17" s="35">
        <f>SUM(N14:N16)</f>
        <v>4909686829.9090977</v>
      </c>
      <c r="Q17" s="2"/>
      <c r="R17" s="35">
        <f>SUM(R14:R16)</f>
        <v>4360783843</v>
      </c>
    </row>
    <row r="18" spans="1:19" ht="16.5" thickTop="1" x14ac:dyDescent="0.25">
      <c r="A18" s="2"/>
      <c r="B18" s="2"/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Q18" s="2"/>
      <c r="S18" s="2"/>
    </row>
    <row r="19" spans="1:19" x14ac:dyDescent="0.25">
      <c r="A19" s="2"/>
      <c r="B19" s="2"/>
      <c r="C19" s="15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t="18" x14ac:dyDescent="0.4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8" x14ac:dyDescent="0.4">
      <c r="A21" s="2"/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8" x14ac:dyDescent="0.4">
      <c r="A22" s="2"/>
      <c r="B22" s="2"/>
      <c r="C22" s="7"/>
      <c r="D22" s="7"/>
      <c r="E22" s="7"/>
      <c r="F22" s="7"/>
      <c r="G22" s="7"/>
      <c r="H22" s="22"/>
      <c r="I22" s="7"/>
      <c r="J22" s="22"/>
      <c r="K22" s="7"/>
      <c r="L22" s="22" t="s">
        <v>25</v>
      </c>
      <c r="M22" s="7"/>
      <c r="N22" s="7"/>
      <c r="O22" s="7"/>
      <c r="R22" s="2"/>
      <c r="S22" s="2"/>
    </row>
    <row r="23" spans="1:19" ht="18" x14ac:dyDescent="0.4">
      <c r="A23" s="2"/>
      <c r="B23" s="2"/>
      <c r="C23" s="7"/>
      <c r="D23" s="7"/>
      <c r="E23" s="7"/>
      <c r="F23" s="7"/>
      <c r="G23" s="7"/>
      <c r="H23" s="22"/>
      <c r="I23" s="7"/>
      <c r="J23" s="22"/>
      <c r="K23" s="7"/>
      <c r="L23" s="9" t="s">
        <v>7</v>
      </c>
      <c r="M23" s="7"/>
      <c r="P23" s="8"/>
      <c r="Q23" s="8"/>
      <c r="R23" s="8" t="s">
        <v>26</v>
      </c>
    </row>
    <row r="24" spans="1:19" x14ac:dyDescent="0.25">
      <c r="A24" s="2"/>
      <c r="B24" s="2"/>
      <c r="C24" s="9" t="s">
        <v>7</v>
      </c>
      <c r="D24" s="2"/>
      <c r="E24" s="2"/>
      <c r="F24" s="2"/>
      <c r="H24" s="22" t="s">
        <v>0</v>
      </c>
      <c r="J24" s="48" t="s">
        <v>36</v>
      </c>
      <c r="L24" s="8" t="s">
        <v>2</v>
      </c>
      <c r="M24" s="2"/>
      <c r="N24" s="9" t="s">
        <v>25</v>
      </c>
      <c r="P24" s="8" t="s">
        <v>28</v>
      </c>
      <c r="Q24" s="8"/>
      <c r="R24" s="8" t="s">
        <v>29</v>
      </c>
    </row>
    <row r="25" spans="1:19" ht="18" x14ac:dyDescent="0.4">
      <c r="C25" s="8" t="s">
        <v>2</v>
      </c>
      <c r="D25" s="23"/>
      <c r="E25" s="23"/>
      <c r="F25" s="9" t="s">
        <v>11</v>
      </c>
      <c r="H25" s="8" t="s">
        <v>27</v>
      </c>
      <c r="J25" s="48" t="s">
        <v>1</v>
      </c>
      <c r="L25" s="9" t="s">
        <v>13</v>
      </c>
      <c r="M25" s="23"/>
      <c r="N25" s="9" t="s">
        <v>11</v>
      </c>
      <c r="P25" s="8" t="s">
        <v>26</v>
      </c>
      <c r="Q25" s="8"/>
      <c r="R25" s="8" t="s">
        <v>30</v>
      </c>
    </row>
    <row r="26" spans="1:19" x14ac:dyDescent="0.25">
      <c r="A26" s="13"/>
      <c r="B26" s="25"/>
      <c r="C26" s="9" t="s">
        <v>13</v>
      </c>
      <c r="F26" s="9" t="s">
        <v>14</v>
      </c>
      <c r="H26" s="46" t="s">
        <v>41</v>
      </c>
      <c r="J26" s="46" t="s">
        <v>42</v>
      </c>
      <c r="L26" s="46" t="s">
        <v>43</v>
      </c>
      <c r="N26" s="9" t="s">
        <v>14</v>
      </c>
      <c r="P26" s="8" t="s">
        <v>31</v>
      </c>
      <c r="Q26" s="8"/>
      <c r="R26" s="11" t="s">
        <v>44</v>
      </c>
    </row>
    <row r="27" spans="1:19" x14ac:dyDescent="0.25">
      <c r="A27" s="25"/>
      <c r="B27" s="25"/>
      <c r="C27" s="12">
        <v>-8</v>
      </c>
      <c r="D27" s="9"/>
      <c r="E27" s="9"/>
      <c r="F27" s="12">
        <v>-9</v>
      </c>
      <c r="H27" s="12">
        <v>-10</v>
      </c>
      <c r="J27" s="47">
        <v>-11</v>
      </c>
      <c r="L27" s="12">
        <v>-12</v>
      </c>
      <c r="M27" s="9"/>
      <c r="N27" s="12">
        <v>-13</v>
      </c>
      <c r="P27" s="12">
        <v>-14</v>
      </c>
      <c r="Q27" s="8"/>
      <c r="R27" s="12">
        <v>-15</v>
      </c>
    </row>
    <row r="28" spans="1:19" ht="30" customHeight="1" x14ac:dyDescent="0.25">
      <c r="A28" s="14" t="s">
        <v>17</v>
      </c>
      <c r="B28" s="2" t="s">
        <v>18</v>
      </c>
      <c r="C28" s="36">
        <f>+R14</f>
        <v>164876126</v>
      </c>
      <c r="D28" s="37"/>
      <c r="E28" s="2"/>
      <c r="F28" s="29">
        <f>ROUND(+C28/$C$31,4)</f>
        <v>3.78E-2</v>
      </c>
      <c r="H28" s="36">
        <f>ROUND(+F28*$H$31,0)</f>
        <v>-35006122</v>
      </c>
      <c r="J28" s="36">
        <f>ROUND(+F28*$J$31,0)</f>
        <v>-140074</v>
      </c>
      <c r="L28" s="42">
        <f>+C28+H28+J28</f>
        <v>129729930</v>
      </c>
      <c r="M28" s="9"/>
      <c r="N28" s="28">
        <f>ROUND(+L28/$L$31,4)</f>
        <v>3.78E-2</v>
      </c>
      <c r="O28" s="27"/>
      <c r="P28" s="17">
        <f>ROUND('Q1 - KU ECC Jun15'!S61,4)</f>
        <v>5.1999999999999998E-3</v>
      </c>
      <c r="Q28" s="19"/>
      <c r="R28" s="17">
        <f>ROUND(+$N$28*$P$28,4)</f>
        <v>2.0000000000000001E-4</v>
      </c>
    </row>
    <row r="29" spans="1:19" ht="30" customHeight="1" x14ac:dyDescent="0.25">
      <c r="A29" s="14" t="s">
        <v>19</v>
      </c>
      <c r="B29" s="2" t="s">
        <v>20</v>
      </c>
      <c r="C29" s="37">
        <f>+R15</f>
        <v>1856788007</v>
      </c>
      <c r="D29" s="37"/>
      <c r="E29" s="2"/>
      <c r="F29" s="29">
        <f>ROUND(+C29/$C$31,4)</f>
        <v>0.42580000000000001</v>
      </c>
      <c r="H29" s="37">
        <f>ROUND(+F29*$H$31,0)</f>
        <v>-394328224</v>
      </c>
      <c r="J29" s="37">
        <f>ROUND(+F29*$J$31,0)</f>
        <v>-1577867</v>
      </c>
      <c r="L29" s="43">
        <f>+C29+H29+J29</f>
        <v>1460881916</v>
      </c>
      <c r="M29" s="9"/>
      <c r="N29" s="28">
        <f>ROUND(+L29/$L$31,4)</f>
        <v>0.42580000000000001</v>
      </c>
      <c r="O29" s="27"/>
      <c r="P29" s="17">
        <f>ROUND('Q1 - KU ECC Jun15'!S45,4)</f>
        <v>3.6799999999999999E-2</v>
      </c>
      <c r="Q29" s="19"/>
      <c r="R29" s="17">
        <f>ROUND(+$N$29*$P$29,4)</f>
        <v>1.5699999999999999E-2</v>
      </c>
    </row>
    <row r="30" spans="1:19" ht="30" customHeight="1" x14ac:dyDescent="0.25">
      <c r="A30" s="14" t="s">
        <v>21</v>
      </c>
      <c r="B30" s="2" t="s">
        <v>22</v>
      </c>
      <c r="C30" s="37">
        <f>+R16</f>
        <v>2339119710</v>
      </c>
      <c r="D30" s="37"/>
      <c r="E30" s="2"/>
      <c r="F30" s="29">
        <f>ROUND(1-F28-F29,4)</f>
        <v>0.53639999999999999</v>
      </c>
      <c r="H30" s="37">
        <f>+H31-H28-H29</f>
        <v>-496753545</v>
      </c>
      <c r="J30" s="37">
        <f>+J31-J28-J29</f>
        <v>-1987712</v>
      </c>
      <c r="L30" s="43">
        <f>+C30+H30+J30</f>
        <v>1840378453</v>
      </c>
      <c r="N30" s="29">
        <f>ROUND(1-N28-N29,4)</f>
        <v>0.53639999999999999</v>
      </c>
      <c r="O30" s="27"/>
      <c r="P30" s="17">
        <v>0.10249999999999999</v>
      </c>
      <c r="Q30" s="19"/>
      <c r="R30" s="17">
        <f>ROUND(+$N$30*$P$30,4)</f>
        <v>5.5E-2</v>
      </c>
    </row>
    <row r="31" spans="1:19" ht="30" customHeight="1" thickBot="1" x14ac:dyDescent="0.3">
      <c r="A31" s="14" t="s">
        <v>23</v>
      </c>
      <c r="B31" s="2" t="s">
        <v>24</v>
      </c>
      <c r="C31" s="35">
        <f>SUM(C28:C30)</f>
        <v>4360783843</v>
      </c>
      <c r="D31" s="37"/>
      <c r="E31" s="2"/>
      <c r="F31" s="41">
        <f>SUM(F28:F30)</f>
        <v>1</v>
      </c>
      <c r="H31" s="35">
        <v>-926087891</v>
      </c>
      <c r="J31" s="35">
        <v>-3705653</v>
      </c>
      <c r="L31" s="35">
        <f>SUM(L28:L30)</f>
        <v>3430990299</v>
      </c>
      <c r="N31" s="41">
        <f>SUM(N28:N30)</f>
        <v>1</v>
      </c>
      <c r="P31" s="26"/>
      <c r="Q31" s="2"/>
      <c r="R31" s="30">
        <f>ROUND(SUM(R28:R30),4)</f>
        <v>7.0900000000000005E-2</v>
      </c>
    </row>
    <row r="32" spans="1:19" ht="34.5" customHeight="1" thickTop="1" thickBot="1" x14ac:dyDescent="0.3">
      <c r="A32" s="14" t="s">
        <v>32</v>
      </c>
      <c r="B32" s="2" t="s">
        <v>33</v>
      </c>
      <c r="R32" s="44">
        <f>ROUND(R31+(R31-R29-R28)*(38.666%/(1-38.666%)),4)</f>
        <v>0.1056</v>
      </c>
    </row>
    <row r="33" spans="1:18" ht="16.5" thickTop="1" x14ac:dyDescent="0.25"/>
    <row r="34" spans="1:18" x14ac:dyDescent="0.25">
      <c r="A34" s="3" t="s">
        <v>35</v>
      </c>
      <c r="B34" s="54" t="s">
        <v>45</v>
      </c>
    </row>
    <row r="37" spans="1:18" x14ac:dyDescent="0.25">
      <c r="L37" s="32"/>
      <c r="N37" s="31"/>
      <c r="P37" s="33"/>
    </row>
    <row r="38" spans="1:18" x14ac:dyDescent="0.25">
      <c r="L38" s="32"/>
      <c r="N38" s="31"/>
    </row>
    <row r="44" spans="1:18" x14ac:dyDescent="0.25">
      <c r="R44" s="305" t="s">
        <v>115</v>
      </c>
    </row>
    <row r="45" spans="1:18" x14ac:dyDescent="0.25">
      <c r="R45" s="305" t="s">
        <v>205</v>
      </c>
    </row>
    <row r="46" spans="1:18" x14ac:dyDescent="0.25">
      <c r="R46" s="306" t="s">
        <v>117</v>
      </c>
    </row>
  </sheetData>
  <printOptions horizontalCentered="1" gridLinesSet="0"/>
  <pageMargins left="0.32" right="0.33" top="0.75" bottom="0.5" header="0.5" footer="0"/>
  <pageSetup scale="61" orientation="landscape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T46"/>
  <sheetViews>
    <sheetView showGridLines="0" zoomScale="70" zoomScaleNormal="70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9" style="3" customWidth="1"/>
    <col min="4" max="4" width="4" style="3" bestFit="1" customWidth="1"/>
    <col min="5" max="5" width="1.7109375" style="3" customWidth="1"/>
    <col min="6" max="6" width="16" style="3" bestFit="1" customWidth="1"/>
    <col min="7" max="7" width="2" style="3" customWidth="1"/>
    <col min="8" max="8" width="25.5703125" style="3" bestFit="1" customWidth="1"/>
    <col min="9" max="9" width="2" style="3" customWidth="1"/>
    <col min="10" max="10" width="19" style="3" customWidth="1"/>
    <col min="11" max="11" width="2" style="3" customWidth="1"/>
    <col min="12" max="12" width="19" style="3" customWidth="1"/>
    <col min="13" max="13" width="2.28515625" style="3" customWidth="1"/>
    <col min="14" max="14" width="19" style="3" customWidth="1"/>
    <col min="15" max="15" width="2.28515625" style="3" customWidth="1"/>
    <col min="16" max="16" width="19" style="3" customWidth="1"/>
    <col min="17" max="17" width="1.85546875" style="3" customWidth="1"/>
    <col min="18" max="18" width="19" style="3" customWidth="1"/>
    <col min="19" max="19" width="1.85546875" style="3" customWidth="1"/>
    <col min="20" max="16384" width="17.85546875" style="3"/>
  </cols>
  <sheetData>
    <row r="1" spans="1:19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5">
      <c r="A5" s="53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x14ac:dyDescent="0.25">
      <c r="A6" s="6"/>
      <c r="B6" s="4"/>
      <c r="C6" s="4"/>
      <c r="D6" s="45"/>
      <c r="E6" s="4"/>
      <c r="F6" s="4"/>
      <c r="G6" s="4"/>
      <c r="H6" s="4"/>
      <c r="I6" s="4"/>
      <c r="J6" s="51"/>
      <c r="K6" s="51"/>
      <c r="L6" s="4"/>
      <c r="M6" s="4"/>
      <c r="N6" s="4"/>
      <c r="O6" s="4"/>
      <c r="P6" s="4"/>
      <c r="Q6" s="4"/>
      <c r="R6" s="50"/>
      <c r="S6" s="4"/>
    </row>
    <row r="7" spans="1:19" ht="18" x14ac:dyDescent="0.4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1"/>
      <c r="B8" s="1"/>
      <c r="C8" s="2"/>
      <c r="D8" s="2"/>
      <c r="E8" s="2"/>
      <c r="H8" s="2"/>
      <c r="I8" s="2"/>
      <c r="J8" s="2"/>
      <c r="K8" s="2"/>
      <c r="L8" s="8" t="s">
        <v>3</v>
      </c>
      <c r="O8" s="2"/>
      <c r="P8" s="2"/>
      <c r="Q8" s="2"/>
      <c r="R8" s="2"/>
    </row>
    <row r="9" spans="1:19" x14ac:dyDescent="0.25">
      <c r="A9" s="1"/>
      <c r="B9" s="1"/>
      <c r="C9" s="8"/>
      <c r="D9" s="8"/>
      <c r="E9" s="8"/>
      <c r="H9" s="8"/>
      <c r="I9" s="8"/>
      <c r="J9" s="8"/>
      <c r="K9" s="8"/>
      <c r="L9" s="8" t="s">
        <v>4</v>
      </c>
      <c r="M9" s="8"/>
      <c r="N9" s="8" t="s">
        <v>6</v>
      </c>
      <c r="Q9" s="8"/>
      <c r="R9" s="9" t="s">
        <v>7</v>
      </c>
    </row>
    <row r="10" spans="1:19" x14ac:dyDescent="0.25">
      <c r="A10" s="1"/>
      <c r="B10" s="1"/>
      <c r="C10" s="8"/>
      <c r="D10" s="8"/>
      <c r="E10" s="8"/>
      <c r="F10" s="8"/>
      <c r="H10" s="8"/>
      <c r="I10" s="8"/>
      <c r="J10" s="8" t="s">
        <v>8</v>
      </c>
      <c r="K10" s="8"/>
      <c r="L10" s="8" t="s">
        <v>9</v>
      </c>
      <c r="M10" s="8"/>
      <c r="N10" s="8" t="s">
        <v>10</v>
      </c>
      <c r="O10" s="9"/>
      <c r="P10" s="8" t="s">
        <v>2</v>
      </c>
      <c r="Q10" s="8"/>
      <c r="R10" s="8" t="s">
        <v>2</v>
      </c>
    </row>
    <row r="11" spans="1:19" x14ac:dyDescent="0.25">
      <c r="A11" s="1"/>
      <c r="B11" s="2"/>
      <c r="C11" s="8" t="s">
        <v>34</v>
      </c>
      <c r="D11" s="8"/>
      <c r="E11" s="8"/>
      <c r="F11" s="9" t="s">
        <v>11</v>
      </c>
      <c r="H11" s="8"/>
      <c r="I11" s="8"/>
      <c r="J11" s="8" t="s">
        <v>12</v>
      </c>
      <c r="K11" s="8"/>
      <c r="L11" s="8" t="s">
        <v>13</v>
      </c>
      <c r="M11" s="8"/>
      <c r="N11" s="8" t="s">
        <v>13</v>
      </c>
      <c r="O11" s="9"/>
      <c r="P11" s="8" t="s">
        <v>1</v>
      </c>
      <c r="Q11" s="8"/>
      <c r="R11" s="9" t="s">
        <v>13</v>
      </c>
    </row>
    <row r="12" spans="1:19" x14ac:dyDescent="0.25">
      <c r="A12" s="2"/>
      <c r="B12" s="2"/>
      <c r="C12" s="10" t="s">
        <v>48</v>
      </c>
      <c r="D12" s="8"/>
      <c r="E12" s="8"/>
      <c r="F12" s="9" t="s">
        <v>14</v>
      </c>
      <c r="H12" s="8" t="s">
        <v>37</v>
      </c>
      <c r="I12" s="8"/>
      <c r="J12" s="46" t="s">
        <v>15</v>
      </c>
      <c r="K12" s="8"/>
      <c r="L12" s="46" t="s">
        <v>38</v>
      </c>
      <c r="M12" s="8"/>
      <c r="N12" s="11" t="s">
        <v>39</v>
      </c>
      <c r="O12" s="9"/>
      <c r="P12" s="8" t="s">
        <v>16</v>
      </c>
      <c r="Q12" s="8"/>
      <c r="R12" s="46" t="s">
        <v>40</v>
      </c>
    </row>
    <row r="13" spans="1:19" x14ac:dyDescent="0.25">
      <c r="A13" s="2"/>
      <c r="B13" s="2"/>
      <c r="C13" s="12">
        <v>-1</v>
      </c>
      <c r="D13" s="8"/>
      <c r="E13" s="9"/>
      <c r="F13" s="12">
        <v>-2</v>
      </c>
      <c r="H13" s="12">
        <v>-3</v>
      </c>
      <c r="I13" s="8"/>
      <c r="J13" s="47">
        <v>-4</v>
      </c>
      <c r="K13" s="8"/>
      <c r="L13" s="47">
        <v>-5</v>
      </c>
      <c r="M13" s="8"/>
      <c r="N13" s="12">
        <v>-6</v>
      </c>
      <c r="O13" s="8"/>
      <c r="P13" s="12">
        <v>-7</v>
      </c>
      <c r="Q13" s="8"/>
      <c r="R13" s="12">
        <v>-8</v>
      </c>
    </row>
    <row r="14" spans="1:19" ht="30" customHeight="1" x14ac:dyDescent="0.25">
      <c r="A14" s="14" t="s">
        <v>17</v>
      </c>
      <c r="B14" s="2" t="s">
        <v>18</v>
      </c>
      <c r="C14" s="15">
        <f>'Q1 - KU ECC Aug15'!F60</f>
        <v>197270524.31</v>
      </c>
      <c r="D14" s="49" t="s">
        <v>35</v>
      </c>
      <c r="E14" s="2"/>
      <c r="F14" s="16">
        <v>3.9899999999999998E-2</v>
      </c>
      <c r="H14" s="36">
        <v>0</v>
      </c>
      <c r="I14" s="2"/>
      <c r="J14" s="36">
        <f>ROUND(+F14*$J$17,0)</f>
        <v>-48730</v>
      </c>
      <c r="K14" s="2"/>
      <c r="L14" s="36">
        <f>SUM(H14:K14)</f>
        <v>-48730</v>
      </c>
      <c r="M14" s="2"/>
      <c r="N14" s="39">
        <f>+C14+L14</f>
        <v>197221794.31</v>
      </c>
      <c r="P14" s="34">
        <v>0.88819999999999999</v>
      </c>
      <c r="Q14" s="2"/>
      <c r="R14" s="39">
        <f>ROUND(+N14*P14,0)</f>
        <v>175172398</v>
      </c>
    </row>
    <row r="15" spans="1:19" ht="30" customHeight="1" x14ac:dyDescent="0.25">
      <c r="A15" s="14" t="s">
        <v>19</v>
      </c>
      <c r="B15" s="2" t="s">
        <v>20</v>
      </c>
      <c r="C15" s="2">
        <f>'Q1 - KU ECC Aug15'!F44</f>
        <v>2091085948.7780435</v>
      </c>
      <c r="D15" s="49" t="s">
        <v>35</v>
      </c>
      <c r="E15" s="2"/>
      <c r="F15" s="16">
        <v>0.42249999999999999</v>
      </c>
      <c r="H15" s="38">
        <v>0</v>
      </c>
      <c r="I15" s="2"/>
      <c r="J15" s="37">
        <f>ROUND(+F15*$J$17,0)</f>
        <v>-516005</v>
      </c>
      <c r="K15" s="2"/>
      <c r="L15" s="37">
        <f>SUM(H15:K15)</f>
        <v>-516005</v>
      </c>
      <c r="M15" s="2"/>
      <c r="N15" s="40">
        <f>+C15+L15</f>
        <v>2090569943.7780435</v>
      </c>
      <c r="P15" s="18">
        <f>+P14</f>
        <v>0.88819999999999999</v>
      </c>
      <c r="Q15" s="2"/>
      <c r="R15" s="40">
        <f>ROUND(+N15*P15,0)</f>
        <v>1856844224</v>
      </c>
    </row>
    <row r="16" spans="1:19" ht="30" customHeight="1" x14ac:dyDescent="0.25">
      <c r="A16" s="14" t="s">
        <v>21</v>
      </c>
      <c r="B16" s="2" t="s">
        <v>22</v>
      </c>
      <c r="C16" s="2">
        <v>2661087079</v>
      </c>
      <c r="D16" s="2"/>
      <c r="E16" s="2"/>
      <c r="F16" s="16">
        <f>ROUND(1-F14-F15,4)</f>
        <v>0.53759999999999997</v>
      </c>
      <c r="H16" s="38">
        <f>H17</f>
        <v>-504066</v>
      </c>
      <c r="I16" s="2"/>
      <c r="J16" s="38">
        <f>+J17-J14-J15</f>
        <v>-656578</v>
      </c>
      <c r="K16" s="2"/>
      <c r="L16" s="38">
        <f>SUM(H16:K16)</f>
        <v>-1160644</v>
      </c>
      <c r="M16" s="2"/>
      <c r="N16" s="40">
        <f>+C16+L16</f>
        <v>2659926435</v>
      </c>
      <c r="P16" s="18">
        <f>+P14</f>
        <v>0.88819999999999999</v>
      </c>
      <c r="Q16" s="2"/>
      <c r="R16" s="40">
        <f>ROUND(+N16*P16,0)</f>
        <v>2362546660</v>
      </c>
    </row>
    <row r="17" spans="1:20" ht="30" customHeight="1" thickBot="1" x14ac:dyDescent="0.3">
      <c r="A17" s="14" t="s">
        <v>23</v>
      </c>
      <c r="B17" s="2" t="s">
        <v>24</v>
      </c>
      <c r="C17" s="20">
        <f>SUM(C14:C16)</f>
        <v>4949443552.0880432</v>
      </c>
      <c r="D17" s="2"/>
      <c r="E17" s="2"/>
      <c r="F17" s="21">
        <f>SUM(F14:F16)</f>
        <v>1</v>
      </c>
      <c r="H17" s="35">
        <v>-504066</v>
      </c>
      <c r="I17" s="2"/>
      <c r="J17" s="35">
        <v>-1221313</v>
      </c>
      <c r="K17" s="2"/>
      <c r="L17" s="35">
        <f>SUM(L14:L16)</f>
        <v>-1725379</v>
      </c>
      <c r="M17" s="2"/>
      <c r="N17" s="35">
        <f>SUM(N14:N16)</f>
        <v>4947718173.0880432</v>
      </c>
      <c r="Q17" s="2"/>
      <c r="R17" s="35">
        <f>SUM(R14:R16)</f>
        <v>4394563282</v>
      </c>
    </row>
    <row r="18" spans="1:20" ht="16.5" thickTop="1" x14ac:dyDescent="0.25">
      <c r="A18" s="2"/>
      <c r="B18" s="2"/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Q18" s="2"/>
      <c r="S18" s="2"/>
    </row>
    <row r="19" spans="1:20" x14ac:dyDescent="0.25">
      <c r="A19" s="2"/>
      <c r="B19" s="2"/>
      <c r="C19" s="15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0" ht="18" x14ac:dyDescent="0.4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0" ht="18" x14ac:dyDescent="0.4">
      <c r="A21" s="2"/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0" ht="18" x14ac:dyDescent="0.4">
      <c r="A22" s="2"/>
      <c r="B22" s="2"/>
      <c r="C22" s="7"/>
      <c r="D22" s="7"/>
      <c r="E22" s="7"/>
      <c r="F22" s="7"/>
      <c r="G22" s="7"/>
      <c r="H22" s="22"/>
      <c r="I22" s="7"/>
      <c r="J22" s="22"/>
      <c r="K22" s="7"/>
      <c r="L22" s="22" t="s">
        <v>25</v>
      </c>
      <c r="M22" s="7"/>
      <c r="N22" s="7"/>
      <c r="O22" s="7"/>
      <c r="R22" s="2"/>
      <c r="S22" s="2"/>
      <c r="T22" s="9"/>
    </row>
    <row r="23" spans="1:20" ht="18" x14ac:dyDescent="0.4">
      <c r="A23" s="2"/>
      <c r="B23" s="2"/>
      <c r="C23" s="7"/>
      <c r="D23" s="7"/>
      <c r="E23" s="7"/>
      <c r="F23" s="7"/>
      <c r="G23" s="7"/>
      <c r="H23" s="22"/>
      <c r="I23" s="7"/>
      <c r="J23" s="22"/>
      <c r="K23" s="7"/>
      <c r="L23" s="9" t="s">
        <v>7</v>
      </c>
      <c r="M23" s="7"/>
      <c r="P23" s="8"/>
      <c r="Q23" s="8"/>
      <c r="R23" s="8" t="s">
        <v>26</v>
      </c>
      <c r="T23" s="9"/>
    </row>
    <row r="24" spans="1:20" x14ac:dyDescent="0.25">
      <c r="A24" s="2"/>
      <c r="B24" s="2"/>
      <c r="C24" s="9" t="s">
        <v>7</v>
      </c>
      <c r="D24" s="2"/>
      <c r="E24" s="2"/>
      <c r="F24" s="2"/>
      <c r="H24" s="22" t="s">
        <v>0</v>
      </c>
      <c r="J24" s="48" t="s">
        <v>36</v>
      </c>
      <c r="L24" s="8" t="s">
        <v>2</v>
      </c>
      <c r="M24" s="2"/>
      <c r="N24" s="9" t="s">
        <v>25</v>
      </c>
      <c r="P24" s="8" t="s">
        <v>28</v>
      </c>
      <c r="Q24" s="8"/>
      <c r="R24" s="8" t="s">
        <v>29</v>
      </c>
      <c r="T24" s="9"/>
    </row>
    <row r="25" spans="1:20" ht="18" x14ac:dyDescent="0.4">
      <c r="C25" s="8" t="s">
        <v>2</v>
      </c>
      <c r="D25" s="23"/>
      <c r="E25" s="23"/>
      <c r="F25" s="9" t="s">
        <v>11</v>
      </c>
      <c r="H25" s="8" t="s">
        <v>27</v>
      </c>
      <c r="J25" s="48" t="s">
        <v>1</v>
      </c>
      <c r="L25" s="9" t="s">
        <v>13</v>
      </c>
      <c r="M25" s="23"/>
      <c r="N25" s="9" t="s">
        <v>11</v>
      </c>
      <c r="P25" s="8" t="s">
        <v>26</v>
      </c>
      <c r="Q25" s="8"/>
      <c r="R25" s="8" t="s">
        <v>30</v>
      </c>
      <c r="T25" s="24"/>
    </row>
    <row r="26" spans="1:20" x14ac:dyDescent="0.25">
      <c r="A26" s="13"/>
      <c r="B26" s="25"/>
      <c r="C26" s="9" t="s">
        <v>13</v>
      </c>
      <c r="F26" s="9" t="s">
        <v>14</v>
      </c>
      <c r="H26" s="46" t="s">
        <v>41</v>
      </c>
      <c r="J26" s="46" t="s">
        <v>42</v>
      </c>
      <c r="L26" s="46" t="s">
        <v>43</v>
      </c>
      <c r="N26" s="9" t="s">
        <v>14</v>
      </c>
      <c r="P26" s="8" t="s">
        <v>31</v>
      </c>
      <c r="Q26" s="8"/>
      <c r="R26" s="11" t="s">
        <v>44</v>
      </c>
      <c r="T26" s="24"/>
    </row>
    <row r="27" spans="1:20" x14ac:dyDescent="0.25">
      <c r="A27" s="25"/>
      <c r="B27" s="25"/>
      <c r="C27" s="12">
        <v>-8</v>
      </c>
      <c r="D27" s="9"/>
      <c r="E27" s="9"/>
      <c r="F27" s="12">
        <v>-9</v>
      </c>
      <c r="H27" s="12">
        <v>-10</v>
      </c>
      <c r="J27" s="47">
        <v>-11</v>
      </c>
      <c r="L27" s="12">
        <v>-12</v>
      </c>
      <c r="M27" s="9"/>
      <c r="N27" s="12">
        <v>-13</v>
      </c>
      <c r="P27" s="12">
        <v>-14</v>
      </c>
      <c r="Q27" s="8"/>
      <c r="R27" s="12">
        <v>-15</v>
      </c>
      <c r="T27" s="9"/>
    </row>
    <row r="28" spans="1:20" ht="30" customHeight="1" x14ac:dyDescent="0.25">
      <c r="A28" s="14" t="s">
        <v>17</v>
      </c>
      <c r="B28" s="2" t="s">
        <v>18</v>
      </c>
      <c r="C28" s="36">
        <f>+R14</f>
        <v>175172398</v>
      </c>
      <c r="D28" s="37"/>
      <c r="E28" s="2"/>
      <c r="F28" s="29">
        <f>ROUND(+C28/$C$31,4)</f>
        <v>3.9899999999999998E-2</v>
      </c>
      <c r="H28" s="36">
        <f>ROUND(+F28*$H$31,0)</f>
        <v>-38051435</v>
      </c>
      <c r="J28" s="36">
        <f>ROUND(+F28*$J$31,0)</f>
        <v>-170191</v>
      </c>
      <c r="L28" s="42">
        <f>+C28+H28+J28</f>
        <v>136950772</v>
      </c>
      <c r="M28" s="9"/>
      <c r="N28" s="28">
        <f>ROUND(+L28/$L$31,4)</f>
        <v>3.9899999999999998E-2</v>
      </c>
      <c r="O28" s="27"/>
      <c r="P28" s="17">
        <f>ROUND('Q1 - KU ECC Aug15'!S60,4)</f>
        <v>5.0000000000000001E-3</v>
      </c>
      <c r="Q28" s="19"/>
      <c r="R28" s="17">
        <f>ROUND(+$N$28*$P$28,4)</f>
        <v>2.0000000000000001E-4</v>
      </c>
      <c r="T28" s="26"/>
    </row>
    <row r="29" spans="1:20" ht="30" customHeight="1" x14ac:dyDescent="0.25">
      <c r="A29" s="14" t="s">
        <v>19</v>
      </c>
      <c r="B29" s="2" t="s">
        <v>20</v>
      </c>
      <c r="C29" s="37">
        <f>+R15</f>
        <v>1856844224</v>
      </c>
      <c r="D29" s="37"/>
      <c r="E29" s="2"/>
      <c r="F29" s="29">
        <f>ROUND(+C29/$C$31,4)</f>
        <v>0.42249999999999999</v>
      </c>
      <c r="H29" s="37">
        <f>ROUND(+F29*$H$31,0)</f>
        <v>-402925595</v>
      </c>
      <c r="J29" s="37">
        <f>ROUND(+F29*$J$31,0)</f>
        <v>-1802149</v>
      </c>
      <c r="L29" s="43">
        <f>+C29+H29+J29</f>
        <v>1452116480</v>
      </c>
      <c r="M29" s="9"/>
      <c r="N29" s="28">
        <f>ROUND(+L29/$L$31,4)</f>
        <v>0.42249999999999999</v>
      </c>
      <c r="O29" s="27"/>
      <c r="P29" s="17">
        <f>ROUND('Q1 - KU ECC Aug15'!S44,4)</f>
        <v>3.6799999999999999E-2</v>
      </c>
      <c r="Q29" s="19"/>
      <c r="R29" s="17">
        <f>ROUND(+$N$29*$P$29,4)</f>
        <v>1.55E-2</v>
      </c>
      <c r="T29" s="26"/>
    </row>
    <row r="30" spans="1:20" ht="30" customHeight="1" x14ac:dyDescent="0.25">
      <c r="A30" s="14" t="s">
        <v>21</v>
      </c>
      <c r="B30" s="2" t="s">
        <v>22</v>
      </c>
      <c r="C30" s="37">
        <f>+R16</f>
        <v>2362546660</v>
      </c>
      <c r="D30" s="37"/>
      <c r="E30" s="2"/>
      <c r="F30" s="29">
        <f>ROUND(1-F28-F29,4)</f>
        <v>0.53759999999999997</v>
      </c>
      <c r="H30" s="37">
        <f>+H31-H28-H29</f>
        <v>-512693018</v>
      </c>
      <c r="J30" s="37">
        <f>+J31-J28-J29</f>
        <v>-2293102</v>
      </c>
      <c r="L30" s="43">
        <f>+C30+H30+J30</f>
        <v>1847560540</v>
      </c>
      <c r="N30" s="29">
        <f>ROUND(1-N28-N29,4)</f>
        <v>0.53759999999999997</v>
      </c>
      <c r="O30" s="27"/>
      <c r="P30" s="17">
        <v>0.1</v>
      </c>
      <c r="Q30" s="19"/>
      <c r="R30" s="17">
        <f>ROUND(+$N$30*$P$30,4)</f>
        <v>5.3800000000000001E-2</v>
      </c>
      <c r="T30" s="26"/>
    </row>
    <row r="31" spans="1:20" ht="30" customHeight="1" thickBot="1" x14ac:dyDescent="0.3">
      <c r="A31" s="14" t="s">
        <v>23</v>
      </c>
      <c r="B31" s="2" t="s">
        <v>24</v>
      </c>
      <c r="C31" s="35">
        <f>SUM(C28:C30)</f>
        <v>4394563282</v>
      </c>
      <c r="D31" s="37"/>
      <c r="E31" s="2"/>
      <c r="F31" s="41">
        <f>SUM(F28:F30)</f>
        <v>1</v>
      </c>
      <c r="H31" s="35">
        <v>-953670048</v>
      </c>
      <c r="J31" s="35">
        <v>-4265442</v>
      </c>
      <c r="L31" s="35">
        <f>SUM(L28:L30)</f>
        <v>3436627792</v>
      </c>
      <c r="N31" s="41">
        <f>SUM(N28:N30)</f>
        <v>1</v>
      </c>
      <c r="P31" s="26"/>
      <c r="Q31" s="2"/>
      <c r="R31" s="30">
        <f>ROUND(SUM(R28:R30),4)</f>
        <v>6.9500000000000006E-2</v>
      </c>
      <c r="T31" s="26"/>
    </row>
    <row r="32" spans="1:20" ht="35.1" customHeight="1" thickTop="1" thickBot="1" x14ac:dyDescent="0.3">
      <c r="A32" s="14" t="s">
        <v>32</v>
      </c>
      <c r="B32" s="2" t="s">
        <v>33</v>
      </c>
      <c r="R32" s="44">
        <f>ROUND(R31+(R31-R29-R28)*(38.666%/(1-38.666%)),4)</f>
        <v>0.10340000000000001</v>
      </c>
    </row>
    <row r="33" spans="1:18" ht="16.5" thickTop="1" x14ac:dyDescent="0.25"/>
    <row r="34" spans="1:18" x14ac:dyDescent="0.25">
      <c r="A34" s="3" t="s">
        <v>35</v>
      </c>
      <c r="B34" s="54" t="s">
        <v>45</v>
      </c>
    </row>
    <row r="37" spans="1:18" x14ac:dyDescent="0.25">
      <c r="L37" s="32"/>
      <c r="N37" s="31"/>
      <c r="P37" s="33"/>
    </row>
    <row r="38" spans="1:18" x14ac:dyDescent="0.25">
      <c r="L38" s="32"/>
      <c r="N38" s="31"/>
    </row>
    <row r="44" spans="1:18" x14ac:dyDescent="0.25">
      <c r="R44" s="305" t="s">
        <v>115</v>
      </c>
    </row>
    <row r="45" spans="1:18" x14ac:dyDescent="0.25">
      <c r="R45" s="305" t="s">
        <v>203</v>
      </c>
    </row>
    <row r="46" spans="1:18" x14ac:dyDescent="0.25">
      <c r="R46" s="306" t="s">
        <v>117</v>
      </c>
    </row>
  </sheetData>
  <phoneticPr fontId="45" type="noConversion"/>
  <printOptions horizontalCentered="1" gridLinesSet="0"/>
  <pageMargins left="0.32" right="0.33" top="0.75" bottom="0.5" header="0.5" footer="0"/>
  <pageSetup scale="61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82"/>
  <sheetViews>
    <sheetView tabSelected="1" zoomScale="70" zoomScaleNormal="70" zoomScaleSheetLayoutView="80" workbookViewId="0"/>
  </sheetViews>
  <sheetFormatPr defaultColWidth="9.7109375" defaultRowHeight="15" x14ac:dyDescent="0.2"/>
  <cols>
    <col min="1" max="1" width="42.85546875" style="58" customWidth="1"/>
    <col min="2" max="2" width="12.7109375" style="58" customWidth="1"/>
    <col min="3" max="3" width="2.7109375" style="58" customWidth="1"/>
    <col min="4" max="4" width="13.7109375" style="58" bestFit="1" customWidth="1"/>
    <col min="5" max="5" width="2.7109375" style="58" customWidth="1"/>
    <col min="6" max="6" width="18.85546875" style="58" bestFit="1" customWidth="1"/>
    <col min="7" max="7" width="2.7109375" style="58" customWidth="1"/>
    <col min="8" max="8" width="19" style="58" customWidth="1"/>
    <col min="9" max="9" width="2.7109375" style="58" customWidth="1"/>
    <col min="10" max="10" width="17" style="58" bestFit="1" customWidth="1"/>
    <col min="11" max="12" width="2.7109375" style="58" customWidth="1"/>
    <col min="13" max="13" width="15.85546875" style="58" customWidth="1"/>
    <col min="14" max="14" width="2.7109375" style="58" customWidth="1"/>
    <col min="15" max="15" width="15.85546875" style="58" customWidth="1"/>
    <col min="16" max="16" width="2.7109375" style="58" customWidth="1"/>
    <col min="17" max="17" width="15.7109375" style="58" customWidth="1"/>
    <col min="18" max="18" width="2.7109375" style="58" customWidth="1"/>
    <col min="19" max="19" width="13" style="84" customWidth="1"/>
    <col min="20" max="20" width="0.7109375" style="58" customWidth="1"/>
    <col min="21" max="21" width="10.28515625" style="58" customWidth="1"/>
    <col min="22" max="22" width="10.85546875" style="58" bestFit="1" customWidth="1"/>
    <col min="23" max="16384" width="9.7109375" style="58"/>
  </cols>
  <sheetData>
    <row r="1" spans="1:20" ht="15.75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163" t="s">
        <v>118</v>
      </c>
    </row>
    <row r="2" spans="1:20" ht="15.75" x14ac:dyDescent="0.25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163" t="s">
        <v>116</v>
      </c>
    </row>
    <row r="3" spans="1:20" ht="15.75" x14ac:dyDescent="0.25">
      <c r="A3" s="161">
        <v>42247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4" t="s">
        <v>117</v>
      </c>
    </row>
    <row r="4" spans="1:20" ht="15.75" x14ac:dyDescent="0.25">
      <c r="A4" s="162" t="s">
        <v>51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15.75" x14ac:dyDescent="0.25">
      <c r="A5" s="59" t="s">
        <v>52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/>
    </row>
    <row r="6" spans="1:20" ht="15.75" x14ac:dyDescent="0.25">
      <c r="A6" s="14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65"/>
    </row>
    <row r="7" spans="1:20" x14ac:dyDescent="0.2">
      <c r="A7" s="66"/>
      <c r="B7" s="67"/>
      <c r="C7" s="67"/>
      <c r="D7" s="67"/>
      <c r="E7" s="67"/>
      <c r="F7" s="67"/>
      <c r="G7" s="67"/>
      <c r="H7" s="68" t="s">
        <v>53</v>
      </c>
      <c r="I7" s="68"/>
      <c r="J7" s="68"/>
      <c r="K7" s="68"/>
      <c r="L7" s="68"/>
      <c r="M7" s="68"/>
      <c r="N7" s="68"/>
      <c r="O7" s="68"/>
      <c r="P7" s="68"/>
      <c r="Q7" s="68"/>
      <c r="R7" s="67"/>
      <c r="S7" s="69"/>
      <c r="T7" s="65"/>
    </row>
    <row r="8" spans="1:20" x14ac:dyDescent="0.2">
      <c r="A8" s="66"/>
      <c r="B8" s="67"/>
      <c r="C8" s="67"/>
      <c r="D8" s="67"/>
      <c r="E8" s="67"/>
      <c r="F8" s="67"/>
      <c r="G8" s="67"/>
      <c r="H8" s="67"/>
      <c r="I8" s="67"/>
      <c r="J8" s="70" t="s">
        <v>54</v>
      </c>
      <c r="K8" s="67"/>
      <c r="L8" s="67"/>
      <c r="M8" s="70" t="s">
        <v>55</v>
      </c>
      <c r="N8" s="70"/>
      <c r="O8" s="70"/>
      <c r="P8" s="67"/>
      <c r="Q8" s="67"/>
      <c r="R8" s="67"/>
      <c r="S8" s="69"/>
      <c r="T8" s="71"/>
    </row>
    <row r="9" spans="1:20" ht="31.5" customHeight="1" x14ac:dyDescent="0.2">
      <c r="A9" s="66"/>
      <c r="B9" s="138" t="s">
        <v>57</v>
      </c>
      <c r="C9" s="70"/>
      <c r="D9" s="138" t="s">
        <v>31</v>
      </c>
      <c r="E9" s="70"/>
      <c r="F9" s="138" t="s">
        <v>58</v>
      </c>
      <c r="G9" s="70"/>
      <c r="H9" s="138" t="s">
        <v>59</v>
      </c>
      <c r="I9" s="67"/>
      <c r="J9" s="149" t="s">
        <v>109</v>
      </c>
      <c r="K9" s="67"/>
      <c r="L9" s="67"/>
      <c r="M9" s="149" t="s">
        <v>60</v>
      </c>
      <c r="N9" s="70"/>
      <c r="O9" s="149" t="s">
        <v>107</v>
      </c>
      <c r="P9" s="67"/>
      <c r="Q9" s="138" t="s">
        <v>61</v>
      </c>
      <c r="R9" s="67"/>
      <c r="S9" s="150" t="s">
        <v>108</v>
      </c>
      <c r="T9" s="71"/>
    </row>
    <row r="10" spans="1:20" x14ac:dyDescent="0.2">
      <c r="A10" s="66" t="s">
        <v>62</v>
      </c>
      <c r="B10" s="72"/>
      <c r="C10" s="70"/>
      <c r="D10" s="72"/>
      <c r="E10" s="70"/>
      <c r="F10" s="72"/>
      <c r="G10" s="70"/>
      <c r="H10" s="72"/>
      <c r="I10" s="67"/>
      <c r="J10" s="72"/>
      <c r="K10" s="67"/>
      <c r="L10" s="67"/>
      <c r="M10" s="72"/>
      <c r="N10" s="72"/>
      <c r="O10" s="72"/>
      <c r="P10" s="67"/>
      <c r="Q10" s="72"/>
      <c r="R10" s="67"/>
      <c r="S10" s="73"/>
      <c r="T10" s="71"/>
    </row>
    <row r="11" spans="1:20" ht="15.75" x14ac:dyDescent="0.25">
      <c r="A11" s="74" t="s">
        <v>63</v>
      </c>
      <c r="B11" s="75">
        <v>45047</v>
      </c>
      <c r="C11" s="70"/>
      <c r="D11" s="81">
        <v>5.4999999999999873E-4</v>
      </c>
      <c r="E11" s="67"/>
      <c r="F11" s="76">
        <v>12900000</v>
      </c>
      <c r="G11" s="77"/>
      <c r="H11" s="76">
        <f t="shared" ref="H11:H21" si="0">ROUND(D11*F11,0)</f>
        <v>7095</v>
      </c>
      <c r="I11" s="70"/>
      <c r="J11" s="130">
        <v>11125.270434782607</v>
      </c>
      <c r="K11" s="70"/>
      <c r="L11" s="136"/>
      <c r="M11" s="76">
        <v>36170.684999999998</v>
      </c>
      <c r="N11" s="70"/>
      <c r="O11" s="152">
        <v>105195.54630732579</v>
      </c>
      <c r="P11" s="67" t="s">
        <v>64</v>
      </c>
      <c r="Q11" s="153">
        <f t="shared" ref="Q11:Q22" si="1">H11+J11+M11+O11</f>
        <v>159586.50174210838</v>
      </c>
      <c r="R11" s="67"/>
      <c r="S11" s="154">
        <f t="shared" ref="S11:S21" si="2">ROUND((Q11/F11),5)</f>
        <v>1.2370000000000001E-2</v>
      </c>
      <c r="T11" s="71"/>
    </row>
    <row r="12" spans="1:20" x14ac:dyDescent="0.2">
      <c r="A12" s="74" t="s">
        <v>65</v>
      </c>
      <c r="B12" s="75">
        <v>11720</v>
      </c>
      <c r="C12" s="70"/>
      <c r="D12" s="81">
        <v>3.2336956521739103E-3</v>
      </c>
      <c r="E12" s="67"/>
      <c r="F12" s="79">
        <v>20930000</v>
      </c>
      <c r="G12" s="67"/>
      <c r="H12" s="79">
        <f t="shared" si="0"/>
        <v>67681</v>
      </c>
      <c r="I12" s="70"/>
      <c r="J12" s="83">
        <v>4035.1128260869559</v>
      </c>
      <c r="K12" s="70"/>
      <c r="L12" s="80"/>
      <c r="M12" s="79">
        <v>36584.522608695661</v>
      </c>
      <c r="N12" s="70"/>
      <c r="O12" s="83">
        <v>21107.013698630137</v>
      </c>
      <c r="P12" s="67" t="s">
        <v>66</v>
      </c>
      <c r="Q12" s="79">
        <f t="shared" si="1"/>
        <v>129407.64913341276</v>
      </c>
      <c r="R12" s="67"/>
      <c r="S12" s="78">
        <f t="shared" si="2"/>
        <v>6.1799999999999997E-3</v>
      </c>
      <c r="T12" s="71"/>
    </row>
    <row r="13" spans="1:20" x14ac:dyDescent="0.2">
      <c r="A13" s="66" t="s">
        <v>67</v>
      </c>
      <c r="B13" s="75">
        <v>11720</v>
      </c>
      <c r="C13" s="70"/>
      <c r="D13" s="81">
        <v>3.2336956521739103E-3</v>
      </c>
      <c r="E13" s="67"/>
      <c r="F13" s="79">
        <v>2400000</v>
      </c>
      <c r="G13" s="67"/>
      <c r="H13" s="79">
        <f t="shared" si="0"/>
        <v>7761</v>
      </c>
      <c r="I13" s="70"/>
      <c r="J13" s="83">
        <v>2794.3134782608695</v>
      </c>
      <c r="K13" s="70"/>
      <c r="L13" s="80"/>
      <c r="M13" s="79">
        <v>4188.2497826086956</v>
      </c>
      <c r="N13" s="70"/>
      <c r="O13" s="83">
        <v>2420.2977963073258</v>
      </c>
      <c r="P13" s="67" t="s">
        <v>66</v>
      </c>
      <c r="Q13" s="79">
        <f t="shared" si="1"/>
        <v>17163.861057176888</v>
      </c>
      <c r="R13" s="67"/>
      <c r="S13" s="78">
        <f t="shared" si="2"/>
        <v>7.1500000000000001E-3</v>
      </c>
      <c r="T13" s="71"/>
    </row>
    <row r="14" spans="1:20" x14ac:dyDescent="0.2">
      <c r="A14" s="66" t="s">
        <v>68</v>
      </c>
      <c r="B14" s="75">
        <v>11720</v>
      </c>
      <c r="C14" s="70"/>
      <c r="D14" s="81">
        <v>3.2418478260869536E-3</v>
      </c>
      <c r="E14" s="67"/>
      <c r="F14" s="79">
        <v>2400000</v>
      </c>
      <c r="G14" s="67"/>
      <c r="H14" s="79">
        <f t="shared" si="0"/>
        <v>7780</v>
      </c>
      <c r="I14" s="70"/>
      <c r="J14" s="83">
        <v>1123.8939130434783</v>
      </c>
      <c r="K14" s="70"/>
      <c r="L14" s="80"/>
      <c r="M14" s="79">
        <v>13005.552391304349</v>
      </c>
      <c r="N14" s="70"/>
      <c r="O14" s="83">
        <v>2420.2977963073258</v>
      </c>
      <c r="P14" s="67" t="s">
        <v>66</v>
      </c>
      <c r="Q14" s="79">
        <f t="shared" si="1"/>
        <v>24329.744100655149</v>
      </c>
      <c r="R14" s="67"/>
      <c r="S14" s="78">
        <f t="shared" si="2"/>
        <v>1.014E-2</v>
      </c>
      <c r="T14" s="71"/>
    </row>
    <row r="15" spans="1:20" x14ac:dyDescent="0.2">
      <c r="A15" s="74" t="s">
        <v>69</v>
      </c>
      <c r="B15" s="75">
        <v>11720</v>
      </c>
      <c r="C15" s="70"/>
      <c r="D15" s="81">
        <v>3.2418478260869536E-3</v>
      </c>
      <c r="E15" s="67"/>
      <c r="F15" s="79">
        <v>7400000</v>
      </c>
      <c r="G15" s="67"/>
      <c r="H15" s="79">
        <f t="shared" si="0"/>
        <v>23990</v>
      </c>
      <c r="I15" s="70"/>
      <c r="J15" s="83">
        <v>3112.1569565217392</v>
      </c>
      <c r="K15" s="70"/>
      <c r="L15" s="80"/>
      <c r="M15" s="79">
        <v>12853.535869565218</v>
      </c>
      <c r="N15" s="70"/>
      <c r="O15" s="83">
        <v>7462.5848719475871</v>
      </c>
      <c r="P15" s="67" t="s">
        <v>66</v>
      </c>
      <c r="Q15" s="79">
        <f t="shared" si="1"/>
        <v>47418.277698034552</v>
      </c>
      <c r="R15" s="67"/>
      <c r="S15" s="78">
        <f t="shared" si="2"/>
        <v>6.4099999999999999E-3</v>
      </c>
      <c r="T15" s="71"/>
    </row>
    <row r="16" spans="1:20" x14ac:dyDescent="0.2">
      <c r="A16" s="74" t="s">
        <v>70</v>
      </c>
      <c r="B16" s="75">
        <v>11963</v>
      </c>
      <c r="C16" s="70"/>
      <c r="D16" s="81">
        <v>2.1304347826086958E-3</v>
      </c>
      <c r="E16" s="67"/>
      <c r="F16" s="79">
        <v>96000000</v>
      </c>
      <c r="G16" s="67"/>
      <c r="H16" s="79">
        <f t="shared" si="0"/>
        <v>204522</v>
      </c>
      <c r="I16" s="70"/>
      <c r="J16" s="83">
        <v>73167.764347826087</v>
      </c>
      <c r="K16" s="70"/>
      <c r="L16" s="80"/>
      <c r="M16" s="79">
        <v>187511.71760869568</v>
      </c>
      <c r="N16" s="70"/>
      <c r="O16" s="83">
        <v>233264.67659321023</v>
      </c>
      <c r="P16" s="67" t="s">
        <v>71</v>
      </c>
      <c r="Q16" s="79">
        <f t="shared" si="1"/>
        <v>698466.15854973195</v>
      </c>
      <c r="R16" s="67"/>
      <c r="S16" s="78">
        <f t="shared" si="2"/>
        <v>7.28E-3</v>
      </c>
      <c r="T16" s="71"/>
    </row>
    <row r="17" spans="1:20" ht="15.75" x14ac:dyDescent="0.25">
      <c r="A17" s="74" t="s">
        <v>72</v>
      </c>
      <c r="B17" s="75">
        <v>49218</v>
      </c>
      <c r="C17" s="70"/>
      <c r="D17" s="81">
        <v>4.9673913043478141E-4</v>
      </c>
      <c r="E17" s="67"/>
      <c r="F17" s="79">
        <v>50000000</v>
      </c>
      <c r="G17" s="67"/>
      <c r="H17" s="79">
        <f t="shared" si="0"/>
        <v>24837</v>
      </c>
      <c r="I17" s="70"/>
      <c r="J17" s="83">
        <v>10208.674565217392</v>
      </c>
      <c r="K17" s="70"/>
      <c r="L17" s="136"/>
      <c r="M17" s="79">
        <v>95682.48391304347</v>
      </c>
      <c r="N17" s="70"/>
      <c r="O17" s="155">
        <v>409475.35988683737</v>
      </c>
      <c r="P17" s="67" t="s">
        <v>64</v>
      </c>
      <c r="Q17" s="156">
        <f t="shared" si="1"/>
        <v>540203.51836509816</v>
      </c>
      <c r="R17" s="67"/>
      <c r="S17" s="154">
        <f t="shared" si="2"/>
        <v>1.0800000000000001E-2</v>
      </c>
      <c r="T17" s="71"/>
    </row>
    <row r="18" spans="1:20" x14ac:dyDescent="0.2">
      <c r="A18" s="74" t="s">
        <v>73</v>
      </c>
      <c r="B18" s="75">
        <v>49218</v>
      </c>
      <c r="C18" s="70"/>
      <c r="D18" s="81">
        <v>5.3478260869565099E-4</v>
      </c>
      <c r="E18" s="67"/>
      <c r="F18" s="79">
        <v>54000000</v>
      </c>
      <c r="G18" s="67"/>
      <c r="H18" s="79">
        <f t="shared" si="0"/>
        <v>28878</v>
      </c>
      <c r="I18" s="70"/>
      <c r="J18" s="83">
        <v>48084.435000000005</v>
      </c>
      <c r="K18" s="70"/>
      <c r="L18" s="80"/>
      <c r="M18" s="79">
        <v>13344.292173913042</v>
      </c>
      <c r="N18" s="70"/>
      <c r="O18" s="155">
        <v>442702.91780821921</v>
      </c>
      <c r="P18" s="67" t="s">
        <v>64</v>
      </c>
      <c r="Q18" s="156">
        <f t="shared" si="1"/>
        <v>533009.64498213225</v>
      </c>
      <c r="R18" s="67"/>
      <c r="S18" s="154">
        <f t="shared" si="2"/>
        <v>9.8700000000000003E-3</v>
      </c>
      <c r="T18" s="71"/>
    </row>
    <row r="19" spans="1:20" ht="15.75" x14ac:dyDescent="0.25">
      <c r="A19" s="74" t="s">
        <v>74</v>
      </c>
      <c r="B19" s="75">
        <v>46054</v>
      </c>
      <c r="C19" s="70"/>
      <c r="D19" s="81">
        <v>5.7500000000000002E-2</v>
      </c>
      <c r="E19" s="67"/>
      <c r="F19" s="79">
        <v>17875000</v>
      </c>
      <c r="G19" s="67"/>
      <c r="H19" s="79">
        <f t="shared" si="0"/>
        <v>1027813</v>
      </c>
      <c r="I19" s="70"/>
      <c r="J19" s="83">
        <v>11022.324130434781</v>
      </c>
      <c r="K19" s="70"/>
      <c r="L19" s="136"/>
      <c r="M19" s="79">
        <v>22579.514347826083</v>
      </c>
      <c r="N19" s="82"/>
      <c r="O19" s="83">
        <v>0</v>
      </c>
      <c r="P19" s="67"/>
      <c r="Q19" s="79">
        <f t="shared" si="1"/>
        <v>1061414.8384782609</v>
      </c>
      <c r="R19" s="67"/>
      <c r="S19" s="78">
        <f t="shared" si="2"/>
        <v>5.9380000000000002E-2</v>
      </c>
      <c r="T19" s="71"/>
    </row>
    <row r="20" spans="1:20" ht="15.75" x14ac:dyDescent="0.25">
      <c r="A20" s="74" t="s">
        <v>75</v>
      </c>
      <c r="B20" s="75">
        <v>50100</v>
      </c>
      <c r="C20" s="70"/>
      <c r="D20" s="81">
        <v>0.06</v>
      </c>
      <c r="E20" s="67"/>
      <c r="F20" s="79">
        <v>8927000</v>
      </c>
      <c r="G20" s="67"/>
      <c r="H20" s="79">
        <f t="shared" si="0"/>
        <v>535620</v>
      </c>
      <c r="I20" s="70"/>
      <c r="J20" s="83">
        <v>5312.3550000000005</v>
      </c>
      <c r="K20" s="70"/>
      <c r="L20" s="136"/>
      <c r="M20" s="79">
        <v>10888.551521739131</v>
      </c>
      <c r="N20" s="82"/>
      <c r="O20" s="83">
        <v>0</v>
      </c>
      <c r="P20" s="67"/>
      <c r="Q20" s="79">
        <f t="shared" si="1"/>
        <v>551820.90652173909</v>
      </c>
      <c r="R20" s="67"/>
      <c r="S20" s="78">
        <f t="shared" si="2"/>
        <v>6.1809999999999997E-2</v>
      </c>
      <c r="T20" s="71"/>
    </row>
    <row r="21" spans="1:20" x14ac:dyDescent="0.2">
      <c r="A21" s="74" t="s">
        <v>76</v>
      </c>
      <c r="B21" s="75">
        <v>11720</v>
      </c>
      <c r="C21" s="70"/>
      <c r="D21" s="81">
        <v>5.3478260869565034E-4</v>
      </c>
      <c r="E21" s="67"/>
      <c r="F21" s="79">
        <v>77947405</v>
      </c>
      <c r="G21" s="67"/>
      <c r="H21" s="79">
        <f t="shared" si="0"/>
        <v>41685</v>
      </c>
      <c r="I21" s="70"/>
      <c r="J21" s="83">
        <v>34582.320652173919</v>
      </c>
      <c r="K21" s="70"/>
      <c r="L21" s="80"/>
      <c r="M21" s="79">
        <v>91927.67804347827</v>
      </c>
      <c r="N21" s="70"/>
      <c r="O21" s="155">
        <v>639028.8668231091</v>
      </c>
      <c r="P21" s="67" t="s">
        <v>64</v>
      </c>
      <c r="Q21" s="156">
        <f t="shared" si="1"/>
        <v>807223.86551876133</v>
      </c>
      <c r="R21" s="67"/>
      <c r="S21" s="154">
        <f t="shared" si="2"/>
        <v>1.0359999999999999E-2</v>
      </c>
      <c r="T21" s="71"/>
    </row>
    <row r="22" spans="1:20" x14ac:dyDescent="0.2">
      <c r="A22" s="74" t="s">
        <v>77</v>
      </c>
      <c r="B22" s="75"/>
      <c r="C22" s="70"/>
      <c r="D22" s="81"/>
      <c r="E22" s="67"/>
      <c r="F22" s="82"/>
      <c r="G22" s="67"/>
      <c r="H22" s="82">
        <v>0</v>
      </c>
      <c r="I22" s="70"/>
      <c r="J22" s="82">
        <v>0</v>
      </c>
      <c r="K22" s="70"/>
      <c r="L22" s="70">
        <v>1</v>
      </c>
      <c r="M22" s="79">
        <v>5870.5467391304355</v>
      </c>
      <c r="N22" s="79"/>
      <c r="O22" s="83"/>
      <c r="P22" s="67"/>
      <c r="Q22" s="79">
        <f t="shared" si="1"/>
        <v>5870.5467391304355</v>
      </c>
      <c r="R22" s="67"/>
      <c r="S22" s="78"/>
      <c r="T22" s="71"/>
    </row>
    <row r="23" spans="1:20" x14ac:dyDescent="0.2">
      <c r="A23" s="66"/>
      <c r="C23" s="85"/>
      <c r="D23" s="84"/>
      <c r="I23" s="85"/>
      <c r="T23" s="71"/>
    </row>
    <row r="24" spans="1:20" x14ac:dyDescent="0.2">
      <c r="A24" s="74" t="s">
        <v>78</v>
      </c>
      <c r="B24" s="75"/>
      <c r="C24" s="70"/>
      <c r="D24" s="81"/>
      <c r="E24" s="67"/>
      <c r="F24" s="79"/>
      <c r="G24" s="67"/>
      <c r="H24" s="79"/>
      <c r="I24" s="70"/>
      <c r="J24" s="83"/>
      <c r="K24" s="86"/>
      <c r="L24" s="86"/>
      <c r="M24" s="82"/>
      <c r="N24" s="82"/>
      <c r="O24" s="83"/>
      <c r="P24" s="67"/>
      <c r="Q24" s="79"/>
      <c r="R24" s="67"/>
      <c r="S24" s="78"/>
      <c r="T24" s="71"/>
    </row>
    <row r="25" spans="1:20" x14ac:dyDescent="0.2">
      <c r="A25" s="74" t="s">
        <v>79</v>
      </c>
      <c r="B25" s="75">
        <v>42309</v>
      </c>
      <c r="C25" s="70"/>
      <c r="D25" s="87">
        <v>1.6250000000000001E-2</v>
      </c>
      <c r="E25" s="67"/>
      <c r="F25" s="79">
        <v>250000000</v>
      </c>
      <c r="G25" s="67"/>
      <c r="H25" s="79">
        <f t="shared" ref="H25:H29" si="3">ROUND(D25*F25,0)</f>
        <v>4062500</v>
      </c>
      <c r="I25" s="70"/>
      <c r="J25" s="83">
        <v>471809.5597826087</v>
      </c>
      <c r="K25" s="86" t="s">
        <v>80</v>
      </c>
      <c r="L25" s="86"/>
      <c r="M25" s="82"/>
      <c r="N25" s="82"/>
      <c r="O25" s="83">
        <v>0</v>
      </c>
      <c r="P25" s="67"/>
      <c r="Q25" s="79">
        <f t="shared" ref="Q25:Q33" si="4">H25+J25+M25+O25</f>
        <v>4534309.5597826084</v>
      </c>
      <c r="R25" s="67"/>
      <c r="S25" s="78">
        <f t="shared" ref="S25:S32" si="5">ROUND((Q25/F25),5)</f>
        <v>1.814E-2</v>
      </c>
      <c r="T25" s="71"/>
    </row>
    <row r="26" spans="1:20" x14ac:dyDescent="0.2">
      <c r="A26" s="66" t="s">
        <v>81</v>
      </c>
      <c r="B26" s="75">
        <v>42309</v>
      </c>
      <c r="C26" s="70"/>
      <c r="D26" s="87">
        <v>1.6250000000000001E-2</v>
      </c>
      <c r="E26" s="70"/>
      <c r="F26" s="79">
        <v>-71445.306920289877</v>
      </c>
      <c r="H26" s="79"/>
      <c r="I26" s="70"/>
      <c r="J26" s="83">
        <v>177844.33369565217</v>
      </c>
      <c r="K26" s="86" t="s">
        <v>80</v>
      </c>
      <c r="L26" s="86"/>
      <c r="M26" s="82"/>
      <c r="N26" s="82"/>
      <c r="O26" s="83"/>
      <c r="P26" s="67"/>
      <c r="Q26" s="79">
        <f t="shared" si="4"/>
        <v>177844.33369565217</v>
      </c>
      <c r="R26" s="67"/>
      <c r="S26" s="78">
        <f t="shared" si="5"/>
        <v>-2.4892400000000001</v>
      </c>
      <c r="T26" s="71"/>
    </row>
    <row r="27" spans="1:20" x14ac:dyDescent="0.2">
      <c r="A27" s="74" t="s">
        <v>82</v>
      </c>
      <c r="B27" s="75">
        <v>44136</v>
      </c>
      <c r="C27" s="70"/>
      <c r="D27" s="87">
        <v>3.2500000000000001E-2</v>
      </c>
      <c r="E27" s="67"/>
      <c r="F27" s="79">
        <v>500000000</v>
      </c>
      <c r="H27" s="79">
        <f t="shared" si="3"/>
        <v>16250000</v>
      </c>
      <c r="I27" s="70"/>
      <c r="J27" s="83">
        <v>423481.96304347826</v>
      </c>
      <c r="K27" s="86" t="s">
        <v>80</v>
      </c>
      <c r="L27" s="86"/>
      <c r="M27" s="82"/>
      <c r="N27" s="82"/>
      <c r="O27" s="83">
        <v>0</v>
      </c>
      <c r="P27" s="67"/>
      <c r="Q27" s="79">
        <f t="shared" si="4"/>
        <v>16673481.963043477</v>
      </c>
      <c r="R27" s="67"/>
      <c r="S27" s="78">
        <f t="shared" si="5"/>
        <v>3.3349999999999998E-2</v>
      </c>
      <c r="T27" s="71"/>
    </row>
    <row r="28" spans="1:20" x14ac:dyDescent="0.2">
      <c r="A28" s="66" t="s">
        <v>81</v>
      </c>
      <c r="B28" s="75">
        <v>44136</v>
      </c>
      <c r="C28" s="70"/>
      <c r="D28" s="87">
        <v>3.2500000000000001E-2</v>
      </c>
      <c r="E28" s="70"/>
      <c r="F28" s="79">
        <v>-1023033.7816847825</v>
      </c>
      <c r="H28" s="79"/>
      <c r="I28" s="70"/>
      <c r="J28" s="83">
        <v>191227.13478260869</v>
      </c>
      <c r="K28" s="86" t="s">
        <v>80</v>
      </c>
      <c r="L28" s="86"/>
      <c r="M28" s="82"/>
      <c r="N28" s="82"/>
      <c r="O28" s="83"/>
      <c r="P28" s="67"/>
      <c r="Q28" s="79">
        <f t="shared" si="4"/>
        <v>191227.13478260869</v>
      </c>
      <c r="R28" s="67"/>
      <c r="S28" s="78">
        <f t="shared" si="5"/>
        <v>-0.18692</v>
      </c>
      <c r="T28" s="71"/>
    </row>
    <row r="29" spans="1:20" x14ac:dyDescent="0.2">
      <c r="A29" s="74" t="s">
        <v>83</v>
      </c>
      <c r="B29" s="75">
        <v>51441</v>
      </c>
      <c r="C29" s="70"/>
      <c r="D29" s="87">
        <v>5.1249999999999997E-2</v>
      </c>
      <c r="E29" s="67"/>
      <c r="F29" s="79">
        <v>750000000</v>
      </c>
      <c r="H29" s="79">
        <f t="shared" si="3"/>
        <v>38437500</v>
      </c>
      <c r="I29" s="70"/>
      <c r="J29" s="83">
        <v>251899.10869565216</v>
      </c>
      <c r="K29" s="86" t="s">
        <v>80</v>
      </c>
      <c r="L29" s="86"/>
      <c r="M29" s="82"/>
      <c r="N29" s="82"/>
      <c r="O29" s="83">
        <v>0</v>
      </c>
      <c r="P29" s="67"/>
      <c r="Q29" s="79">
        <f t="shared" si="4"/>
        <v>38689399.108695649</v>
      </c>
      <c r="R29" s="67"/>
      <c r="S29" s="78">
        <f t="shared" si="5"/>
        <v>5.1589999999999997E-2</v>
      </c>
      <c r="T29" s="71"/>
    </row>
    <row r="30" spans="1:20" x14ac:dyDescent="0.2">
      <c r="A30" s="66" t="s">
        <v>81</v>
      </c>
      <c r="B30" s="75">
        <v>51441</v>
      </c>
      <c r="C30" s="70"/>
      <c r="D30" s="87">
        <v>5.1249999999999997E-2</v>
      </c>
      <c r="E30" s="70"/>
      <c r="F30" s="79">
        <v>-6893994.4091123175</v>
      </c>
      <c r="H30" s="79"/>
      <c r="I30" s="70"/>
      <c r="J30" s="83">
        <v>273719.06347826082</v>
      </c>
      <c r="K30" s="86" t="s">
        <v>80</v>
      </c>
      <c r="L30" s="86"/>
      <c r="M30" s="82"/>
      <c r="N30" s="82"/>
      <c r="O30" s="83"/>
      <c r="P30" s="67"/>
      <c r="Q30" s="79">
        <f t="shared" si="4"/>
        <v>273719.06347826082</v>
      </c>
      <c r="R30" s="67"/>
      <c r="S30" s="78">
        <f t="shared" si="5"/>
        <v>-3.9699999999999999E-2</v>
      </c>
      <c r="T30" s="71"/>
    </row>
    <row r="31" spans="1:20" x14ac:dyDescent="0.2">
      <c r="A31" s="74" t="s">
        <v>84</v>
      </c>
      <c r="B31" s="75">
        <v>52550</v>
      </c>
      <c r="C31" s="70"/>
      <c r="D31" s="87">
        <v>4.65E-2</v>
      </c>
      <c r="E31" s="70"/>
      <c r="F31" s="79">
        <v>250000000</v>
      </c>
      <c r="H31" s="79">
        <f>ROUND(D31*F31,0)</f>
        <v>11625000</v>
      </c>
      <c r="I31" s="70"/>
      <c r="J31" s="83">
        <v>93025.416521739127</v>
      </c>
      <c r="K31" s="86" t="s">
        <v>80</v>
      </c>
      <c r="L31" s="86"/>
      <c r="M31" s="82"/>
      <c r="N31" s="82"/>
      <c r="O31" s="83"/>
      <c r="P31" s="67"/>
      <c r="Q31" s="79">
        <f t="shared" si="4"/>
        <v>11718025.416521739</v>
      </c>
      <c r="R31" s="67"/>
      <c r="S31" s="78">
        <f t="shared" si="5"/>
        <v>4.6870000000000002E-2</v>
      </c>
      <c r="T31" s="71"/>
    </row>
    <row r="32" spans="1:20" x14ac:dyDescent="0.2">
      <c r="A32" s="66" t="s">
        <v>81</v>
      </c>
      <c r="B32" s="75">
        <v>52550</v>
      </c>
      <c r="C32" s="70"/>
      <c r="D32" s="87">
        <v>4.65E-2</v>
      </c>
      <c r="E32" s="70"/>
      <c r="F32" s="79">
        <v>-1704982.7242391307</v>
      </c>
      <c r="H32" s="79"/>
      <c r="I32" s="70"/>
      <c r="J32" s="83">
        <v>60463.263913043469</v>
      </c>
      <c r="K32" s="86" t="s">
        <v>80</v>
      </c>
      <c r="L32" s="86"/>
      <c r="M32" s="82"/>
      <c r="N32" s="82"/>
      <c r="O32" s="83"/>
      <c r="P32" s="67"/>
      <c r="Q32" s="79">
        <f t="shared" si="4"/>
        <v>60463.263913043469</v>
      </c>
      <c r="R32" s="67"/>
      <c r="S32" s="78">
        <f t="shared" si="5"/>
        <v>-3.5459999999999998E-2</v>
      </c>
      <c r="T32" s="71"/>
    </row>
    <row r="33" spans="1:20" ht="17.25" customHeight="1" x14ac:dyDescent="0.2">
      <c r="A33" s="66" t="s">
        <v>85</v>
      </c>
      <c r="B33" s="142">
        <v>52550</v>
      </c>
      <c r="D33" s="88"/>
      <c r="E33" s="67"/>
      <c r="F33" s="89"/>
      <c r="G33" s="70"/>
      <c r="H33" s="89">
        <v>-1445829.3410869564</v>
      </c>
      <c r="I33" s="70"/>
      <c r="J33" s="89"/>
      <c r="K33" s="143"/>
      <c r="L33" s="143"/>
      <c r="M33" s="89"/>
      <c r="N33" s="89"/>
      <c r="O33" s="89"/>
      <c r="P33" s="67"/>
      <c r="Q33" s="79">
        <f t="shared" si="4"/>
        <v>-1445829.3410869564</v>
      </c>
      <c r="R33" s="67"/>
      <c r="S33" s="134">
        <f>ROUND((Q33/43027967.76),5)</f>
        <v>-3.3599999999999998E-2</v>
      </c>
      <c r="T33" s="71"/>
    </row>
    <row r="34" spans="1:20" x14ac:dyDescent="0.2">
      <c r="A34" s="66"/>
      <c r="B34" s="75"/>
      <c r="C34" s="70"/>
      <c r="D34" s="81"/>
      <c r="E34" s="67"/>
      <c r="F34" s="79"/>
      <c r="G34" s="70"/>
      <c r="H34" s="79"/>
      <c r="I34" s="70"/>
      <c r="J34" s="83"/>
      <c r="K34" s="86"/>
      <c r="L34" s="86"/>
      <c r="M34" s="82"/>
      <c r="N34" s="82"/>
      <c r="O34" s="83"/>
      <c r="P34" s="67"/>
      <c r="Q34" s="79"/>
      <c r="R34" s="67"/>
      <c r="S34" s="78"/>
      <c r="T34" s="71"/>
    </row>
    <row r="35" spans="1:20" x14ac:dyDescent="0.2">
      <c r="A35" s="74" t="s">
        <v>86</v>
      </c>
      <c r="B35" s="75">
        <v>43674</v>
      </c>
      <c r="C35" s="67"/>
      <c r="D35" s="90"/>
      <c r="E35" s="67"/>
      <c r="F35" s="79"/>
      <c r="G35" s="67"/>
      <c r="H35" s="79"/>
      <c r="I35" s="70"/>
      <c r="J35" s="100">
        <v>536327.84347826091</v>
      </c>
      <c r="K35" s="70"/>
      <c r="L35" s="140">
        <v>2</v>
      </c>
      <c r="M35" s="82">
        <v>71725.074999999997</v>
      </c>
      <c r="N35" s="70"/>
      <c r="O35" s="155">
        <v>453805.83680762356</v>
      </c>
      <c r="P35" s="67" t="s">
        <v>87</v>
      </c>
      <c r="Q35" s="156">
        <f>H35+J35+M35+O35</f>
        <v>1061858.7552858845</v>
      </c>
      <c r="R35" s="67"/>
      <c r="S35" s="78"/>
      <c r="T35" s="71"/>
    </row>
    <row r="36" spans="1:20" x14ac:dyDescent="0.2">
      <c r="A36" s="74" t="s">
        <v>88</v>
      </c>
      <c r="B36" s="75">
        <v>41758</v>
      </c>
      <c r="C36" s="67"/>
      <c r="D36" s="90"/>
      <c r="E36" s="67"/>
      <c r="F36" s="79"/>
      <c r="G36" s="67"/>
      <c r="H36" s="79"/>
      <c r="I36" s="70"/>
      <c r="J36" s="100">
        <v>222786.38086956521</v>
      </c>
      <c r="K36" s="70"/>
      <c r="L36" s="67"/>
      <c r="M36" s="82">
        <v>104812.06043478262</v>
      </c>
      <c r="N36" s="82"/>
      <c r="O36" s="83"/>
      <c r="P36" s="67"/>
      <c r="Q36" s="79">
        <f>H36+J36+M36+O36</f>
        <v>327598.44130434783</v>
      </c>
      <c r="R36" s="67"/>
      <c r="S36" s="78"/>
      <c r="T36" s="71"/>
    </row>
    <row r="37" spans="1:20" ht="15.75" thickBot="1" x14ac:dyDescent="0.25">
      <c r="A37" s="74"/>
      <c r="B37" s="75"/>
      <c r="C37" s="67"/>
      <c r="D37" s="90"/>
      <c r="E37" s="67"/>
      <c r="F37" s="79"/>
      <c r="G37" s="67"/>
      <c r="H37" s="79"/>
      <c r="I37" s="67"/>
      <c r="J37" s="83"/>
      <c r="K37" s="86"/>
      <c r="L37" s="86"/>
      <c r="M37" s="82"/>
      <c r="N37" s="82"/>
      <c r="O37" s="83"/>
      <c r="P37" s="67"/>
      <c r="Q37" s="79"/>
      <c r="R37" s="67"/>
      <c r="S37" s="78"/>
      <c r="T37" s="71"/>
    </row>
    <row r="38" spans="1:20" ht="16.5" thickBot="1" x14ac:dyDescent="0.3">
      <c r="A38" s="91" t="s">
        <v>89</v>
      </c>
      <c r="B38" s="67"/>
      <c r="C38" s="67"/>
      <c r="D38" s="92"/>
      <c r="E38" s="67"/>
      <c r="F38" s="93">
        <f>SUM(F11:F37)</f>
        <v>2091085948.7780435</v>
      </c>
      <c r="G38" s="77"/>
      <c r="H38" s="93">
        <f>SUM(H11:H37)</f>
        <v>70906832.658913046</v>
      </c>
      <c r="I38" s="77"/>
      <c r="J38" s="93">
        <f>SUM(J11:J37)</f>
        <v>2907152.6895652171</v>
      </c>
      <c r="K38" s="76"/>
      <c r="L38" s="76"/>
      <c r="M38" s="93">
        <f>SUM(M11:M37)</f>
        <v>707144.46543478256</v>
      </c>
      <c r="N38" s="148"/>
      <c r="O38" s="157">
        <f>SUM(O11:O37)</f>
        <v>2316883.3983895178</v>
      </c>
      <c r="P38" s="94"/>
      <c r="Q38" s="157">
        <f>SUM(Q11:Q37)</f>
        <v>76838013.212302566</v>
      </c>
      <c r="R38" s="67"/>
      <c r="S38" s="158">
        <f>ROUND((Q38/F44),5)</f>
        <v>3.6749999999999998E-2</v>
      </c>
      <c r="T38" s="71"/>
    </row>
    <row r="39" spans="1:20" ht="15.75" x14ac:dyDescent="0.25">
      <c r="A39" s="74"/>
      <c r="B39" s="67"/>
      <c r="C39" s="67"/>
      <c r="D39" s="92"/>
      <c r="E39" s="67"/>
      <c r="F39" s="80"/>
      <c r="G39" s="67"/>
      <c r="H39" s="80"/>
      <c r="I39" s="67"/>
      <c r="J39" s="80"/>
      <c r="K39" s="86"/>
      <c r="L39" s="86"/>
      <c r="M39" s="86"/>
      <c r="N39" s="86"/>
      <c r="O39" s="86"/>
      <c r="P39" s="96"/>
      <c r="Q39" s="86"/>
      <c r="R39" s="67"/>
      <c r="S39" s="97"/>
      <c r="T39" s="71"/>
    </row>
    <row r="40" spans="1:20" ht="15.75" x14ac:dyDescent="0.25">
      <c r="A40" s="66" t="s">
        <v>90</v>
      </c>
      <c r="B40" s="67"/>
      <c r="C40" s="137"/>
      <c r="D40" s="92"/>
      <c r="E40" s="67"/>
      <c r="F40" s="98">
        <v>0</v>
      </c>
      <c r="G40" s="77"/>
      <c r="H40" s="76">
        <v>0</v>
      </c>
      <c r="I40" s="77"/>
      <c r="J40" s="98">
        <v>0</v>
      </c>
      <c r="K40" s="98"/>
      <c r="L40" s="98"/>
      <c r="M40" s="98">
        <v>0</v>
      </c>
      <c r="N40" s="98"/>
      <c r="O40" s="98">
        <v>0</v>
      </c>
      <c r="P40" s="77"/>
      <c r="Q40" s="76">
        <v>0</v>
      </c>
      <c r="R40" s="67"/>
      <c r="S40" s="99"/>
      <c r="T40" s="71"/>
    </row>
    <row r="41" spans="1:20" ht="15.75" thickBot="1" x14ac:dyDescent="0.25">
      <c r="A41" s="66"/>
      <c r="B41" s="75"/>
      <c r="C41" s="67"/>
      <c r="D41" s="81"/>
      <c r="E41" s="67"/>
      <c r="F41" s="100"/>
      <c r="G41" s="89"/>
      <c r="H41" s="79"/>
      <c r="I41" s="89"/>
      <c r="J41" s="100"/>
      <c r="K41" s="100"/>
      <c r="L41" s="100"/>
      <c r="M41" s="100"/>
      <c r="N41" s="100"/>
      <c r="O41" s="100"/>
      <c r="P41" s="89"/>
      <c r="Q41" s="79"/>
      <c r="R41" s="67"/>
      <c r="S41" s="78"/>
      <c r="T41" s="71"/>
    </row>
    <row r="42" spans="1:20" ht="16.5" thickBot="1" x14ac:dyDescent="0.3">
      <c r="A42" s="91" t="s">
        <v>91</v>
      </c>
      <c r="B42" s="67"/>
      <c r="C42" s="67"/>
      <c r="D42" s="92"/>
      <c r="E42" s="67"/>
      <c r="F42" s="101">
        <f>SUM(F40:F41)</f>
        <v>0</v>
      </c>
      <c r="G42" s="77"/>
      <c r="H42" s="101">
        <f>SUM(H40:H41)</f>
        <v>0</v>
      </c>
      <c r="I42" s="77"/>
      <c r="J42" s="101">
        <f>SUM(J40:J41)</f>
        <v>0</v>
      </c>
      <c r="K42" s="76"/>
      <c r="L42" s="76"/>
      <c r="M42" s="101">
        <f>SUM(M40:M41)</f>
        <v>0</v>
      </c>
      <c r="N42" s="76"/>
      <c r="O42" s="101">
        <f>SUM(O40:O41)</f>
        <v>0</v>
      </c>
      <c r="P42" s="76"/>
      <c r="Q42" s="101">
        <f>SUM(Q40:Q41)</f>
        <v>0</v>
      </c>
      <c r="R42" s="67"/>
      <c r="S42" s="95">
        <f>ROUND(+Q42/F44,5)</f>
        <v>0</v>
      </c>
      <c r="T42" s="71"/>
    </row>
    <row r="43" spans="1:20" ht="15.75" thickBot="1" x14ac:dyDescent="0.25">
      <c r="A43" s="66"/>
      <c r="B43" s="67"/>
      <c r="C43" s="67"/>
      <c r="D43" s="92"/>
      <c r="E43" s="67"/>
      <c r="F43" s="86"/>
      <c r="G43" s="67"/>
      <c r="H43" s="86"/>
      <c r="I43" s="67"/>
      <c r="J43" s="80"/>
      <c r="K43" s="86"/>
      <c r="L43" s="86"/>
      <c r="M43" s="86"/>
      <c r="N43" s="86"/>
      <c r="O43" s="86"/>
      <c r="P43" s="86"/>
      <c r="Q43" s="86"/>
      <c r="R43" s="67"/>
      <c r="S43" s="69"/>
      <c r="T43" s="71"/>
    </row>
    <row r="44" spans="1:20" ht="16.5" thickBot="1" x14ac:dyDescent="0.3">
      <c r="A44" s="66"/>
      <c r="B44" s="67"/>
      <c r="C44" s="67"/>
      <c r="D44" s="102" t="s">
        <v>61</v>
      </c>
      <c r="E44" s="67"/>
      <c r="F44" s="103">
        <f>F38+F42</f>
        <v>2091085948.7780435</v>
      </c>
      <c r="G44" s="77"/>
      <c r="H44" s="103">
        <f>H38+H42</f>
        <v>70906832.658913046</v>
      </c>
      <c r="I44" s="77"/>
      <c r="J44" s="103">
        <f>J38+J42</f>
        <v>2907152.6895652171</v>
      </c>
      <c r="K44" s="76"/>
      <c r="L44" s="76"/>
      <c r="M44" s="103">
        <f>M38+M42</f>
        <v>707144.46543478256</v>
      </c>
      <c r="N44" s="76"/>
      <c r="O44" s="103">
        <f>O38+O42</f>
        <v>2316883.3983895178</v>
      </c>
      <c r="P44" s="76"/>
      <c r="Q44" s="103">
        <f>Q38+Q42</f>
        <v>76838013.212302566</v>
      </c>
      <c r="R44" s="67"/>
      <c r="S44" s="95">
        <f>ROUND(Q44/F44,5)</f>
        <v>3.6749999999999998E-2</v>
      </c>
      <c r="T44" s="71"/>
    </row>
    <row r="45" spans="1:20" ht="16.5" thickTop="1" x14ac:dyDescent="0.25">
      <c r="A45" s="104"/>
      <c r="B45" s="105"/>
      <c r="C45" s="105"/>
      <c r="D45" s="106"/>
      <c r="E45" s="105"/>
      <c r="F45" s="107"/>
      <c r="G45" s="105"/>
      <c r="H45" s="107"/>
      <c r="I45" s="105"/>
      <c r="J45" s="107"/>
      <c r="K45" s="107"/>
      <c r="L45" s="107"/>
      <c r="M45" s="138"/>
      <c r="N45" s="138"/>
      <c r="O45" s="107"/>
      <c r="P45" s="107"/>
      <c r="Q45" s="107"/>
      <c r="R45" s="105"/>
      <c r="S45" s="108"/>
      <c r="T45" s="109"/>
    </row>
    <row r="46" spans="1:20" ht="15.75" x14ac:dyDescent="0.25">
      <c r="D46" s="110"/>
      <c r="F46" s="111"/>
      <c r="H46" s="111"/>
      <c r="J46" s="111"/>
      <c r="K46" s="139"/>
      <c r="L46" s="139"/>
      <c r="M46" s="111"/>
      <c r="N46" s="111"/>
      <c r="O46" s="140"/>
      <c r="P46" s="111"/>
      <c r="Q46" s="111"/>
      <c r="S46" s="112"/>
    </row>
    <row r="47" spans="1:20" ht="15.75" x14ac:dyDescent="0.25">
      <c r="D47" s="110"/>
      <c r="F47" s="113"/>
      <c r="H47" s="111"/>
      <c r="J47" s="111"/>
      <c r="K47" s="139"/>
      <c r="L47" s="139"/>
      <c r="M47" s="111"/>
      <c r="N47" s="111"/>
      <c r="O47" s="140"/>
      <c r="P47" s="111"/>
      <c r="Q47" s="111"/>
      <c r="S47" s="112"/>
    </row>
    <row r="48" spans="1:20" ht="15.75" x14ac:dyDescent="0.25">
      <c r="D48" s="110"/>
      <c r="F48" s="113"/>
      <c r="H48" s="111"/>
      <c r="J48" s="111"/>
      <c r="K48" s="139"/>
      <c r="M48" s="114"/>
      <c r="N48" s="111"/>
      <c r="O48" s="140"/>
      <c r="P48" s="111"/>
      <c r="Q48" s="111"/>
      <c r="S48" s="112"/>
    </row>
    <row r="49" spans="1:22" ht="15.75" x14ac:dyDescent="0.25">
      <c r="A49" s="59" t="s">
        <v>92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2"/>
    </row>
    <row r="50" spans="1:22" x14ac:dyDescent="0.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88"/>
      <c r="T50" s="71"/>
    </row>
    <row r="51" spans="1:22" x14ac:dyDescent="0.2">
      <c r="A51" s="66"/>
      <c r="B51" s="67"/>
      <c r="C51" s="67"/>
      <c r="D51" s="67"/>
      <c r="E51" s="67"/>
      <c r="F51" s="67"/>
      <c r="G51" s="67"/>
      <c r="H51" s="68" t="s">
        <v>53</v>
      </c>
      <c r="I51" s="68"/>
      <c r="J51" s="68"/>
      <c r="K51" s="68"/>
      <c r="L51" s="68"/>
      <c r="M51" s="68"/>
      <c r="N51" s="68"/>
      <c r="O51" s="68"/>
      <c r="P51" s="68"/>
      <c r="Q51" s="68"/>
      <c r="R51" s="67"/>
      <c r="S51" s="88"/>
      <c r="T51" s="71"/>
    </row>
    <row r="52" spans="1:22" x14ac:dyDescent="0.2">
      <c r="A52" s="66"/>
      <c r="B52" s="67"/>
      <c r="C52" s="67"/>
      <c r="D52" s="67"/>
      <c r="E52" s="67"/>
      <c r="F52" s="67"/>
      <c r="G52" s="67"/>
      <c r="H52" s="67"/>
      <c r="I52" s="67"/>
      <c r="J52" s="70"/>
      <c r="K52" s="67"/>
      <c r="L52" s="67"/>
      <c r="M52" s="70"/>
      <c r="N52" s="70"/>
      <c r="O52" s="70"/>
      <c r="P52" s="67"/>
      <c r="Q52" s="67"/>
      <c r="R52" s="67"/>
      <c r="S52" s="69" t="s">
        <v>56</v>
      </c>
      <c r="T52" s="65"/>
    </row>
    <row r="53" spans="1:22" x14ac:dyDescent="0.2">
      <c r="A53" s="66"/>
      <c r="B53" s="67"/>
      <c r="C53" s="115"/>
      <c r="D53" s="138" t="s">
        <v>31</v>
      </c>
      <c r="E53" s="67"/>
      <c r="F53" s="138" t="s">
        <v>58</v>
      </c>
      <c r="G53" s="70"/>
      <c r="H53" s="138" t="s">
        <v>59</v>
      </c>
      <c r="I53" s="70"/>
      <c r="J53" s="138" t="s">
        <v>93</v>
      </c>
      <c r="K53" s="70"/>
      <c r="L53" s="70"/>
      <c r="M53" s="138" t="s">
        <v>94</v>
      </c>
      <c r="N53" s="70"/>
      <c r="O53" s="138" t="s">
        <v>95</v>
      </c>
      <c r="P53" s="70"/>
      <c r="Q53" s="138" t="s">
        <v>61</v>
      </c>
      <c r="R53" s="67"/>
      <c r="S53" s="151" t="s">
        <v>26</v>
      </c>
      <c r="T53" s="116"/>
    </row>
    <row r="54" spans="1:22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17"/>
      <c r="T54" s="71"/>
    </row>
    <row r="55" spans="1:22" x14ac:dyDescent="0.2">
      <c r="A55" s="66" t="s">
        <v>96</v>
      </c>
      <c r="B55" s="67"/>
      <c r="C55" s="70"/>
      <c r="D55" s="134">
        <v>5.0489130434782726E-3</v>
      </c>
      <c r="E55" s="67"/>
      <c r="F55" s="76">
        <v>0</v>
      </c>
      <c r="G55" s="77"/>
      <c r="H55" s="76">
        <f>ROUND(F55*D55,0)</f>
        <v>0</v>
      </c>
      <c r="I55" s="77"/>
      <c r="J55" s="98">
        <v>0</v>
      </c>
      <c r="K55" s="98"/>
      <c r="L55" s="98"/>
      <c r="M55" s="98">
        <v>0</v>
      </c>
      <c r="N55" s="98"/>
      <c r="O55" s="98">
        <v>0</v>
      </c>
      <c r="P55" s="77"/>
      <c r="Q55" s="76">
        <f>SUM(H55:O55)</f>
        <v>0</v>
      </c>
      <c r="R55" s="67"/>
      <c r="S55" s="134">
        <f>IF(F55=0,0,(ROUND((Q55/F55),5)))</f>
        <v>0</v>
      </c>
      <c r="T55" s="71"/>
    </row>
    <row r="56" spans="1:22" x14ac:dyDescent="0.2">
      <c r="A56" s="66" t="s">
        <v>97</v>
      </c>
      <c r="B56" s="75"/>
      <c r="C56" s="67"/>
      <c r="D56" s="81"/>
      <c r="E56" s="67"/>
      <c r="F56" s="79">
        <v>0</v>
      </c>
      <c r="G56" s="67"/>
      <c r="H56" s="79">
        <f>ROUND(D56*F56,0)</f>
        <v>0</v>
      </c>
      <c r="I56" s="67"/>
      <c r="J56" s="100">
        <v>0</v>
      </c>
      <c r="K56" s="100"/>
      <c r="L56" s="100"/>
      <c r="M56" s="100">
        <v>0</v>
      </c>
      <c r="N56" s="100"/>
      <c r="O56" s="100">
        <v>0</v>
      </c>
      <c r="P56" s="89"/>
      <c r="Q56" s="79">
        <f>SUM(H56,J56,M56)</f>
        <v>0</v>
      </c>
      <c r="R56" s="67"/>
      <c r="S56" s="134">
        <f>IF(F56=0,0,(ROUND((Q56/F56),5)))</f>
        <v>0</v>
      </c>
      <c r="T56" s="71"/>
    </row>
    <row r="57" spans="1:22" x14ac:dyDescent="0.2">
      <c r="A57" s="66" t="s">
        <v>98</v>
      </c>
      <c r="B57" s="70" t="s">
        <v>99</v>
      </c>
      <c r="C57" s="70"/>
      <c r="D57" s="134">
        <v>5.0239999999999998E-3</v>
      </c>
      <c r="E57" s="67"/>
      <c r="F57" s="133">
        <v>197270524.31</v>
      </c>
      <c r="G57" s="67"/>
      <c r="H57" s="133">
        <f>D57*F57</f>
        <v>991087.11413343996</v>
      </c>
      <c r="I57" s="67"/>
      <c r="J57" s="144">
        <v>0</v>
      </c>
      <c r="K57" s="67"/>
      <c r="L57" s="67"/>
      <c r="M57" s="144">
        <v>0</v>
      </c>
      <c r="N57" s="145"/>
      <c r="O57" s="144">
        <v>0</v>
      </c>
      <c r="P57" s="67"/>
      <c r="Q57" s="133">
        <f>SUM(H57:O57)</f>
        <v>991087.11413343996</v>
      </c>
      <c r="R57" s="67"/>
      <c r="S57" s="134">
        <f>IF(F57=0,0,(ROUND((Q57/F57),5)))</f>
        <v>5.0200000000000002E-3</v>
      </c>
      <c r="T57" s="71"/>
    </row>
    <row r="58" spans="1:22" x14ac:dyDescent="0.2">
      <c r="A58" s="66"/>
      <c r="B58" s="70"/>
      <c r="C58" s="70"/>
      <c r="D58" s="88"/>
      <c r="E58" s="67"/>
      <c r="F58" s="89"/>
      <c r="G58" s="67"/>
      <c r="H58" s="89"/>
      <c r="I58" s="67"/>
      <c r="J58" s="145"/>
      <c r="K58" s="67"/>
      <c r="L58" s="67"/>
      <c r="M58" s="145"/>
      <c r="N58" s="145"/>
      <c r="O58" s="145"/>
      <c r="P58" s="67"/>
      <c r="Q58" s="89"/>
      <c r="R58" s="67"/>
      <c r="S58" s="134"/>
      <c r="T58" s="71"/>
    </row>
    <row r="59" spans="1:22" ht="15.75" thickBot="1" x14ac:dyDescent="0.25">
      <c r="A59" s="66"/>
      <c r="B59" s="75"/>
      <c r="C59" s="67"/>
      <c r="D59" s="81"/>
      <c r="E59" s="67"/>
      <c r="F59" s="86"/>
      <c r="G59" s="67"/>
      <c r="H59" s="86"/>
      <c r="I59" s="67"/>
      <c r="J59" s="83"/>
      <c r="K59" s="86"/>
      <c r="L59" s="86"/>
      <c r="M59" s="86"/>
      <c r="N59" s="86"/>
      <c r="O59" s="86"/>
      <c r="P59" s="86"/>
      <c r="Q59" s="86"/>
      <c r="R59" s="67"/>
      <c r="S59" s="117"/>
      <c r="T59" s="71"/>
    </row>
    <row r="60" spans="1:22" ht="16.5" thickBot="1" x14ac:dyDescent="0.3">
      <c r="A60" s="66"/>
      <c r="B60" s="67"/>
      <c r="C60" s="67"/>
      <c r="D60" s="67" t="s">
        <v>61</v>
      </c>
      <c r="E60" s="67"/>
      <c r="F60" s="118">
        <f>SUM(F55:F57)</f>
        <v>197270524.31</v>
      </c>
      <c r="G60" s="77"/>
      <c r="H60" s="118">
        <f>SUM(H55:H57)</f>
        <v>991087.11413343996</v>
      </c>
      <c r="I60" s="77"/>
      <c r="J60" s="118">
        <f>SUM(J55:J57)</f>
        <v>0</v>
      </c>
      <c r="K60" s="119"/>
      <c r="L60" s="119"/>
      <c r="M60" s="118">
        <f>SUM(M55:M57)</f>
        <v>0</v>
      </c>
      <c r="N60" s="98"/>
      <c r="O60" s="118">
        <f>SUM(O55:O57)</f>
        <v>0</v>
      </c>
      <c r="P60" s="77"/>
      <c r="Q60" s="118">
        <f>SUM(Q55:Q57)</f>
        <v>991087.11413343996</v>
      </c>
      <c r="R60" s="67"/>
      <c r="S60" s="135">
        <f>IF(F60=0,0,(ROUND(Q60/F60,5)))</f>
        <v>5.0200000000000002E-3</v>
      </c>
      <c r="T60" s="71"/>
    </row>
    <row r="61" spans="1:22" ht="15.75" thickTop="1" x14ac:dyDescent="0.2">
      <c r="A61" s="104"/>
      <c r="B61" s="105"/>
      <c r="C61" s="105"/>
      <c r="D61" s="105"/>
      <c r="E61" s="105"/>
      <c r="F61" s="105"/>
      <c r="G61" s="105"/>
      <c r="H61" s="120"/>
      <c r="I61" s="105"/>
      <c r="J61" s="105"/>
      <c r="K61" s="105"/>
      <c r="L61" s="105"/>
      <c r="M61" s="120"/>
      <c r="N61" s="120"/>
      <c r="O61" s="120"/>
      <c r="P61" s="105"/>
      <c r="Q61" s="105"/>
      <c r="R61" s="105"/>
      <c r="S61" s="121"/>
      <c r="T61" s="109"/>
    </row>
    <row r="62" spans="1:22" ht="16.5" customHeight="1" thickBot="1" x14ac:dyDescent="0.25">
      <c r="A62" s="67"/>
      <c r="B62" s="67"/>
      <c r="C62" s="67"/>
      <c r="D62" s="92"/>
      <c r="E62" s="67"/>
      <c r="F62" s="86"/>
      <c r="G62" s="67"/>
      <c r="H62" s="86"/>
      <c r="I62" s="67"/>
      <c r="J62" s="67"/>
      <c r="K62" s="67"/>
      <c r="L62" s="67"/>
      <c r="M62" s="67"/>
      <c r="N62" s="67"/>
      <c r="O62" s="67"/>
      <c r="P62" s="67"/>
      <c r="Q62" s="86"/>
      <c r="R62" s="67"/>
      <c r="S62" s="88"/>
      <c r="T62" s="67"/>
    </row>
    <row r="63" spans="1:22" ht="16.5" thickBot="1" x14ac:dyDescent="0.3">
      <c r="A63" s="58" t="s">
        <v>100</v>
      </c>
      <c r="D63" s="122"/>
      <c r="F63" s="147">
        <f>F44+F60</f>
        <v>2288356473.0880437</v>
      </c>
      <c r="G63" s="124"/>
      <c r="H63" s="147">
        <f>H44+H60</f>
        <v>71897919.773046494</v>
      </c>
      <c r="I63" s="124"/>
      <c r="J63" s="147">
        <f>J44+J60</f>
        <v>2907152.6895652171</v>
      </c>
      <c r="K63" s="124"/>
      <c r="L63" s="124"/>
      <c r="M63" s="147">
        <f>M44+M60</f>
        <v>707144.46543478256</v>
      </c>
      <c r="N63" s="77"/>
      <c r="O63" s="159">
        <f>O44+O60</f>
        <v>2316883.3983895178</v>
      </c>
      <c r="P63" s="124"/>
      <c r="Q63" s="159">
        <f>Q44+Q60</f>
        <v>77829100.326436013</v>
      </c>
      <c r="S63" s="160">
        <f>ROUND(Q63/(F44+F60),5)</f>
        <v>3.4009999999999999E-2</v>
      </c>
      <c r="V63" s="125"/>
    </row>
    <row r="64" spans="1:22" ht="15" customHeight="1" thickTop="1" x14ac:dyDescent="0.25">
      <c r="D64" s="122"/>
      <c r="F64" s="111"/>
      <c r="H64" s="111"/>
      <c r="Q64" s="111"/>
      <c r="S64" s="146"/>
    </row>
    <row r="65" spans="1:20" x14ac:dyDescent="0.2">
      <c r="A65" s="58" t="s">
        <v>101</v>
      </c>
      <c r="D65" s="122"/>
      <c r="F65" s="111"/>
      <c r="H65" s="111"/>
      <c r="M65" s="126"/>
      <c r="N65" s="126"/>
      <c r="O65" s="126"/>
      <c r="Q65" s="111"/>
    </row>
    <row r="66" spans="1:20" x14ac:dyDescent="0.2">
      <c r="F66" s="126"/>
      <c r="H66" s="126"/>
      <c r="M66" s="127"/>
      <c r="N66" s="127"/>
    </row>
    <row r="67" spans="1:20" ht="15.75" x14ac:dyDescent="0.25">
      <c r="A67" s="58" t="s">
        <v>105</v>
      </c>
      <c r="G67" s="132"/>
      <c r="H67" s="132"/>
      <c r="S67" s="58"/>
      <c r="T67" s="84"/>
    </row>
    <row r="68" spans="1:20" ht="15.75" x14ac:dyDescent="0.25">
      <c r="A68" s="58" t="s">
        <v>106</v>
      </c>
      <c r="S68" s="58"/>
    </row>
    <row r="69" spans="1:20" ht="13.5" customHeight="1" x14ac:dyDescent="0.2">
      <c r="A69" s="128"/>
      <c r="D69" s="122"/>
      <c r="F69" s="111"/>
      <c r="H69" s="111"/>
      <c r="S69" s="58"/>
      <c r="T69" s="84"/>
    </row>
    <row r="70" spans="1:20" x14ac:dyDescent="0.2">
      <c r="S70" s="58"/>
      <c r="T70" s="84"/>
    </row>
    <row r="71" spans="1:20" x14ac:dyDescent="0.2">
      <c r="A71" s="58" t="s">
        <v>110</v>
      </c>
      <c r="S71" s="58"/>
      <c r="T71" s="84"/>
    </row>
    <row r="72" spans="1:20" x14ac:dyDescent="0.2">
      <c r="A72" s="58" t="s">
        <v>102</v>
      </c>
      <c r="S72" s="58"/>
      <c r="T72" s="84"/>
    </row>
    <row r="73" spans="1:20" x14ac:dyDescent="0.2">
      <c r="A73" s="58" t="s">
        <v>103</v>
      </c>
      <c r="S73" s="58"/>
      <c r="T73" s="84"/>
    </row>
    <row r="74" spans="1:20" x14ac:dyDescent="0.2">
      <c r="A74" s="58" t="s">
        <v>104</v>
      </c>
      <c r="S74" s="58"/>
      <c r="T74" s="84"/>
    </row>
    <row r="82" spans="8:8" x14ac:dyDescent="0.2">
      <c r="H82" s="129"/>
    </row>
  </sheetData>
  <pageMargins left="0.5" right="0.5" top="1" bottom="1" header="0.5" footer="0.5"/>
  <pageSetup scale="46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83"/>
  <sheetViews>
    <sheetView zoomScale="70" zoomScaleNormal="70" zoomScaleSheetLayoutView="80" workbookViewId="0"/>
  </sheetViews>
  <sheetFormatPr defaultColWidth="9.7109375" defaultRowHeight="15" x14ac:dyDescent="0.2"/>
  <cols>
    <col min="1" max="1" width="42.85546875" style="58" customWidth="1"/>
    <col min="2" max="2" width="12.7109375" style="58" customWidth="1"/>
    <col min="3" max="3" width="2.7109375" style="58" customWidth="1"/>
    <col min="4" max="4" width="13.7109375" style="58" bestFit="1" customWidth="1"/>
    <col min="5" max="5" width="2.7109375" style="58" customWidth="1"/>
    <col min="6" max="6" width="18.85546875" style="58" bestFit="1" customWidth="1"/>
    <col min="7" max="7" width="2.7109375" style="58" customWidth="1"/>
    <col min="8" max="8" width="19" style="58" customWidth="1"/>
    <col min="9" max="9" width="2.7109375" style="58" customWidth="1"/>
    <col min="10" max="10" width="17" style="58" bestFit="1" customWidth="1"/>
    <col min="11" max="12" width="2.7109375" style="58" customWidth="1"/>
    <col min="13" max="13" width="15.85546875" style="58" customWidth="1"/>
    <col min="14" max="14" width="2.7109375" style="58" customWidth="1"/>
    <col min="15" max="15" width="15.85546875" style="58" customWidth="1"/>
    <col min="16" max="16" width="2.7109375" style="58" customWidth="1"/>
    <col min="17" max="17" width="15.7109375" style="58" customWidth="1"/>
    <col min="18" max="18" width="2.7109375" style="58" customWidth="1"/>
    <col min="19" max="19" width="13" style="84" customWidth="1"/>
    <col min="20" max="20" width="0.7109375" style="58" customWidth="1"/>
    <col min="21" max="21" width="10.28515625" style="58" customWidth="1"/>
    <col min="22" max="22" width="10.85546875" style="58" bestFit="1" customWidth="1"/>
    <col min="23" max="16384" width="9.7109375" style="58"/>
  </cols>
  <sheetData>
    <row r="1" spans="1:20" ht="15.75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163" t="s">
        <v>115</v>
      </c>
    </row>
    <row r="2" spans="1:20" ht="15.75" x14ac:dyDescent="0.25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163" t="s">
        <v>204</v>
      </c>
    </row>
    <row r="3" spans="1:20" ht="15.75" x14ac:dyDescent="0.25">
      <c r="A3" s="161">
        <v>42185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4" t="s">
        <v>117</v>
      </c>
    </row>
    <row r="4" spans="1:20" ht="15.75" x14ac:dyDescent="0.25">
      <c r="A4" s="162" t="s">
        <v>51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15.75" x14ac:dyDescent="0.25">
      <c r="A5" s="59" t="s">
        <v>52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/>
    </row>
    <row r="6" spans="1:20" ht="15.75" x14ac:dyDescent="0.25">
      <c r="A6" s="14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65"/>
    </row>
    <row r="7" spans="1:20" x14ac:dyDescent="0.2">
      <c r="A7" s="66"/>
      <c r="B7" s="67"/>
      <c r="C7" s="67"/>
      <c r="D7" s="67"/>
      <c r="E7" s="67"/>
      <c r="F7" s="67"/>
      <c r="G7" s="67"/>
      <c r="H7" s="68" t="s">
        <v>53</v>
      </c>
      <c r="I7" s="68"/>
      <c r="J7" s="68"/>
      <c r="K7" s="68"/>
      <c r="L7" s="68"/>
      <c r="M7" s="68"/>
      <c r="N7" s="68"/>
      <c r="O7" s="68"/>
      <c r="P7" s="68"/>
      <c r="Q7" s="68"/>
      <c r="R7" s="67"/>
      <c r="S7" s="69"/>
      <c r="T7" s="65"/>
    </row>
    <row r="8" spans="1:20" x14ac:dyDescent="0.2">
      <c r="A8" s="66"/>
      <c r="B8" s="67"/>
      <c r="C8" s="67"/>
      <c r="D8" s="67"/>
      <c r="E8" s="67"/>
      <c r="F8" s="67"/>
      <c r="G8" s="67"/>
      <c r="H8" s="67"/>
      <c r="I8" s="67"/>
      <c r="J8" s="70" t="s">
        <v>54</v>
      </c>
      <c r="K8" s="67"/>
      <c r="L8" s="67"/>
      <c r="M8" s="70" t="s">
        <v>55</v>
      </c>
      <c r="N8" s="70"/>
      <c r="O8" s="70"/>
      <c r="P8" s="67"/>
      <c r="Q8" s="67"/>
      <c r="R8" s="67"/>
      <c r="S8" s="69"/>
      <c r="T8" s="71"/>
    </row>
    <row r="9" spans="1:20" ht="31.5" customHeight="1" x14ac:dyDescent="0.2">
      <c r="A9" s="66"/>
      <c r="B9" s="138" t="s">
        <v>57</v>
      </c>
      <c r="C9" s="70"/>
      <c r="D9" s="138" t="s">
        <v>31</v>
      </c>
      <c r="E9" s="70"/>
      <c r="F9" s="138" t="s">
        <v>58</v>
      </c>
      <c r="G9" s="70"/>
      <c r="H9" s="138" t="s">
        <v>59</v>
      </c>
      <c r="I9" s="67"/>
      <c r="J9" s="149" t="s">
        <v>109</v>
      </c>
      <c r="K9" s="67"/>
      <c r="L9" s="67"/>
      <c r="M9" s="149" t="s">
        <v>60</v>
      </c>
      <c r="N9" s="70"/>
      <c r="O9" s="149" t="s">
        <v>107</v>
      </c>
      <c r="P9" s="67"/>
      <c r="Q9" s="138" t="s">
        <v>61</v>
      </c>
      <c r="R9" s="67"/>
      <c r="S9" s="150" t="s">
        <v>108</v>
      </c>
      <c r="T9" s="71"/>
    </row>
    <row r="10" spans="1:20" x14ac:dyDescent="0.2">
      <c r="A10" s="66" t="s">
        <v>62</v>
      </c>
      <c r="B10" s="72"/>
      <c r="C10" s="70"/>
      <c r="D10" s="72"/>
      <c r="E10" s="70"/>
      <c r="F10" s="72"/>
      <c r="G10" s="70"/>
      <c r="H10" s="72"/>
      <c r="I10" s="67"/>
      <c r="J10" s="72"/>
      <c r="K10" s="67"/>
      <c r="L10" s="67"/>
      <c r="M10" s="72"/>
      <c r="N10" s="72"/>
      <c r="O10" s="72"/>
      <c r="P10" s="67"/>
      <c r="Q10" s="72"/>
      <c r="R10" s="67"/>
      <c r="S10" s="73"/>
      <c r="T10" s="71"/>
    </row>
    <row r="11" spans="1:20" ht="15.75" x14ac:dyDescent="0.25">
      <c r="A11" s="74" t="s">
        <v>63</v>
      </c>
      <c r="B11" s="75">
        <v>45047</v>
      </c>
      <c r="C11" s="70"/>
      <c r="D11" s="81">
        <v>6.5327868852458986E-4</v>
      </c>
      <c r="E11" s="67"/>
      <c r="F11" s="76">
        <v>12900000</v>
      </c>
      <c r="G11" s="77"/>
      <c r="H11" s="76">
        <f t="shared" ref="H11:H21" si="0">ROUND(D11*F11,0)</f>
        <v>8427</v>
      </c>
      <c r="I11" s="70"/>
      <c r="J11" s="130">
        <v>11064.658032786883</v>
      </c>
      <c r="K11" s="70"/>
      <c r="L11" s="136"/>
      <c r="M11" s="76">
        <v>35975.285901639341</v>
      </c>
      <c r="N11" s="70"/>
      <c r="O11" s="131">
        <v>111176.21221648328</v>
      </c>
      <c r="P11" s="67" t="s">
        <v>64</v>
      </c>
      <c r="Q11" s="76">
        <f t="shared" ref="Q11:Q22" si="1">H11+J11+M11+O11</f>
        <v>166643.15615090949</v>
      </c>
      <c r="R11" s="67"/>
      <c r="S11" s="78">
        <f t="shared" ref="S11:S21" si="2">ROUND((Q11/F11),5)</f>
        <v>1.2919999999999999E-2</v>
      </c>
      <c r="T11" s="71"/>
    </row>
    <row r="12" spans="1:20" x14ac:dyDescent="0.2">
      <c r="A12" s="74" t="s">
        <v>65</v>
      </c>
      <c r="B12" s="75">
        <v>11720</v>
      </c>
      <c r="C12" s="70"/>
      <c r="D12" s="81">
        <v>3.0819672131147543E-3</v>
      </c>
      <c r="E12" s="67"/>
      <c r="F12" s="79">
        <v>20930000</v>
      </c>
      <c r="G12" s="67"/>
      <c r="H12" s="79">
        <f t="shared" si="0"/>
        <v>64506</v>
      </c>
      <c r="I12" s="70"/>
      <c r="J12" s="83">
        <v>4003.4281967213115</v>
      </c>
      <c r="K12" s="70"/>
      <c r="L12" s="80"/>
      <c r="M12" s="79">
        <v>36386.876065573779</v>
      </c>
      <c r="N12" s="70"/>
      <c r="O12" s="83">
        <v>20992.982708286549</v>
      </c>
      <c r="P12" s="67" t="s">
        <v>66</v>
      </c>
      <c r="Q12" s="79">
        <f t="shared" si="1"/>
        <v>125889.28697058166</v>
      </c>
      <c r="R12" s="67"/>
      <c r="S12" s="78">
        <f t="shared" si="2"/>
        <v>6.0099999999999997E-3</v>
      </c>
      <c r="T12" s="71"/>
    </row>
    <row r="13" spans="1:20" x14ac:dyDescent="0.2">
      <c r="A13" s="66" t="s">
        <v>67</v>
      </c>
      <c r="B13" s="75">
        <v>11720</v>
      </c>
      <c r="C13" s="70"/>
      <c r="D13" s="81">
        <v>3.0819672131147543E-3</v>
      </c>
      <c r="E13" s="67"/>
      <c r="F13" s="79">
        <v>2400000</v>
      </c>
      <c r="G13" s="67"/>
      <c r="H13" s="79">
        <f t="shared" si="0"/>
        <v>7397</v>
      </c>
      <c r="I13" s="70"/>
      <c r="J13" s="83">
        <v>2772.4475409836064</v>
      </c>
      <c r="K13" s="70"/>
      <c r="L13" s="80"/>
      <c r="M13" s="79">
        <v>4165.5993442622948</v>
      </c>
      <c r="N13" s="70"/>
      <c r="O13" s="83">
        <v>2407.2220974623847</v>
      </c>
      <c r="P13" s="67" t="s">
        <v>66</v>
      </c>
      <c r="Q13" s="79">
        <f t="shared" si="1"/>
        <v>16742.268982708287</v>
      </c>
      <c r="R13" s="67"/>
      <c r="S13" s="78">
        <f t="shared" si="2"/>
        <v>6.9800000000000001E-3</v>
      </c>
      <c r="T13" s="71"/>
    </row>
    <row r="14" spans="1:20" x14ac:dyDescent="0.2">
      <c r="A14" s="66" t="s">
        <v>68</v>
      </c>
      <c r="B14" s="75">
        <v>11720</v>
      </c>
      <c r="C14" s="70"/>
      <c r="D14" s="81">
        <v>3.0942622950819671E-3</v>
      </c>
      <c r="E14" s="67"/>
      <c r="F14" s="79">
        <v>2400000</v>
      </c>
      <c r="G14" s="67"/>
      <c r="H14" s="79">
        <f t="shared" si="0"/>
        <v>7426</v>
      </c>
      <c r="I14" s="70"/>
      <c r="J14" s="83">
        <v>1114.7331147540983</v>
      </c>
      <c r="K14" s="70"/>
      <c r="L14" s="80"/>
      <c r="M14" s="79">
        <v>12935.275081967213</v>
      </c>
      <c r="N14" s="70"/>
      <c r="O14" s="83">
        <v>2407.2220974623847</v>
      </c>
      <c r="P14" s="67" t="s">
        <v>66</v>
      </c>
      <c r="Q14" s="79">
        <f t="shared" si="1"/>
        <v>23883.230294183697</v>
      </c>
      <c r="R14" s="67"/>
      <c r="S14" s="78">
        <f t="shared" si="2"/>
        <v>9.9500000000000005E-3</v>
      </c>
      <c r="T14" s="71"/>
    </row>
    <row r="15" spans="1:20" x14ac:dyDescent="0.2">
      <c r="A15" s="74" t="s">
        <v>69</v>
      </c>
      <c r="B15" s="75">
        <v>11720</v>
      </c>
      <c r="C15" s="70"/>
      <c r="D15" s="81">
        <v>3.0942622950819671E-3</v>
      </c>
      <c r="E15" s="67"/>
      <c r="F15" s="79">
        <v>7400000</v>
      </c>
      <c r="G15" s="67"/>
      <c r="H15" s="79">
        <f t="shared" si="0"/>
        <v>22898</v>
      </c>
      <c r="I15" s="70"/>
      <c r="J15" s="83">
        <v>3081.8567213114757</v>
      </c>
      <c r="K15" s="70"/>
      <c r="L15" s="80"/>
      <c r="M15" s="79">
        <v>12784.093770491803</v>
      </c>
      <c r="N15" s="70"/>
      <c r="O15" s="83">
        <v>7422.2681338423527</v>
      </c>
      <c r="P15" s="67" t="s">
        <v>66</v>
      </c>
      <c r="Q15" s="79">
        <f t="shared" si="1"/>
        <v>46186.218625645626</v>
      </c>
      <c r="R15" s="67"/>
      <c r="S15" s="78">
        <f t="shared" si="2"/>
        <v>6.2399999999999999E-3</v>
      </c>
      <c r="T15" s="71"/>
    </row>
    <row r="16" spans="1:20" x14ac:dyDescent="0.2">
      <c r="A16" s="74" t="s">
        <v>70</v>
      </c>
      <c r="B16" s="75">
        <v>11963</v>
      </c>
      <c r="C16" s="70"/>
      <c r="D16" s="81">
        <v>2.1778688524590139E-3</v>
      </c>
      <c r="E16" s="67"/>
      <c r="F16" s="79">
        <v>96000000</v>
      </c>
      <c r="G16" s="67"/>
      <c r="H16" s="79">
        <f t="shared" si="0"/>
        <v>209075</v>
      </c>
      <c r="I16" s="70"/>
      <c r="J16" s="83">
        <v>72761.239672131152</v>
      </c>
      <c r="K16" s="70"/>
      <c r="L16" s="80"/>
      <c r="M16" s="79">
        <v>186498.69737704919</v>
      </c>
      <c r="N16" s="70"/>
      <c r="O16" s="83">
        <v>232532.43745789354</v>
      </c>
      <c r="P16" s="67" t="s">
        <v>71</v>
      </c>
      <c r="Q16" s="79">
        <f t="shared" si="1"/>
        <v>700867.3745070739</v>
      </c>
      <c r="R16" s="67"/>
      <c r="S16" s="78">
        <f t="shared" si="2"/>
        <v>7.3000000000000001E-3</v>
      </c>
      <c r="T16" s="71"/>
    </row>
    <row r="17" spans="1:20" ht="15.75" x14ac:dyDescent="0.25">
      <c r="A17" s="74" t="s">
        <v>72</v>
      </c>
      <c r="B17" s="75">
        <v>49218</v>
      </c>
      <c r="C17" s="70"/>
      <c r="D17" s="81">
        <v>6.1885245901639361E-4</v>
      </c>
      <c r="E17" s="67"/>
      <c r="F17" s="79">
        <v>50000000</v>
      </c>
      <c r="G17" s="67"/>
      <c r="H17" s="79">
        <f t="shared" si="0"/>
        <v>30943</v>
      </c>
      <c r="I17" s="70"/>
      <c r="J17" s="83">
        <v>10152.92262295082</v>
      </c>
      <c r="K17" s="70"/>
      <c r="L17" s="136"/>
      <c r="M17" s="79">
        <v>95165.558360655734</v>
      </c>
      <c r="N17" s="70"/>
      <c r="O17" s="83">
        <v>432771.26364248822</v>
      </c>
      <c r="P17" s="67" t="s">
        <v>64</v>
      </c>
      <c r="Q17" s="79">
        <f t="shared" si="1"/>
        <v>569032.74462609482</v>
      </c>
      <c r="R17" s="67"/>
      <c r="S17" s="78">
        <f t="shared" si="2"/>
        <v>1.1379999999999999E-2</v>
      </c>
      <c r="T17" s="71"/>
    </row>
    <row r="18" spans="1:20" x14ac:dyDescent="0.2">
      <c r="A18" s="74" t="s">
        <v>73</v>
      </c>
      <c r="B18" s="75">
        <v>49218</v>
      </c>
      <c r="C18" s="70"/>
      <c r="D18" s="81">
        <v>6.606557377049181E-4</v>
      </c>
      <c r="E18" s="67"/>
      <c r="F18" s="79">
        <v>54000000</v>
      </c>
      <c r="G18" s="67"/>
      <c r="H18" s="79">
        <f t="shared" si="0"/>
        <v>35675</v>
      </c>
      <c r="I18" s="70"/>
      <c r="J18" s="83">
        <v>47821.816721311479</v>
      </c>
      <c r="K18" s="70"/>
      <c r="L18" s="80"/>
      <c r="M18" s="79">
        <v>0</v>
      </c>
      <c r="N18" s="70"/>
      <c r="O18" s="83">
        <v>467893.1529306086</v>
      </c>
      <c r="P18" s="67" t="s">
        <v>64</v>
      </c>
      <c r="Q18" s="79">
        <f t="shared" si="1"/>
        <v>551389.96965192002</v>
      </c>
      <c r="R18" s="67"/>
      <c r="S18" s="78">
        <f t="shared" si="2"/>
        <v>1.021E-2</v>
      </c>
      <c r="T18" s="71"/>
    </row>
    <row r="19" spans="1:20" ht="15.75" x14ac:dyDescent="0.25">
      <c r="A19" s="74" t="s">
        <v>74</v>
      </c>
      <c r="B19" s="75">
        <v>46054</v>
      </c>
      <c r="C19" s="70"/>
      <c r="D19" s="81">
        <v>5.7500000000000002E-2</v>
      </c>
      <c r="E19" s="67"/>
      <c r="F19" s="79">
        <v>17875000</v>
      </c>
      <c r="G19" s="67"/>
      <c r="H19" s="79">
        <f t="shared" si="0"/>
        <v>1027813</v>
      </c>
      <c r="I19" s="70"/>
      <c r="J19" s="83">
        <v>10962.785901639343</v>
      </c>
      <c r="K19" s="70"/>
      <c r="L19" s="136"/>
      <c r="M19" s="79">
        <v>22457.52393442623</v>
      </c>
      <c r="N19" s="82"/>
      <c r="O19" s="83">
        <v>0</v>
      </c>
      <c r="P19" s="67"/>
      <c r="Q19" s="79">
        <f t="shared" si="1"/>
        <v>1061233.3098360656</v>
      </c>
      <c r="R19" s="67"/>
      <c r="S19" s="78">
        <f t="shared" si="2"/>
        <v>5.9369999999999999E-2</v>
      </c>
      <c r="T19" s="71"/>
    </row>
    <row r="20" spans="1:20" ht="15.75" x14ac:dyDescent="0.25">
      <c r="A20" s="74" t="s">
        <v>75</v>
      </c>
      <c r="B20" s="75">
        <v>50100</v>
      </c>
      <c r="C20" s="70"/>
      <c r="D20" s="81">
        <v>0.06</v>
      </c>
      <c r="E20" s="67"/>
      <c r="F20" s="79">
        <v>8927000</v>
      </c>
      <c r="G20" s="67"/>
      <c r="H20" s="79">
        <f t="shared" si="0"/>
        <v>535620</v>
      </c>
      <c r="I20" s="70"/>
      <c r="J20" s="83">
        <v>5283.6698360655737</v>
      </c>
      <c r="K20" s="70"/>
      <c r="L20" s="136"/>
      <c r="M20" s="79">
        <v>10829.728524590166</v>
      </c>
      <c r="N20" s="82"/>
      <c r="O20" s="83">
        <v>0</v>
      </c>
      <c r="P20" s="67"/>
      <c r="Q20" s="79">
        <f t="shared" si="1"/>
        <v>551733.39836065576</v>
      </c>
      <c r="R20" s="67"/>
      <c r="S20" s="78">
        <f t="shared" si="2"/>
        <v>6.1809999999999997E-2</v>
      </c>
      <c r="T20" s="71"/>
    </row>
    <row r="21" spans="1:20" x14ac:dyDescent="0.2">
      <c r="A21" s="74" t="s">
        <v>76</v>
      </c>
      <c r="B21" s="75">
        <v>11720</v>
      </c>
      <c r="C21" s="70"/>
      <c r="D21" s="81">
        <v>6.7131147540983602E-4</v>
      </c>
      <c r="E21" s="67"/>
      <c r="F21" s="79">
        <v>77947405</v>
      </c>
      <c r="G21" s="67"/>
      <c r="H21" s="79">
        <f t="shared" si="0"/>
        <v>52327</v>
      </c>
      <c r="I21" s="70"/>
      <c r="J21" s="83">
        <v>34393.454754098362</v>
      </c>
      <c r="K21" s="70"/>
      <c r="L21" s="80"/>
      <c r="M21" s="79">
        <v>0</v>
      </c>
      <c r="N21" s="70"/>
      <c r="O21" s="83">
        <v>675390.42391466431</v>
      </c>
      <c r="P21" s="67" t="s">
        <v>64</v>
      </c>
      <c r="Q21" s="79">
        <f t="shared" si="1"/>
        <v>762110.87866876263</v>
      </c>
      <c r="R21" s="67"/>
      <c r="S21" s="78">
        <f t="shared" si="2"/>
        <v>9.7800000000000005E-3</v>
      </c>
      <c r="T21" s="71"/>
    </row>
    <row r="22" spans="1:20" x14ac:dyDescent="0.2">
      <c r="A22" s="74" t="s">
        <v>77</v>
      </c>
      <c r="B22" s="75"/>
      <c r="C22" s="70"/>
      <c r="D22" s="81"/>
      <c r="E22" s="67"/>
      <c r="F22" s="82"/>
      <c r="G22" s="67"/>
      <c r="H22" s="82">
        <v>0</v>
      </c>
      <c r="I22" s="70"/>
      <c r="J22" s="82">
        <v>0</v>
      </c>
      <c r="K22" s="70"/>
      <c r="L22" s="70">
        <v>1</v>
      </c>
      <c r="M22" s="79">
        <v>110542.08098360656</v>
      </c>
      <c r="N22" s="79"/>
      <c r="O22" s="83"/>
      <c r="P22" s="67"/>
      <c r="Q22" s="79">
        <f t="shared" si="1"/>
        <v>110542.08098360656</v>
      </c>
      <c r="R22" s="67"/>
      <c r="S22" s="78"/>
      <c r="T22" s="71"/>
    </row>
    <row r="23" spans="1:20" x14ac:dyDescent="0.2">
      <c r="A23" s="66"/>
      <c r="C23" s="85"/>
      <c r="D23" s="84"/>
      <c r="I23" s="85"/>
      <c r="T23" s="71"/>
    </row>
    <row r="24" spans="1:20" x14ac:dyDescent="0.2">
      <c r="A24" s="74" t="s">
        <v>78</v>
      </c>
      <c r="B24" s="75"/>
      <c r="C24" s="70"/>
      <c r="D24" s="81"/>
      <c r="E24" s="67"/>
      <c r="F24" s="79"/>
      <c r="G24" s="67"/>
      <c r="H24" s="79"/>
      <c r="I24" s="70"/>
      <c r="J24" s="83"/>
      <c r="K24" s="86"/>
      <c r="L24" s="86"/>
      <c r="M24" s="82"/>
      <c r="N24" s="82"/>
      <c r="O24" s="83"/>
      <c r="P24" s="67"/>
      <c r="Q24" s="79"/>
      <c r="R24" s="67"/>
      <c r="S24" s="78"/>
      <c r="T24" s="71"/>
    </row>
    <row r="25" spans="1:20" x14ac:dyDescent="0.2">
      <c r="A25" s="74" t="s">
        <v>79</v>
      </c>
      <c r="B25" s="75">
        <v>42309</v>
      </c>
      <c r="C25" s="70"/>
      <c r="D25" s="87">
        <v>1.6250000000000001E-2</v>
      </c>
      <c r="E25" s="67"/>
      <c r="F25" s="79">
        <v>250000000</v>
      </c>
      <c r="G25" s="67"/>
      <c r="H25" s="79">
        <f t="shared" ref="H25:H29" si="3">ROUND(D25*F25,0)</f>
        <v>4062500</v>
      </c>
      <c r="I25" s="70"/>
      <c r="J25" s="83">
        <v>469260.61770491808</v>
      </c>
      <c r="K25" s="86" t="s">
        <v>80</v>
      </c>
      <c r="L25" s="86"/>
      <c r="M25" s="82"/>
      <c r="N25" s="82"/>
      <c r="O25" s="83">
        <v>0</v>
      </c>
      <c r="P25" s="67"/>
      <c r="Q25" s="79">
        <f t="shared" ref="Q25:Q33" si="4">H25+J25+M25+O25</f>
        <v>4531760.6177049177</v>
      </c>
      <c r="R25" s="67"/>
      <c r="S25" s="78">
        <f t="shared" ref="S25:S32" si="5">ROUND((Q25/F25),5)</f>
        <v>1.813E-2</v>
      </c>
      <c r="T25" s="71"/>
    </row>
    <row r="26" spans="1:20" x14ac:dyDescent="0.2">
      <c r="A26" s="66" t="s">
        <v>81</v>
      </c>
      <c r="B26" s="75">
        <v>42309</v>
      </c>
      <c r="C26" s="70"/>
      <c r="D26" s="87">
        <v>1.6250000000000001E-2</v>
      </c>
      <c r="E26" s="70"/>
      <c r="F26" s="79">
        <v>-86463.251967213117</v>
      </c>
      <c r="H26" s="79"/>
      <c r="I26" s="70"/>
      <c r="J26" s="83">
        <v>176883.54393442621</v>
      </c>
      <c r="K26" s="86" t="s">
        <v>80</v>
      </c>
      <c r="L26" s="86"/>
      <c r="M26" s="82"/>
      <c r="N26" s="82"/>
      <c r="O26" s="83"/>
      <c r="P26" s="67"/>
      <c r="Q26" s="79">
        <f t="shared" si="4"/>
        <v>176883.54393442621</v>
      </c>
      <c r="R26" s="67"/>
      <c r="S26" s="78">
        <f t="shared" si="5"/>
        <v>-2.0457700000000001</v>
      </c>
      <c r="T26" s="71"/>
    </row>
    <row r="27" spans="1:20" x14ac:dyDescent="0.2">
      <c r="A27" s="74" t="s">
        <v>82</v>
      </c>
      <c r="B27" s="75">
        <v>44136</v>
      </c>
      <c r="C27" s="70"/>
      <c r="D27" s="87">
        <v>3.2500000000000001E-2</v>
      </c>
      <c r="E27" s="67"/>
      <c r="F27" s="79">
        <v>500000000</v>
      </c>
      <c r="H27" s="79">
        <f t="shared" si="3"/>
        <v>16250000</v>
      </c>
      <c r="I27" s="70"/>
      <c r="J27" s="83">
        <v>421194.09344262298</v>
      </c>
      <c r="K27" s="86" t="s">
        <v>80</v>
      </c>
      <c r="L27" s="86"/>
      <c r="M27" s="82"/>
      <c r="N27" s="82"/>
      <c r="O27" s="83">
        <v>0</v>
      </c>
      <c r="P27" s="67"/>
      <c r="Q27" s="79">
        <f t="shared" si="4"/>
        <v>16671194.093442623</v>
      </c>
      <c r="R27" s="67"/>
      <c r="S27" s="78">
        <f t="shared" si="5"/>
        <v>3.3340000000000002E-2</v>
      </c>
      <c r="T27" s="71"/>
    </row>
    <row r="28" spans="1:20" x14ac:dyDescent="0.2">
      <c r="A28" s="66" t="s">
        <v>81</v>
      </c>
      <c r="B28" s="75">
        <v>42309</v>
      </c>
      <c r="C28" s="70"/>
      <c r="D28" s="87">
        <v>3.2500000000000001E-2</v>
      </c>
      <c r="E28" s="70"/>
      <c r="F28" s="79">
        <v>-1039181.8299180327</v>
      </c>
      <c r="H28" s="79"/>
      <c r="I28" s="70"/>
      <c r="J28" s="83">
        <v>190194.03934426227</v>
      </c>
      <c r="K28" s="86" t="s">
        <v>80</v>
      </c>
      <c r="L28" s="86"/>
      <c r="M28" s="82"/>
      <c r="N28" s="82"/>
      <c r="O28" s="83"/>
      <c r="P28" s="67"/>
      <c r="Q28" s="79">
        <f t="shared" si="4"/>
        <v>190194.03934426227</v>
      </c>
      <c r="R28" s="67"/>
      <c r="S28" s="78">
        <f t="shared" si="5"/>
        <v>-0.18301999999999999</v>
      </c>
      <c r="T28" s="71"/>
    </row>
    <row r="29" spans="1:20" x14ac:dyDescent="0.2">
      <c r="A29" s="74" t="s">
        <v>83</v>
      </c>
      <c r="B29" s="75">
        <v>51441</v>
      </c>
      <c r="C29" s="70"/>
      <c r="D29" s="87">
        <v>5.1249999999999997E-2</v>
      </c>
      <c r="E29" s="67"/>
      <c r="F29" s="79">
        <v>750000000</v>
      </c>
      <c r="H29" s="79">
        <f t="shared" si="3"/>
        <v>38437500</v>
      </c>
      <c r="I29" s="70"/>
      <c r="J29" s="83">
        <v>250538.21311475409</v>
      </c>
      <c r="K29" s="86" t="s">
        <v>80</v>
      </c>
      <c r="L29" s="86"/>
      <c r="M29" s="82"/>
      <c r="N29" s="82"/>
      <c r="O29" s="83">
        <v>0</v>
      </c>
      <c r="P29" s="67"/>
      <c r="Q29" s="79">
        <f t="shared" si="4"/>
        <v>38688038.213114753</v>
      </c>
      <c r="R29" s="67"/>
      <c r="S29" s="78">
        <f t="shared" si="5"/>
        <v>5.1580000000000001E-2</v>
      </c>
      <c r="T29" s="71"/>
    </row>
    <row r="30" spans="1:20" x14ac:dyDescent="0.2">
      <c r="A30" s="66" t="s">
        <v>81</v>
      </c>
      <c r="B30" s="75">
        <v>51441</v>
      </c>
      <c r="C30" s="70"/>
      <c r="D30" s="87">
        <v>5.1249999999999997E-2</v>
      </c>
      <c r="E30" s="70"/>
      <c r="F30" s="79">
        <v>-6917108.4338524593</v>
      </c>
      <c r="H30" s="79"/>
      <c r="I30" s="70"/>
      <c r="J30" s="83">
        <v>272240.28393442626</v>
      </c>
      <c r="K30" s="86" t="s">
        <v>80</v>
      </c>
      <c r="L30" s="86"/>
      <c r="M30" s="82"/>
      <c r="N30" s="82"/>
      <c r="O30" s="83"/>
      <c r="P30" s="67"/>
      <c r="Q30" s="79">
        <f t="shared" si="4"/>
        <v>272240.28393442626</v>
      </c>
      <c r="R30" s="67"/>
      <c r="S30" s="78">
        <f t="shared" si="5"/>
        <v>-3.9359999999999999E-2</v>
      </c>
      <c r="T30" s="71"/>
    </row>
    <row r="31" spans="1:20" x14ac:dyDescent="0.2">
      <c r="A31" s="74" t="s">
        <v>84</v>
      </c>
      <c r="B31" s="75">
        <v>52550</v>
      </c>
      <c r="C31" s="70"/>
      <c r="D31" s="87">
        <v>4.65E-2</v>
      </c>
      <c r="E31" s="70"/>
      <c r="F31" s="79">
        <v>250000000</v>
      </c>
      <c r="H31" s="79">
        <f>ROUND(D31*F31,0)</f>
        <v>11625000</v>
      </c>
      <c r="I31" s="70"/>
      <c r="J31" s="83">
        <v>92522.838688524585</v>
      </c>
      <c r="K31" s="86" t="s">
        <v>80</v>
      </c>
      <c r="L31" s="86"/>
      <c r="M31" s="82"/>
      <c r="N31" s="82"/>
      <c r="O31" s="83"/>
      <c r="P31" s="67"/>
      <c r="Q31" s="79">
        <f t="shared" si="4"/>
        <v>11717522.838688524</v>
      </c>
      <c r="R31" s="67"/>
      <c r="S31" s="78">
        <f t="shared" si="5"/>
        <v>4.6870000000000002E-2</v>
      </c>
      <c r="T31" s="71"/>
    </row>
    <row r="32" spans="1:20" x14ac:dyDescent="0.2">
      <c r="A32" s="66" t="s">
        <v>81</v>
      </c>
      <c r="B32" s="75">
        <v>52550</v>
      </c>
      <c r="C32" s="70"/>
      <c r="D32" s="87">
        <v>4.65E-2</v>
      </c>
      <c r="E32" s="70"/>
      <c r="F32" s="79">
        <v>-1710088.5051639343</v>
      </c>
      <c r="H32" s="79"/>
      <c r="I32" s="70"/>
      <c r="J32" s="83">
        <v>60136.607213114745</v>
      </c>
      <c r="K32" s="86" t="s">
        <v>80</v>
      </c>
      <c r="L32" s="86"/>
      <c r="M32" s="82"/>
      <c r="N32" s="82"/>
      <c r="O32" s="83"/>
      <c r="P32" s="67"/>
      <c r="Q32" s="79">
        <f t="shared" si="4"/>
        <v>60136.607213114745</v>
      </c>
      <c r="R32" s="67"/>
      <c r="S32" s="78">
        <f t="shared" si="5"/>
        <v>-3.517E-2</v>
      </c>
      <c r="T32" s="71"/>
    </row>
    <row r="33" spans="1:20" ht="17.25" customHeight="1" x14ac:dyDescent="0.2">
      <c r="A33" s="66" t="s">
        <v>85</v>
      </c>
      <c r="B33" s="142">
        <v>52550</v>
      </c>
      <c r="D33" s="88"/>
      <c r="E33" s="67"/>
      <c r="F33" s="89"/>
      <c r="G33" s="70"/>
      <c r="H33" s="89">
        <v>-1438018.2157377049</v>
      </c>
      <c r="I33" s="70"/>
      <c r="J33" s="89"/>
      <c r="K33" s="143"/>
      <c r="L33" s="143"/>
      <c r="M33" s="89"/>
      <c r="N33" s="89"/>
      <c r="O33" s="89"/>
      <c r="P33" s="67"/>
      <c r="Q33" s="79">
        <f t="shared" si="4"/>
        <v>-1438018.2157377049</v>
      </c>
      <c r="R33" s="67"/>
      <c r="S33" s="134">
        <f>ROUND((Q33/43027967.76),5)</f>
        <v>-3.3419999999999998E-2</v>
      </c>
      <c r="T33" s="71"/>
    </row>
    <row r="34" spans="1:20" x14ac:dyDescent="0.2">
      <c r="A34" s="66"/>
      <c r="B34" s="75"/>
      <c r="C34" s="70"/>
      <c r="D34" s="81"/>
      <c r="E34" s="67"/>
      <c r="F34" s="79"/>
      <c r="G34" s="70"/>
      <c r="H34" s="79"/>
      <c r="I34" s="70"/>
      <c r="J34" s="83"/>
      <c r="K34" s="86"/>
      <c r="L34" s="86"/>
      <c r="M34" s="82"/>
      <c r="N34" s="82"/>
      <c r="O34" s="83"/>
      <c r="P34" s="67"/>
      <c r="Q34" s="79"/>
      <c r="R34" s="67"/>
      <c r="S34" s="78"/>
      <c r="T34" s="71"/>
    </row>
    <row r="35" spans="1:20" x14ac:dyDescent="0.2">
      <c r="A35" s="66" t="s">
        <v>111</v>
      </c>
      <c r="B35" s="75">
        <v>42090</v>
      </c>
      <c r="C35" s="70"/>
      <c r="D35" s="81"/>
      <c r="E35" s="67"/>
      <c r="F35" s="79"/>
      <c r="G35" s="70"/>
      <c r="H35" s="79"/>
      <c r="I35" s="70"/>
      <c r="J35" s="83">
        <v>473.23278688524584</v>
      </c>
      <c r="K35" s="86"/>
      <c r="L35" s="86"/>
      <c r="M35" s="82"/>
      <c r="N35" s="82"/>
      <c r="O35" s="83"/>
      <c r="P35" s="67"/>
      <c r="Q35" s="79">
        <f>H35+J35+M35+O35</f>
        <v>473.23278688524584</v>
      </c>
      <c r="R35" s="67"/>
      <c r="S35" s="78"/>
      <c r="T35" s="71"/>
    </row>
    <row r="36" spans="1:20" x14ac:dyDescent="0.2">
      <c r="A36" s="74" t="s">
        <v>86</v>
      </c>
      <c r="B36" s="75">
        <v>43674</v>
      </c>
      <c r="C36" s="67"/>
      <c r="D36" s="90"/>
      <c r="E36" s="67"/>
      <c r="F36" s="79"/>
      <c r="G36" s="67"/>
      <c r="H36" s="79"/>
      <c r="I36" s="70"/>
      <c r="J36" s="100">
        <v>538107.78393442626</v>
      </c>
      <c r="K36" s="70"/>
      <c r="L36" s="140">
        <v>2</v>
      </c>
      <c r="M36" s="82">
        <v>53577.86557377049</v>
      </c>
      <c r="N36" s="70"/>
      <c r="O36" s="83">
        <v>501504.60363799689</v>
      </c>
      <c r="P36" s="67" t="s">
        <v>87</v>
      </c>
      <c r="Q36" s="79">
        <f>H36+J36+M36+O36</f>
        <v>1093190.2531461937</v>
      </c>
      <c r="R36" s="67"/>
      <c r="S36" s="78"/>
      <c r="T36" s="71"/>
    </row>
    <row r="37" spans="1:20" x14ac:dyDescent="0.2">
      <c r="A37" s="74" t="s">
        <v>88</v>
      </c>
      <c r="B37" s="75">
        <v>41758</v>
      </c>
      <c r="C37" s="67"/>
      <c r="D37" s="90"/>
      <c r="E37" s="67"/>
      <c r="F37" s="79"/>
      <c r="G37" s="67"/>
      <c r="H37" s="79"/>
      <c r="I37" s="70"/>
      <c r="J37" s="100">
        <v>221570.50032786885</v>
      </c>
      <c r="K37" s="70"/>
      <c r="L37" s="67"/>
      <c r="M37" s="82">
        <v>104245.81770491804</v>
      </c>
      <c r="N37" s="82"/>
      <c r="O37" s="83"/>
      <c r="P37" s="67"/>
      <c r="Q37" s="79">
        <f>H37+J37+M37+O37</f>
        <v>325816.31803278689</v>
      </c>
      <c r="R37" s="67"/>
      <c r="S37" s="78"/>
      <c r="T37" s="71"/>
    </row>
    <row r="38" spans="1:20" ht="15.75" thickBot="1" x14ac:dyDescent="0.25">
      <c r="A38" s="74"/>
      <c r="B38" s="75"/>
      <c r="C38" s="67"/>
      <c r="D38" s="90"/>
      <c r="E38" s="67"/>
      <c r="F38" s="79"/>
      <c r="G38" s="67"/>
      <c r="H38" s="79"/>
      <c r="I38" s="67"/>
      <c r="J38" s="83"/>
      <c r="K38" s="86"/>
      <c r="L38" s="86"/>
      <c r="M38" s="82"/>
      <c r="N38" s="82"/>
      <c r="O38" s="83"/>
      <c r="P38" s="67"/>
      <c r="Q38" s="79"/>
      <c r="R38" s="67"/>
      <c r="S38" s="78"/>
      <c r="T38" s="71"/>
    </row>
    <row r="39" spans="1:20" ht="16.5" thickBot="1" x14ac:dyDescent="0.3">
      <c r="A39" s="91" t="s">
        <v>89</v>
      </c>
      <c r="B39" s="67"/>
      <c r="C39" s="67"/>
      <c r="D39" s="92"/>
      <c r="E39" s="67"/>
      <c r="F39" s="93">
        <f>SUM(F11:F38)</f>
        <v>2091026562.9790983</v>
      </c>
      <c r="G39" s="77"/>
      <c r="H39" s="93">
        <f>SUM(H11:H38)</f>
        <v>70939088.7842623</v>
      </c>
      <c r="I39" s="77"/>
      <c r="J39" s="93">
        <f>SUM(J11:J38)</f>
        <v>2896534.7675409843</v>
      </c>
      <c r="K39" s="76"/>
      <c r="L39" s="76"/>
      <c r="M39" s="93">
        <f>SUM(M11:M38)</f>
        <v>685564.40262295073</v>
      </c>
      <c r="N39" s="148"/>
      <c r="O39" s="93">
        <f>SUM(O11:O38)</f>
        <v>2454497.7888371889</v>
      </c>
      <c r="P39" s="94"/>
      <c r="Q39" s="93">
        <f>SUM(Q11:Q38)</f>
        <v>76975685.743263409</v>
      </c>
      <c r="R39" s="67"/>
      <c r="S39" s="95">
        <f>ROUND((Q39/F45),5)</f>
        <v>3.6810000000000002E-2</v>
      </c>
      <c r="T39" s="71"/>
    </row>
    <row r="40" spans="1:20" ht="15.75" x14ac:dyDescent="0.25">
      <c r="A40" s="74"/>
      <c r="B40" s="67"/>
      <c r="C40" s="67"/>
      <c r="D40" s="92"/>
      <c r="E40" s="67"/>
      <c r="F40" s="80"/>
      <c r="G40" s="67"/>
      <c r="H40" s="80"/>
      <c r="I40" s="67"/>
      <c r="J40" s="80"/>
      <c r="K40" s="86"/>
      <c r="L40" s="86"/>
      <c r="M40" s="86"/>
      <c r="N40" s="86"/>
      <c r="O40" s="86"/>
      <c r="P40" s="96"/>
      <c r="Q40" s="86"/>
      <c r="R40" s="67"/>
      <c r="S40" s="97"/>
      <c r="T40" s="71"/>
    </row>
    <row r="41" spans="1:20" ht="15.75" x14ac:dyDescent="0.25">
      <c r="A41" s="66" t="s">
        <v>90</v>
      </c>
      <c r="B41" s="67"/>
      <c r="C41" s="137"/>
      <c r="D41" s="92"/>
      <c r="E41" s="67"/>
      <c r="F41" s="98">
        <v>0</v>
      </c>
      <c r="G41" s="77"/>
      <c r="H41" s="76">
        <v>0</v>
      </c>
      <c r="I41" s="77"/>
      <c r="J41" s="98">
        <v>0</v>
      </c>
      <c r="K41" s="98"/>
      <c r="L41" s="98"/>
      <c r="M41" s="98">
        <v>0</v>
      </c>
      <c r="N41" s="98"/>
      <c r="O41" s="98">
        <v>0</v>
      </c>
      <c r="P41" s="77"/>
      <c r="Q41" s="76">
        <v>0</v>
      </c>
      <c r="R41" s="67"/>
      <c r="S41" s="99"/>
      <c r="T41" s="71"/>
    </row>
    <row r="42" spans="1:20" ht="15.75" thickBot="1" x14ac:dyDescent="0.25">
      <c r="A42" s="66"/>
      <c r="B42" s="75"/>
      <c r="C42" s="67"/>
      <c r="D42" s="81"/>
      <c r="E42" s="67"/>
      <c r="F42" s="100"/>
      <c r="G42" s="89"/>
      <c r="H42" s="79"/>
      <c r="I42" s="89"/>
      <c r="J42" s="100"/>
      <c r="K42" s="100"/>
      <c r="L42" s="100"/>
      <c r="M42" s="100"/>
      <c r="N42" s="100"/>
      <c r="O42" s="100"/>
      <c r="P42" s="89"/>
      <c r="Q42" s="79"/>
      <c r="R42" s="67"/>
      <c r="S42" s="78"/>
      <c r="T42" s="71"/>
    </row>
    <row r="43" spans="1:20" ht="16.5" thickBot="1" x14ac:dyDescent="0.3">
      <c r="A43" s="91" t="s">
        <v>91</v>
      </c>
      <c r="B43" s="67"/>
      <c r="C43" s="67"/>
      <c r="D43" s="92"/>
      <c r="E43" s="67"/>
      <c r="F43" s="101">
        <f>SUM(F41:F42)</f>
        <v>0</v>
      </c>
      <c r="G43" s="77"/>
      <c r="H43" s="101">
        <f>SUM(H41:H42)</f>
        <v>0</v>
      </c>
      <c r="I43" s="77"/>
      <c r="J43" s="101">
        <f>SUM(J41:J42)</f>
        <v>0</v>
      </c>
      <c r="K43" s="76"/>
      <c r="L43" s="76"/>
      <c r="M43" s="101">
        <f>SUM(M41:M42)</f>
        <v>0</v>
      </c>
      <c r="N43" s="76"/>
      <c r="O43" s="101">
        <f>SUM(O41:O42)</f>
        <v>0</v>
      </c>
      <c r="P43" s="76"/>
      <c r="Q43" s="101">
        <f>SUM(Q41:Q42)</f>
        <v>0</v>
      </c>
      <c r="R43" s="67"/>
      <c r="S43" s="95">
        <f>ROUND(+Q43/F45,5)</f>
        <v>0</v>
      </c>
      <c r="T43" s="71"/>
    </row>
    <row r="44" spans="1:20" ht="15.75" thickBot="1" x14ac:dyDescent="0.25">
      <c r="A44" s="66"/>
      <c r="B44" s="67"/>
      <c r="C44" s="67"/>
      <c r="D44" s="92"/>
      <c r="E44" s="67"/>
      <c r="F44" s="86"/>
      <c r="G44" s="67"/>
      <c r="H44" s="86"/>
      <c r="I44" s="67"/>
      <c r="J44" s="80"/>
      <c r="K44" s="86"/>
      <c r="L44" s="86"/>
      <c r="M44" s="86"/>
      <c r="N44" s="86"/>
      <c r="O44" s="86"/>
      <c r="P44" s="86"/>
      <c r="Q44" s="86"/>
      <c r="R44" s="67"/>
      <c r="S44" s="69"/>
      <c r="T44" s="71"/>
    </row>
    <row r="45" spans="1:20" ht="16.5" thickBot="1" x14ac:dyDescent="0.3">
      <c r="A45" s="66"/>
      <c r="B45" s="67"/>
      <c r="C45" s="67"/>
      <c r="D45" s="102" t="s">
        <v>61</v>
      </c>
      <c r="E45" s="67"/>
      <c r="F45" s="103">
        <f>F39+F43</f>
        <v>2091026562.9790983</v>
      </c>
      <c r="G45" s="77"/>
      <c r="H45" s="103">
        <f>H39+H43</f>
        <v>70939088.7842623</v>
      </c>
      <c r="I45" s="77"/>
      <c r="J45" s="103">
        <f>J39+J43</f>
        <v>2896534.7675409843</v>
      </c>
      <c r="K45" s="76"/>
      <c r="L45" s="76"/>
      <c r="M45" s="103">
        <f>M39+M43</f>
        <v>685564.40262295073</v>
      </c>
      <c r="N45" s="76"/>
      <c r="O45" s="103">
        <f>O39+O43</f>
        <v>2454497.7888371889</v>
      </c>
      <c r="P45" s="76"/>
      <c r="Q45" s="103">
        <f>Q39+Q43</f>
        <v>76975685.743263409</v>
      </c>
      <c r="R45" s="67"/>
      <c r="S45" s="95">
        <f>ROUND(Q45/F45,5)</f>
        <v>3.6810000000000002E-2</v>
      </c>
      <c r="T45" s="71"/>
    </row>
    <row r="46" spans="1:20" ht="16.5" thickTop="1" x14ac:dyDescent="0.25">
      <c r="A46" s="104"/>
      <c r="B46" s="105"/>
      <c r="C46" s="105"/>
      <c r="D46" s="106"/>
      <c r="E46" s="105"/>
      <c r="F46" s="107"/>
      <c r="G46" s="105"/>
      <c r="H46" s="107"/>
      <c r="I46" s="105"/>
      <c r="J46" s="107"/>
      <c r="K46" s="107"/>
      <c r="L46" s="107"/>
      <c r="M46" s="138"/>
      <c r="N46" s="138"/>
      <c r="O46" s="107"/>
      <c r="P46" s="107"/>
      <c r="Q46" s="107"/>
      <c r="R46" s="105"/>
      <c r="S46" s="108"/>
      <c r="T46" s="109"/>
    </row>
    <row r="47" spans="1:20" ht="15.75" x14ac:dyDescent="0.25">
      <c r="D47" s="110"/>
      <c r="F47" s="111"/>
      <c r="H47" s="111"/>
      <c r="J47" s="111"/>
      <c r="K47" s="139"/>
      <c r="L47" s="139"/>
      <c r="M47" s="111"/>
      <c r="N47" s="111"/>
      <c r="O47" s="140"/>
      <c r="P47" s="111"/>
      <c r="Q47" s="111"/>
      <c r="S47" s="112"/>
    </row>
    <row r="48" spans="1:20" ht="15.75" x14ac:dyDescent="0.25">
      <c r="D48" s="110"/>
      <c r="F48" s="113"/>
      <c r="H48" s="111"/>
      <c r="J48" s="111"/>
      <c r="K48" s="139"/>
      <c r="L48" s="139"/>
      <c r="M48" s="111"/>
      <c r="N48" s="111"/>
      <c r="O48" s="140"/>
      <c r="P48" s="111"/>
      <c r="Q48" s="111"/>
      <c r="S48" s="112"/>
    </row>
    <row r="49" spans="1:22" ht="15.75" x14ac:dyDescent="0.25">
      <c r="D49" s="110"/>
      <c r="F49" s="113"/>
      <c r="H49" s="111"/>
      <c r="J49" s="111"/>
      <c r="K49" s="139"/>
      <c r="M49" s="114"/>
      <c r="N49" s="111"/>
      <c r="O49" s="140"/>
      <c r="P49" s="111"/>
      <c r="Q49" s="111"/>
      <c r="S49" s="112"/>
    </row>
    <row r="50" spans="1:22" ht="15.75" x14ac:dyDescent="0.25">
      <c r="A50" s="59" t="s">
        <v>92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2"/>
    </row>
    <row r="51" spans="1:22" x14ac:dyDescent="0.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88"/>
      <c r="T51" s="71"/>
    </row>
    <row r="52" spans="1:22" x14ac:dyDescent="0.2">
      <c r="A52" s="66"/>
      <c r="B52" s="67"/>
      <c r="C52" s="67"/>
      <c r="D52" s="67"/>
      <c r="E52" s="67"/>
      <c r="F52" s="67"/>
      <c r="G52" s="67"/>
      <c r="H52" s="68" t="s">
        <v>53</v>
      </c>
      <c r="I52" s="68"/>
      <c r="J52" s="68"/>
      <c r="K52" s="68"/>
      <c r="L52" s="68"/>
      <c r="M52" s="68"/>
      <c r="N52" s="68"/>
      <c r="O52" s="68"/>
      <c r="P52" s="68"/>
      <c r="Q52" s="68"/>
      <c r="R52" s="67"/>
      <c r="S52" s="88"/>
      <c r="T52" s="71"/>
    </row>
    <row r="53" spans="1:22" x14ac:dyDescent="0.2">
      <c r="A53" s="66"/>
      <c r="B53" s="67"/>
      <c r="C53" s="67"/>
      <c r="D53" s="67"/>
      <c r="E53" s="67"/>
      <c r="F53" s="67"/>
      <c r="G53" s="67"/>
      <c r="H53" s="67"/>
      <c r="I53" s="67"/>
      <c r="J53" s="70"/>
      <c r="K53" s="67"/>
      <c r="L53" s="67"/>
      <c r="M53" s="70"/>
      <c r="N53" s="70"/>
      <c r="O53" s="70"/>
      <c r="P53" s="67"/>
      <c r="Q53" s="67"/>
      <c r="R53" s="67"/>
      <c r="S53" s="69" t="s">
        <v>56</v>
      </c>
      <c r="T53" s="65"/>
    </row>
    <row r="54" spans="1:22" x14ac:dyDescent="0.2">
      <c r="A54" s="66"/>
      <c r="B54" s="67"/>
      <c r="C54" s="115"/>
      <c r="D54" s="138" t="s">
        <v>31</v>
      </c>
      <c r="E54" s="67"/>
      <c r="F54" s="138" t="s">
        <v>58</v>
      </c>
      <c r="G54" s="70"/>
      <c r="H54" s="138" t="s">
        <v>59</v>
      </c>
      <c r="I54" s="70"/>
      <c r="J54" s="138" t="s">
        <v>93</v>
      </c>
      <c r="K54" s="70"/>
      <c r="L54" s="70"/>
      <c r="M54" s="138" t="s">
        <v>94</v>
      </c>
      <c r="N54" s="70"/>
      <c r="O54" s="138" t="s">
        <v>95</v>
      </c>
      <c r="P54" s="70"/>
      <c r="Q54" s="138" t="s">
        <v>61</v>
      </c>
      <c r="R54" s="67"/>
      <c r="S54" s="151" t="s">
        <v>26</v>
      </c>
      <c r="T54" s="116"/>
    </row>
    <row r="55" spans="1:22" x14ac:dyDescent="0.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17"/>
      <c r="T55" s="71"/>
    </row>
    <row r="56" spans="1:22" x14ac:dyDescent="0.2">
      <c r="A56" s="66" t="s">
        <v>96</v>
      </c>
      <c r="B56" s="67"/>
      <c r="C56" s="70"/>
      <c r="D56" s="134">
        <v>0</v>
      </c>
      <c r="E56" s="67"/>
      <c r="F56" s="76">
        <v>0</v>
      </c>
      <c r="G56" s="77"/>
      <c r="H56" s="76">
        <f>ROUND(F56*D56,0)</f>
        <v>0</v>
      </c>
      <c r="I56" s="77"/>
      <c r="J56" s="98">
        <v>0</v>
      </c>
      <c r="K56" s="98"/>
      <c r="L56" s="98"/>
      <c r="M56" s="98">
        <v>0</v>
      </c>
      <c r="N56" s="98"/>
      <c r="O56" s="98">
        <v>0</v>
      </c>
      <c r="P56" s="77"/>
      <c r="Q56" s="76">
        <f>SUM(H56:O56)</f>
        <v>0</v>
      </c>
      <c r="R56" s="67"/>
      <c r="S56" s="134">
        <f>IF(F56=0,0,(ROUND((Q56/F56),5)))</f>
        <v>0</v>
      </c>
      <c r="T56" s="71"/>
    </row>
    <row r="57" spans="1:22" x14ac:dyDescent="0.2">
      <c r="A57" s="66" t="s">
        <v>97</v>
      </c>
      <c r="B57" s="75"/>
      <c r="C57" s="67"/>
      <c r="D57" s="81"/>
      <c r="E57" s="67"/>
      <c r="F57" s="79">
        <v>0</v>
      </c>
      <c r="G57" s="67"/>
      <c r="H57" s="79">
        <f>ROUND(D57*F57,0)</f>
        <v>0</v>
      </c>
      <c r="I57" s="67"/>
      <c r="J57" s="100">
        <v>0</v>
      </c>
      <c r="K57" s="100"/>
      <c r="L57" s="100"/>
      <c r="M57" s="100">
        <v>0</v>
      </c>
      <c r="N57" s="100"/>
      <c r="O57" s="100">
        <v>0</v>
      </c>
      <c r="P57" s="89"/>
      <c r="Q57" s="79">
        <f>SUM(H57,J57,M57)</f>
        <v>0</v>
      </c>
      <c r="R57" s="67"/>
      <c r="S57" s="134">
        <f>IF(F57=0,0,(ROUND((Q57/F57),5)))</f>
        <v>0</v>
      </c>
      <c r="T57" s="71"/>
    </row>
    <row r="58" spans="1:22" x14ac:dyDescent="0.2">
      <c r="A58" s="66" t="s">
        <v>98</v>
      </c>
      <c r="B58" s="70" t="s">
        <v>99</v>
      </c>
      <c r="C58" s="70"/>
      <c r="D58" s="134">
        <v>5.2440000000000004E-3</v>
      </c>
      <c r="E58" s="67"/>
      <c r="F58" s="133">
        <v>185675670.93000001</v>
      </c>
      <c r="G58" s="67"/>
      <c r="H58" s="133">
        <f>D58*F58</f>
        <v>973683.21835692006</v>
      </c>
      <c r="I58" s="67"/>
      <c r="J58" s="144">
        <v>0</v>
      </c>
      <c r="K58" s="67"/>
      <c r="L58" s="67"/>
      <c r="M58" s="144">
        <v>0</v>
      </c>
      <c r="N58" s="145"/>
      <c r="O58" s="144">
        <v>0</v>
      </c>
      <c r="P58" s="67"/>
      <c r="Q58" s="133">
        <f>SUM(H58:O58)</f>
        <v>973683.21835692006</v>
      </c>
      <c r="R58" s="67"/>
      <c r="S58" s="134">
        <f>IF(F58=0,0,(ROUND((Q58/F58),5)))</f>
        <v>5.2399999999999999E-3</v>
      </c>
      <c r="T58" s="71"/>
    </row>
    <row r="59" spans="1:22" x14ac:dyDescent="0.2">
      <c r="A59" s="66"/>
      <c r="B59" s="70"/>
      <c r="C59" s="70"/>
      <c r="D59" s="88"/>
      <c r="E59" s="67"/>
      <c r="F59" s="89"/>
      <c r="G59" s="67"/>
      <c r="H59" s="89"/>
      <c r="I59" s="67"/>
      <c r="J59" s="145"/>
      <c r="K59" s="67"/>
      <c r="L59" s="67"/>
      <c r="M59" s="145"/>
      <c r="N59" s="145"/>
      <c r="O59" s="145"/>
      <c r="P59" s="67"/>
      <c r="Q59" s="89"/>
      <c r="R59" s="67"/>
      <c r="S59" s="134"/>
      <c r="T59" s="71"/>
    </row>
    <row r="60" spans="1:22" ht="15.75" thickBot="1" x14ac:dyDescent="0.25">
      <c r="A60" s="66"/>
      <c r="B60" s="75"/>
      <c r="C60" s="67"/>
      <c r="D60" s="81"/>
      <c r="E60" s="67"/>
      <c r="F60" s="86"/>
      <c r="G60" s="67"/>
      <c r="H60" s="86"/>
      <c r="I60" s="67"/>
      <c r="J60" s="83"/>
      <c r="K60" s="86"/>
      <c r="L60" s="86"/>
      <c r="M60" s="86"/>
      <c r="N60" s="86"/>
      <c r="O60" s="86"/>
      <c r="P60" s="86"/>
      <c r="Q60" s="86"/>
      <c r="R60" s="67"/>
      <c r="S60" s="117"/>
      <c r="T60" s="71"/>
    </row>
    <row r="61" spans="1:22" ht="16.5" thickBot="1" x14ac:dyDescent="0.3">
      <c r="A61" s="66"/>
      <c r="B61" s="67"/>
      <c r="C61" s="67"/>
      <c r="D61" s="67" t="s">
        <v>61</v>
      </c>
      <c r="E61" s="67"/>
      <c r="F61" s="118">
        <f>SUM(F56:F58)</f>
        <v>185675670.93000001</v>
      </c>
      <c r="G61" s="77"/>
      <c r="H61" s="118">
        <f>SUM(H56:H58)</f>
        <v>973683.21835692006</v>
      </c>
      <c r="I61" s="77"/>
      <c r="J61" s="118">
        <f>SUM(J56:J58)</f>
        <v>0</v>
      </c>
      <c r="K61" s="119"/>
      <c r="L61" s="119"/>
      <c r="M61" s="118">
        <f>SUM(M56:M58)</f>
        <v>0</v>
      </c>
      <c r="N61" s="98"/>
      <c r="O61" s="118">
        <f>SUM(O56:O58)</f>
        <v>0</v>
      </c>
      <c r="P61" s="77"/>
      <c r="Q61" s="118">
        <f>SUM(Q56:Q58)</f>
        <v>973683.21835692006</v>
      </c>
      <c r="R61" s="67"/>
      <c r="S61" s="135">
        <f>IF(F61=0,0,(ROUND(Q61/F61,5)))</f>
        <v>5.2399999999999999E-3</v>
      </c>
      <c r="T61" s="71"/>
    </row>
    <row r="62" spans="1:22" ht="15.75" thickTop="1" x14ac:dyDescent="0.2">
      <c r="A62" s="104"/>
      <c r="B62" s="105"/>
      <c r="C62" s="105"/>
      <c r="D62" s="105"/>
      <c r="E62" s="105"/>
      <c r="F62" s="105"/>
      <c r="G62" s="105"/>
      <c r="H62" s="120"/>
      <c r="I62" s="105"/>
      <c r="J62" s="105"/>
      <c r="K62" s="105"/>
      <c r="L62" s="105"/>
      <c r="M62" s="120"/>
      <c r="N62" s="120"/>
      <c r="O62" s="120"/>
      <c r="P62" s="105"/>
      <c r="Q62" s="105"/>
      <c r="R62" s="105"/>
      <c r="S62" s="121"/>
      <c r="T62" s="109"/>
    </row>
    <row r="63" spans="1:22" ht="16.5" customHeight="1" thickBot="1" x14ac:dyDescent="0.25">
      <c r="A63" s="67"/>
      <c r="B63" s="67"/>
      <c r="C63" s="67"/>
      <c r="D63" s="92"/>
      <c r="E63" s="67"/>
      <c r="F63" s="86"/>
      <c r="G63" s="67"/>
      <c r="H63" s="86"/>
      <c r="I63" s="67"/>
      <c r="J63" s="67"/>
      <c r="K63" s="67"/>
      <c r="L63" s="67"/>
      <c r="M63" s="67"/>
      <c r="N63" s="67"/>
      <c r="O63" s="67"/>
      <c r="P63" s="67"/>
      <c r="Q63" s="86"/>
      <c r="R63" s="67"/>
      <c r="S63" s="88"/>
      <c r="T63" s="67"/>
    </row>
    <row r="64" spans="1:22" ht="16.5" thickBot="1" x14ac:dyDescent="0.3">
      <c r="A64" s="58" t="s">
        <v>100</v>
      </c>
      <c r="D64" s="122"/>
      <c r="F64" s="147">
        <f>F45+F61</f>
        <v>2276702233.9090981</v>
      </c>
      <c r="G64" s="124"/>
      <c r="H64" s="147">
        <f>H45+H61</f>
        <v>71912772.002619222</v>
      </c>
      <c r="I64" s="124"/>
      <c r="J64" s="147">
        <f>J45+J61</f>
        <v>2896534.7675409843</v>
      </c>
      <c r="K64" s="124"/>
      <c r="L64" s="124"/>
      <c r="M64" s="147">
        <f>M45+M61</f>
        <v>685564.40262295073</v>
      </c>
      <c r="N64" s="77"/>
      <c r="O64" s="147">
        <f>O45+O61</f>
        <v>2454497.7888371889</v>
      </c>
      <c r="P64" s="124"/>
      <c r="Q64" s="147">
        <f>Q45+Q61</f>
        <v>77949368.961620331</v>
      </c>
      <c r="S64" s="123">
        <f>ROUND(Q64/(F45+F61),5)</f>
        <v>3.424E-2</v>
      </c>
      <c r="V64" s="125"/>
    </row>
    <row r="65" spans="1:20" ht="15" customHeight="1" thickTop="1" x14ac:dyDescent="0.25">
      <c r="D65" s="122"/>
      <c r="F65" s="111"/>
      <c r="H65" s="111"/>
      <c r="Q65" s="111"/>
      <c r="S65" s="146"/>
    </row>
    <row r="66" spans="1:20" x14ac:dyDescent="0.2">
      <c r="A66" s="58" t="s">
        <v>101</v>
      </c>
      <c r="D66" s="122"/>
      <c r="F66" s="111"/>
      <c r="H66" s="111"/>
      <c r="M66" s="126"/>
      <c r="N66" s="126"/>
      <c r="O66" s="126"/>
      <c r="Q66" s="111"/>
    </row>
    <row r="67" spans="1:20" x14ac:dyDescent="0.2">
      <c r="F67" s="126"/>
      <c r="H67" s="126"/>
      <c r="M67" s="127"/>
      <c r="N67" s="127"/>
    </row>
    <row r="68" spans="1:20" ht="15.75" x14ac:dyDescent="0.25">
      <c r="A68" s="58" t="s">
        <v>105</v>
      </c>
      <c r="G68" s="132"/>
      <c r="H68" s="132"/>
      <c r="S68" s="58"/>
      <c r="T68" s="84"/>
    </row>
    <row r="69" spans="1:20" ht="15.75" x14ac:dyDescent="0.25">
      <c r="A69" s="58" t="s">
        <v>114</v>
      </c>
      <c r="S69" s="58"/>
    </row>
    <row r="70" spans="1:20" ht="13.5" customHeight="1" x14ac:dyDescent="0.2">
      <c r="A70" s="128"/>
      <c r="D70" s="122"/>
      <c r="F70" s="111"/>
      <c r="H70" s="111"/>
      <c r="S70" s="58"/>
      <c r="T70" s="84"/>
    </row>
    <row r="71" spans="1:20" x14ac:dyDescent="0.2">
      <c r="S71" s="58"/>
      <c r="T71" s="84"/>
    </row>
    <row r="72" spans="1:20" x14ac:dyDescent="0.2">
      <c r="A72" s="58" t="s">
        <v>110</v>
      </c>
      <c r="S72" s="58"/>
      <c r="T72" s="84"/>
    </row>
    <row r="73" spans="1:20" x14ac:dyDescent="0.2">
      <c r="A73" s="58" t="s">
        <v>102</v>
      </c>
      <c r="S73" s="58"/>
      <c r="T73" s="84"/>
    </row>
    <row r="74" spans="1:20" x14ac:dyDescent="0.2">
      <c r="A74" s="58" t="s">
        <v>103</v>
      </c>
      <c r="S74" s="58"/>
      <c r="T74" s="84"/>
    </row>
    <row r="75" spans="1:20" x14ac:dyDescent="0.2">
      <c r="A75" s="58" t="s">
        <v>104</v>
      </c>
      <c r="S75" s="58"/>
      <c r="T75" s="84"/>
    </row>
    <row r="83" spans="8:8" x14ac:dyDescent="0.2">
      <c r="H83" s="129"/>
    </row>
  </sheetData>
  <pageMargins left="0.5" right="0.5" top="1" bottom="1" header="0.5" footer="0.5"/>
  <pageSetup scale="4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Q1-Q2 KU Over-Under Calc</vt:lpstr>
      <vt:lpstr>Q2 KU Summary Over-Under</vt:lpstr>
      <vt:lpstr>Q1 - ROR Jun15</vt:lpstr>
      <vt:lpstr>Q1 - KU ROR Aug15</vt:lpstr>
      <vt:lpstr>Q1 - KU ECC Aug15</vt:lpstr>
      <vt:lpstr>Q1 - KU ECC Jun15</vt:lpstr>
      <vt:lpstr>'Q1-Q2 KU Over-Under Calc'!Print_Area</vt:lpstr>
      <vt:lpstr>'Q2 KU Summary Over-Under'!Print_Area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2016-01-04T17:53:03Z</dcterms:created>
  <dcterms:modified xsi:type="dcterms:W3CDTF">2016-02-03T16:48:06Z</dcterms:modified>
  <cp:category/>
  <cp:contentStatus/>
</cp:coreProperties>
</file>