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kersey\Desktop\"/>
    </mc:Choice>
  </mc:AlternateContent>
  <bookViews>
    <workbookView xWindow="360" yWindow="45" windowWidth="20955" windowHeight="9465"/>
  </bookViews>
  <sheets>
    <sheet name="Test Year Salary Comparison" sheetId="13" r:id="rId1"/>
    <sheet name="Pro Forma Salary Comparison" sheetId="5" r:id="rId2"/>
    <sheet name="2013-00237 Salary wp&gt;&gt;" sheetId="6" r:id="rId3"/>
    <sheet name="WSC Salaries PF" sheetId="1" r:id="rId4"/>
    <sheet name="WSC Salaries TY" sheetId="9" r:id="rId5"/>
    <sheet name="Wp b - salary PF" sheetId="2" r:id="rId6"/>
    <sheet name="Wp b - salary TY" sheetId="10" r:id="rId7"/>
    <sheet name="wp b3 - CSR PF" sheetId="4" r:id="rId8"/>
    <sheet name="wp b3 - CSR TY" sheetId="11" r:id="rId9"/>
    <sheet name="ERC&gt;&gt;" sheetId="7" r:id="rId10"/>
    <sheet name="WSKY Allocation Factors" sheetId="8" r:id="rId11"/>
  </sheets>
  <definedNames>
    <definedName name="_xlnm._FilterDatabase" localSheetId="7" hidden="1">'wp b3 - CSR PF'!$E$9:$E$50</definedName>
    <definedName name="_xlnm._FilterDatabase" localSheetId="8" hidden="1">'wp b3 - CSR TY'!$E$9:$E$50</definedName>
    <definedName name="_xlnm.Print_Area" localSheetId="5">'Wp b - salary PF'!$A$1:$AB$73</definedName>
    <definedName name="_xlnm.Print_Area" localSheetId="6">'Wp b - salary TY'!$A$1:$AQ$73</definedName>
    <definedName name="_xlnm.Print_Area" localSheetId="7">'wp b3 - CSR PF'!$A$1:$AC$66</definedName>
    <definedName name="_xlnm.Print_Area" localSheetId="8">'wp b3 - CSR TY'!$A$1:$AR$66</definedName>
    <definedName name="_xlnm.Print_Area" localSheetId="3">'WSC Salaries PF'!$A$1:$I$76</definedName>
    <definedName name="_xlnm.Print_Area" localSheetId="4">'WSC Salaries TY'!$A$1:$X$76</definedName>
  </definedNames>
  <calcPr calcId="152511" calcMode="manual" calcOnSave="0"/>
</workbook>
</file>

<file path=xl/calcChain.xml><?xml version="1.0" encoding="utf-8"?>
<calcChain xmlns="http://schemas.openxmlformats.org/spreadsheetml/2006/main">
  <c r="M5" i="13" l="1"/>
  <c r="O5" i="13" s="1"/>
  <c r="E5" i="13"/>
  <c r="I5" i="5"/>
  <c r="K5" i="5" s="1"/>
  <c r="G5" i="5"/>
  <c r="E5" i="5"/>
  <c r="M72" i="9" l="1"/>
  <c r="N72" i="9"/>
  <c r="O72" i="9"/>
  <c r="P72" i="9"/>
  <c r="Q72" i="9"/>
  <c r="R72" i="9"/>
  <c r="S72" i="9"/>
  <c r="T72" i="9"/>
  <c r="U72" i="9"/>
  <c r="V72" i="9"/>
  <c r="W72" i="9"/>
  <c r="L72" i="9"/>
  <c r="M53" i="11"/>
  <c r="N53" i="11"/>
  <c r="O53" i="11"/>
  <c r="P53" i="11"/>
  <c r="Q53" i="11"/>
  <c r="R53" i="11"/>
  <c r="S53" i="11"/>
  <c r="T53" i="11"/>
  <c r="U53" i="11"/>
  <c r="V53" i="11"/>
  <c r="W53" i="11"/>
  <c r="L53" i="11"/>
  <c r="L77" i="10"/>
  <c r="M77" i="10"/>
  <c r="N77" i="10"/>
  <c r="O77" i="10"/>
  <c r="P77" i="10"/>
  <c r="Q77" i="10"/>
  <c r="R77" i="10"/>
  <c r="S77" i="10"/>
  <c r="T77" i="10"/>
  <c r="U77" i="10"/>
  <c r="V77" i="10"/>
  <c r="L78" i="10"/>
  <c r="M78" i="10"/>
  <c r="N78" i="10"/>
  <c r="O78" i="10"/>
  <c r="P78" i="10"/>
  <c r="Q78" i="10"/>
  <c r="R78" i="10"/>
  <c r="S78" i="10"/>
  <c r="T78" i="10"/>
  <c r="U78" i="10"/>
  <c r="V78" i="10"/>
  <c r="L79" i="10"/>
  <c r="M79" i="10"/>
  <c r="N79" i="10"/>
  <c r="O79" i="10"/>
  <c r="P79" i="10"/>
  <c r="Q79" i="10"/>
  <c r="R79" i="10"/>
  <c r="S79" i="10"/>
  <c r="T79" i="10"/>
  <c r="U79" i="10"/>
  <c r="V79" i="10"/>
  <c r="K79" i="10"/>
  <c r="K78" i="10"/>
  <c r="K77" i="10"/>
  <c r="AQ53" i="11"/>
  <c r="AO53" i="11"/>
  <c r="AM53" i="11"/>
  <c r="AK53" i="11"/>
  <c r="AI53" i="11"/>
  <c r="AG53" i="11"/>
  <c r="AE53" i="11"/>
  <c r="AC53" i="11"/>
  <c r="AA53" i="11"/>
  <c r="AO51" i="11"/>
  <c r="AO55" i="11" s="1"/>
  <c r="AO59" i="11" s="1"/>
  <c r="AI51" i="11"/>
  <c r="AC51" i="11"/>
  <c r="AS50" i="11"/>
  <c r="AW50" i="11" s="1"/>
  <c r="BA50" i="11" s="1"/>
  <c r="G50" i="11" s="1"/>
  <c r="AS49" i="11"/>
  <c r="AW49" i="11" s="1"/>
  <c r="BA49" i="11" s="1"/>
  <c r="G49" i="11" s="1"/>
  <c r="AK49" i="11" s="1"/>
  <c r="AS48" i="11"/>
  <c r="AW48" i="11" s="1"/>
  <c r="BA48" i="11" s="1"/>
  <c r="G48" i="11" s="1"/>
  <c r="AM48" i="11" s="1"/>
  <c r="AW47" i="11"/>
  <c r="BA47" i="11" s="1"/>
  <c r="G47" i="11" s="1"/>
  <c r="AS46" i="11"/>
  <c r="AW46" i="11" s="1"/>
  <c r="BA46" i="11" s="1"/>
  <c r="G46" i="11" s="1"/>
  <c r="AS45" i="11"/>
  <c r="AW45" i="11" s="1"/>
  <c r="BA45" i="11" s="1"/>
  <c r="G45" i="11" s="1"/>
  <c r="AW44" i="11"/>
  <c r="BA44" i="11" s="1"/>
  <c r="G44" i="11" s="1"/>
  <c r="AK44" i="11" s="1"/>
  <c r="AS43" i="11"/>
  <c r="AW43" i="11" s="1"/>
  <c r="BA43" i="11" s="1"/>
  <c r="G43" i="11" s="1"/>
  <c r="AA43" i="11" s="1"/>
  <c r="AS42" i="11"/>
  <c r="AW42" i="11" s="1"/>
  <c r="BA42" i="11" s="1"/>
  <c r="G42" i="11" s="1"/>
  <c r="AS41" i="11"/>
  <c r="AW41" i="11" s="1"/>
  <c r="BA41" i="11" s="1"/>
  <c r="G41" i="11" s="1"/>
  <c r="AS40" i="11"/>
  <c r="AW40" i="11" s="1"/>
  <c r="BA40" i="11" s="1"/>
  <c r="G40" i="11" s="1"/>
  <c r="AS39" i="11"/>
  <c r="AW39" i="11" s="1"/>
  <c r="BA39" i="11" s="1"/>
  <c r="G39" i="11" s="1"/>
  <c r="AW38" i="11"/>
  <c r="BA38" i="11" s="1"/>
  <c r="G38" i="11" s="1"/>
  <c r="AA38" i="11" s="1"/>
  <c r="AW37" i="11"/>
  <c r="BA37" i="11" s="1"/>
  <c r="G37" i="11" s="1"/>
  <c r="AW36" i="11"/>
  <c r="BA36" i="11" s="1"/>
  <c r="G36" i="11" s="1"/>
  <c r="AS35" i="11"/>
  <c r="AW35" i="11" s="1"/>
  <c r="BA35" i="11" s="1"/>
  <c r="G35" i="11" s="1"/>
  <c r="AS34" i="11"/>
  <c r="AW34" i="11" s="1"/>
  <c r="BA34" i="11" s="1"/>
  <c r="G34" i="11" s="1"/>
  <c r="I34" i="11" s="1"/>
  <c r="R34" i="11" s="1"/>
  <c r="AW33" i="11"/>
  <c r="BA33" i="11" s="1"/>
  <c r="G33" i="11" s="1"/>
  <c r="AE33" i="11" s="1"/>
  <c r="AS32" i="11"/>
  <c r="AW32" i="11" s="1"/>
  <c r="BA32" i="11" s="1"/>
  <c r="G32" i="11" s="1"/>
  <c r="AW31" i="11"/>
  <c r="BA31" i="11" s="1"/>
  <c r="G31" i="11" s="1"/>
  <c r="AS30" i="11"/>
  <c r="AW30" i="11" s="1"/>
  <c r="BA30" i="11" s="1"/>
  <c r="G30" i="11" s="1"/>
  <c r="AS29" i="11"/>
  <c r="AW29" i="11" s="1"/>
  <c r="BA29" i="11" s="1"/>
  <c r="G29" i="11" s="1"/>
  <c r="AS28" i="11"/>
  <c r="AW28" i="11" s="1"/>
  <c r="BA28" i="11" s="1"/>
  <c r="G28" i="11" s="1"/>
  <c r="AS27" i="11"/>
  <c r="AW27" i="11" s="1"/>
  <c r="BA27" i="11" s="1"/>
  <c r="G27" i="11" s="1"/>
  <c r="AS26" i="11"/>
  <c r="AW26" i="11" s="1"/>
  <c r="BA26" i="11" s="1"/>
  <c r="G26" i="11" s="1"/>
  <c r="AS25" i="11"/>
  <c r="AW25" i="11" s="1"/>
  <c r="BA25" i="11" s="1"/>
  <c r="G25" i="11" s="1"/>
  <c r="AS24" i="11"/>
  <c r="AW24" i="11" s="1"/>
  <c r="BA24" i="11" s="1"/>
  <c r="G24" i="11" s="1"/>
  <c r="AS23" i="11"/>
  <c r="AW23" i="11" s="1"/>
  <c r="BA23" i="11" s="1"/>
  <c r="G23" i="11" s="1"/>
  <c r="AS22" i="11"/>
  <c r="AW22" i="11" s="1"/>
  <c r="BA22" i="11" s="1"/>
  <c r="G22" i="11" s="1"/>
  <c r="AS21" i="11"/>
  <c r="AW21" i="11" s="1"/>
  <c r="BA21" i="11" s="1"/>
  <c r="G21" i="11" s="1"/>
  <c r="AS20" i="11"/>
  <c r="AW20" i="11" s="1"/>
  <c r="BA20" i="11" s="1"/>
  <c r="G20" i="11" s="1"/>
  <c r="AW19" i="11"/>
  <c r="BA19" i="11" s="1"/>
  <c r="G19" i="11" s="1"/>
  <c r="AS18" i="11"/>
  <c r="AW18" i="11" s="1"/>
  <c r="BA18" i="11" s="1"/>
  <c r="G18" i="11" s="1"/>
  <c r="AS17" i="11"/>
  <c r="AW17" i="11" s="1"/>
  <c r="BA17" i="11" s="1"/>
  <c r="G17" i="11" s="1"/>
  <c r="AS16" i="11"/>
  <c r="AW16" i="11" s="1"/>
  <c r="BA16" i="11" s="1"/>
  <c r="G16" i="11" s="1"/>
  <c r="AW15" i="11"/>
  <c r="BA15" i="11" s="1"/>
  <c r="G15" i="11" s="1"/>
  <c r="AS14" i="11"/>
  <c r="AW14" i="11" s="1"/>
  <c r="BA14" i="11" s="1"/>
  <c r="G14" i="11" s="1"/>
  <c r="AW13" i="11"/>
  <c r="BA13" i="11" s="1"/>
  <c r="G13" i="11" s="1"/>
  <c r="AS13" i="11"/>
  <c r="BH12" i="11"/>
  <c r="BH13" i="11" s="1"/>
  <c r="AS12" i="11"/>
  <c r="AW12" i="11" s="1"/>
  <c r="BA12" i="11" s="1"/>
  <c r="G12" i="11" s="1"/>
  <c r="AS11" i="11"/>
  <c r="AW11" i="11" s="1"/>
  <c r="BA11" i="11" s="1"/>
  <c r="G11" i="11" s="1"/>
  <c r="B11" i="11"/>
  <c r="AJ98" i="10"/>
  <c r="AL94" i="10" s="1"/>
  <c r="AL82" i="10"/>
  <c r="AB80" i="10"/>
  <c r="AB84" i="10" s="1"/>
  <c r="Z80" i="10"/>
  <c r="Z84" i="10" s="1"/>
  <c r="AO53" i="10"/>
  <c r="AM53" i="10"/>
  <c r="AK53" i="10"/>
  <c r="AI53" i="10"/>
  <c r="AG53" i="10"/>
  <c r="AC53" i="10"/>
  <c r="AA53" i="10"/>
  <c r="AR52" i="10"/>
  <c r="AR51" i="10"/>
  <c r="AR50" i="10"/>
  <c r="AR49" i="10"/>
  <c r="AR48" i="10"/>
  <c r="AR45" i="10"/>
  <c r="AR44" i="10"/>
  <c r="AR43" i="10"/>
  <c r="AR42" i="10"/>
  <c r="AR41" i="10"/>
  <c r="AR40" i="10"/>
  <c r="AR39" i="10"/>
  <c r="AR38" i="10"/>
  <c r="AR37" i="10"/>
  <c r="AR36" i="10"/>
  <c r="AR35" i="10"/>
  <c r="AN35" i="10"/>
  <c r="AH35" i="10"/>
  <c r="AX28" i="10"/>
  <c r="BD28" i="10" s="1"/>
  <c r="F28" i="10" s="1"/>
  <c r="AB28" i="10"/>
  <c r="AB52" i="10" s="1"/>
  <c r="AX27" i="10"/>
  <c r="BD27" i="10" s="1"/>
  <c r="F27" i="10" s="1"/>
  <c r="AB27" i="10"/>
  <c r="AB51" i="10" s="1"/>
  <c r="AX26" i="10"/>
  <c r="BD26" i="10" s="1"/>
  <c r="F26" i="10" s="1"/>
  <c r="AJ26" i="10" s="1"/>
  <c r="AJ50" i="10" s="1"/>
  <c r="AB26" i="10"/>
  <c r="AB50" i="10" s="1"/>
  <c r="BH25" i="10"/>
  <c r="AX25" i="10"/>
  <c r="BD25" i="10" s="1"/>
  <c r="F25" i="10" s="1"/>
  <c r="AN25" i="10"/>
  <c r="AH25" i="10"/>
  <c r="AH49" i="10" s="1"/>
  <c r="AB25" i="10"/>
  <c r="AB49" i="10" s="1"/>
  <c r="AX24" i="10"/>
  <c r="BD24" i="10" s="1"/>
  <c r="F24" i="10" s="1"/>
  <c r="AB24" i="10"/>
  <c r="AB48" i="10" s="1"/>
  <c r="C24" i="10"/>
  <c r="B48" i="10" s="1"/>
  <c r="BB21" i="10"/>
  <c r="AX21" i="10"/>
  <c r="AB21" i="10"/>
  <c r="AB45" i="10" s="1"/>
  <c r="BB20" i="10"/>
  <c r="AX20" i="10"/>
  <c r="AB20" i="10"/>
  <c r="AB44" i="10" s="1"/>
  <c r="BB19" i="10"/>
  <c r="AX19" i="10"/>
  <c r="AB19" i="10"/>
  <c r="AB43" i="10" s="1"/>
  <c r="BB18" i="10"/>
  <c r="AX18" i="10"/>
  <c r="AB18" i="10"/>
  <c r="AB42" i="10" s="1"/>
  <c r="BB17" i="10"/>
  <c r="AX17" i="10"/>
  <c r="AB17" i="10"/>
  <c r="AB41" i="10" s="1"/>
  <c r="BB16" i="10"/>
  <c r="AX16" i="10"/>
  <c r="AB16" i="10"/>
  <c r="AB40" i="10" s="1"/>
  <c r="BB15" i="10"/>
  <c r="AX15" i="10"/>
  <c r="AB15" i="10"/>
  <c r="AB39" i="10" s="1"/>
  <c r="BB14" i="10"/>
  <c r="AX14" i="10"/>
  <c r="AB14" i="10"/>
  <c r="AB38" i="10" s="1"/>
  <c r="BB13" i="10"/>
  <c r="AX13" i="10"/>
  <c r="AB13" i="10"/>
  <c r="AB37" i="10" s="1"/>
  <c r="BH12" i="10"/>
  <c r="BH13" i="10" s="1"/>
  <c r="BH14" i="10" s="1"/>
  <c r="BH15" i="10" s="1"/>
  <c r="BH16" i="10" s="1"/>
  <c r="BH17" i="10" s="1"/>
  <c r="BH18" i="10" s="1"/>
  <c r="BH19" i="10" s="1"/>
  <c r="BH20" i="10" s="1"/>
  <c r="BH21" i="10" s="1"/>
  <c r="C21" i="10" s="1"/>
  <c r="B45" i="10" s="1"/>
  <c r="BB12" i="10"/>
  <c r="AX12" i="10"/>
  <c r="AN12" i="10"/>
  <c r="AN28" i="10" s="1"/>
  <c r="AN52" i="10" s="1"/>
  <c r="AH12" i="10"/>
  <c r="AH36" i="10" s="1"/>
  <c r="AB12" i="10"/>
  <c r="AB36" i="10" s="1"/>
  <c r="BB11" i="10"/>
  <c r="AX11" i="10"/>
  <c r="AB11" i="10"/>
  <c r="AB35" i="10" s="1"/>
  <c r="C11" i="10"/>
  <c r="B35" i="10" s="1"/>
  <c r="Z9" i="10"/>
  <c r="AN68" i="9"/>
  <c r="AH68" i="9"/>
  <c r="AR66" i="9"/>
  <c r="G66" i="9" s="1"/>
  <c r="AD66" i="9"/>
  <c r="AB66" i="9"/>
  <c r="AR65" i="9"/>
  <c r="AD65" i="9"/>
  <c r="AB65" i="9"/>
  <c r="G65" i="9"/>
  <c r="AL65" i="9" s="1"/>
  <c r="AR64" i="9"/>
  <c r="G64" i="9" s="1"/>
  <c r="I64" i="9" s="1"/>
  <c r="AP64" i="9"/>
  <c r="AD64" i="9"/>
  <c r="AB64" i="9"/>
  <c r="Z64" i="9"/>
  <c r="AR63" i="9"/>
  <c r="G63" i="9" s="1"/>
  <c r="AD63" i="9"/>
  <c r="AB63" i="9"/>
  <c r="AR62" i="9"/>
  <c r="G62" i="9" s="1"/>
  <c r="AJ62" i="9" s="1"/>
  <c r="AD62" i="9"/>
  <c r="AB62" i="9"/>
  <c r="AR61" i="9"/>
  <c r="G61" i="9" s="1"/>
  <c r="AJ61" i="9" s="1"/>
  <c r="AD61" i="9"/>
  <c r="AB61" i="9"/>
  <c r="AR60" i="9"/>
  <c r="G60" i="9" s="1"/>
  <c r="AJ60" i="9" s="1"/>
  <c r="AD60" i="9"/>
  <c r="AB60" i="9"/>
  <c r="AR59" i="9"/>
  <c r="G59" i="9" s="1"/>
  <c r="AD59" i="9"/>
  <c r="AB59" i="9"/>
  <c r="AR58" i="9"/>
  <c r="G58" i="9" s="1"/>
  <c r="AD58" i="9"/>
  <c r="AB58" i="9"/>
  <c r="AR57" i="9"/>
  <c r="G57" i="9" s="1"/>
  <c r="AD57" i="9"/>
  <c r="AB57" i="9"/>
  <c r="AR56" i="9"/>
  <c r="G56" i="9" s="1"/>
  <c r="AJ56" i="9" s="1"/>
  <c r="AD56" i="9"/>
  <c r="AB56" i="9"/>
  <c r="AR55" i="9"/>
  <c r="G55" i="9" s="1"/>
  <c r="AD55" i="9"/>
  <c r="AB55" i="9"/>
  <c r="AR54" i="9"/>
  <c r="G54" i="9" s="1"/>
  <c r="AD54" i="9"/>
  <c r="AB54" i="9"/>
  <c r="AR53" i="9"/>
  <c r="G53" i="9" s="1"/>
  <c r="AD53" i="9"/>
  <c r="AB53" i="9"/>
  <c r="AR52" i="9"/>
  <c r="G52" i="9" s="1"/>
  <c r="AJ52" i="9" s="1"/>
  <c r="AD52" i="9"/>
  <c r="AB52" i="9"/>
  <c r="AR51" i="9"/>
  <c r="G51" i="9" s="1"/>
  <c r="AD51" i="9"/>
  <c r="AB51" i="9"/>
  <c r="AR50" i="9"/>
  <c r="G50" i="9" s="1"/>
  <c r="Z50" i="9" s="1"/>
  <c r="AD50" i="9"/>
  <c r="AB50" i="9"/>
  <c r="AR49" i="9"/>
  <c r="G49" i="9" s="1"/>
  <c r="Z49" i="9" s="1"/>
  <c r="AF49" i="9" s="1"/>
  <c r="AD49" i="9"/>
  <c r="AB49" i="9"/>
  <c r="AR48" i="9"/>
  <c r="G48" i="9" s="1"/>
  <c r="AD48" i="9"/>
  <c r="AB48" i="9"/>
  <c r="AR47" i="9"/>
  <c r="G47" i="9" s="1"/>
  <c r="AL47" i="9" s="1"/>
  <c r="AD47" i="9"/>
  <c r="AB47" i="9"/>
  <c r="AR46" i="9"/>
  <c r="G46" i="9" s="1"/>
  <c r="AD46" i="9"/>
  <c r="AB46" i="9"/>
  <c r="AR45" i="9"/>
  <c r="AD45" i="9"/>
  <c r="AB45" i="9"/>
  <c r="G45" i="9"/>
  <c r="I45" i="9" s="1"/>
  <c r="O45" i="9" s="1"/>
  <c r="AR44" i="9"/>
  <c r="G44" i="9" s="1"/>
  <c r="AD44" i="9"/>
  <c r="AB44" i="9"/>
  <c r="AR43" i="9"/>
  <c r="G43" i="9" s="1"/>
  <c r="AD43" i="9"/>
  <c r="AB43" i="9"/>
  <c r="AR42" i="9"/>
  <c r="G42" i="9" s="1"/>
  <c r="AD42" i="9"/>
  <c r="AB42" i="9"/>
  <c r="AR41" i="9"/>
  <c r="G41" i="9" s="1"/>
  <c r="AD41" i="9"/>
  <c r="AB41" i="9"/>
  <c r="AR40" i="9"/>
  <c r="AD40" i="9"/>
  <c r="AB40" i="9"/>
  <c r="G40" i="9"/>
  <c r="I40" i="9" s="1"/>
  <c r="AR39" i="9"/>
  <c r="G39" i="9" s="1"/>
  <c r="AD39" i="9"/>
  <c r="AB39" i="9"/>
  <c r="AR38" i="9"/>
  <c r="G38" i="9" s="1"/>
  <c r="AD38" i="9"/>
  <c r="AB38" i="9"/>
  <c r="AR37" i="9"/>
  <c r="G37" i="9" s="1"/>
  <c r="AD37" i="9"/>
  <c r="AB37" i="9"/>
  <c r="AR36" i="9"/>
  <c r="G36" i="9" s="1"/>
  <c r="AJ36" i="9" s="1"/>
  <c r="AD36" i="9"/>
  <c r="AB36" i="9"/>
  <c r="AR35" i="9"/>
  <c r="G35" i="9" s="1"/>
  <c r="AD35" i="9"/>
  <c r="AB35" i="9"/>
  <c r="AR34" i="9"/>
  <c r="G34" i="9" s="1"/>
  <c r="AJ34" i="9" s="1"/>
  <c r="AD34" i="9"/>
  <c r="AB34" i="9"/>
  <c r="Z34" i="9"/>
  <c r="AR33" i="9"/>
  <c r="G33" i="9" s="1"/>
  <c r="I33" i="9" s="1"/>
  <c r="AD33" i="9"/>
  <c r="AB33" i="9"/>
  <c r="AR32" i="9"/>
  <c r="G32" i="9" s="1"/>
  <c r="AL32" i="9" s="1"/>
  <c r="AD32" i="9"/>
  <c r="AB32" i="9"/>
  <c r="Z32" i="9"/>
  <c r="AR31" i="9"/>
  <c r="G31" i="9" s="1"/>
  <c r="AL31" i="9" s="1"/>
  <c r="AD31" i="9"/>
  <c r="AB31" i="9"/>
  <c r="AR30" i="9"/>
  <c r="G30" i="9" s="1"/>
  <c r="AD30" i="9"/>
  <c r="AB30" i="9"/>
  <c r="AR29" i="9"/>
  <c r="G29" i="9" s="1"/>
  <c r="I29" i="9" s="1"/>
  <c r="AD29" i="9"/>
  <c r="AB29" i="9"/>
  <c r="AR28" i="9"/>
  <c r="G28" i="9" s="1"/>
  <c r="AL28" i="9" s="1"/>
  <c r="AD28" i="9"/>
  <c r="AB28" i="9"/>
  <c r="Z28" i="9"/>
  <c r="AR27" i="9"/>
  <c r="G27" i="9" s="1"/>
  <c r="AD27" i="9"/>
  <c r="AB27" i="9"/>
  <c r="AR26" i="9"/>
  <c r="G26" i="9" s="1"/>
  <c r="AD26" i="9"/>
  <c r="AB26" i="9"/>
  <c r="AR25" i="9"/>
  <c r="G25" i="9" s="1"/>
  <c r="AD25" i="9"/>
  <c r="AB25" i="9"/>
  <c r="AR24" i="9"/>
  <c r="G24" i="9" s="1"/>
  <c r="AD24" i="9"/>
  <c r="AB24" i="9"/>
  <c r="AR23" i="9"/>
  <c r="G23" i="9" s="1"/>
  <c r="AD23" i="9"/>
  <c r="AB23" i="9"/>
  <c r="AR22" i="9"/>
  <c r="G22" i="9" s="1"/>
  <c r="AD22" i="9"/>
  <c r="AB22" i="9"/>
  <c r="AR21" i="9"/>
  <c r="G21" i="9" s="1"/>
  <c r="I21" i="9" s="1"/>
  <c r="AD21" i="9"/>
  <c r="AB21" i="9"/>
  <c r="AR20" i="9"/>
  <c r="G20" i="9" s="1"/>
  <c r="Z20" i="9" s="1"/>
  <c r="AD20" i="9"/>
  <c r="AB20" i="9"/>
  <c r="AR19" i="9"/>
  <c r="G19" i="9" s="1"/>
  <c r="AD19" i="9"/>
  <c r="AB19" i="9"/>
  <c r="AR18" i="9"/>
  <c r="G18" i="9" s="1"/>
  <c r="AD18" i="9"/>
  <c r="AB18" i="9"/>
  <c r="AR17" i="9"/>
  <c r="G17" i="9" s="1"/>
  <c r="AD17" i="9"/>
  <c r="AB17" i="9"/>
  <c r="AR16" i="9"/>
  <c r="G16" i="9" s="1"/>
  <c r="AD16" i="9"/>
  <c r="AB16" i="9"/>
  <c r="AR15" i="9"/>
  <c r="G15" i="9" s="1"/>
  <c r="AD15" i="9"/>
  <c r="AB15" i="9"/>
  <c r="AR14" i="9"/>
  <c r="G14" i="9" s="1"/>
  <c r="AD14" i="9"/>
  <c r="AB14" i="9"/>
  <c r="AR13" i="9"/>
  <c r="G13" i="9" s="1"/>
  <c r="AD13" i="9"/>
  <c r="AB13" i="9"/>
  <c r="AR12" i="9"/>
  <c r="G12" i="9" s="1"/>
  <c r="AD12" i="9"/>
  <c r="AB12" i="9"/>
  <c r="AR11" i="9"/>
  <c r="G11" i="9" s="1"/>
  <c r="AD11" i="9"/>
  <c r="AB11" i="9"/>
  <c r="AR10" i="9"/>
  <c r="AD10" i="9"/>
  <c r="AB10" i="9"/>
  <c r="H48" i="2"/>
  <c r="AC48" i="2"/>
  <c r="C36" i="8"/>
  <c r="D36" i="8"/>
  <c r="E36" i="8"/>
  <c r="F36" i="8"/>
  <c r="G36" i="8"/>
  <c r="H36" i="8"/>
  <c r="I36" i="8"/>
  <c r="J36" i="8"/>
  <c r="K36" i="8"/>
  <c r="L36" i="8"/>
  <c r="M36" i="8"/>
  <c r="B36" i="8"/>
  <c r="AL20" i="9" l="1"/>
  <c r="AF28" i="9"/>
  <c r="AJ40" i="9"/>
  <c r="Z56" i="9"/>
  <c r="AF56" i="9" s="1"/>
  <c r="AF32" i="9"/>
  <c r="AF34" i="9"/>
  <c r="AL45" i="9"/>
  <c r="AJ50" i="9"/>
  <c r="N45" i="9"/>
  <c r="AJ44" i="9"/>
  <c r="AP44" i="9" s="1"/>
  <c r="AL44" i="9"/>
  <c r="Z44" i="9"/>
  <c r="AJ48" i="9"/>
  <c r="I48" i="9"/>
  <c r="P48" i="9" s="1"/>
  <c r="AF20" i="9"/>
  <c r="AL56" i="9"/>
  <c r="J21" i="9"/>
  <c r="L21" i="9"/>
  <c r="P21" i="9"/>
  <c r="T21" i="9"/>
  <c r="M21" i="9"/>
  <c r="Q21" i="9"/>
  <c r="O21" i="9"/>
  <c r="N21" i="9"/>
  <c r="R21" i="9"/>
  <c r="S21" i="9"/>
  <c r="L64" i="9"/>
  <c r="P64" i="9"/>
  <c r="T64" i="9"/>
  <c r="J64" i="9"/>
  <c r="N64" i="9"/>
  <c r="M64" i="9"/>
  <c r="Q64" i="9"/>
  <c r="R64" i="9"/>
  <c r="AL66" i="9"/>
  <c r="Z66" i="9"/>
  <c r="AF66" i="9" s="1"/>
  <c r="I66" i="9"/>
  <c r="AJ66" i="9"/>
  <c r="I24" i="9"/>
  <c r="AL24" i="9"/>
  <c r="Z24" i="9"/>
  <c r="AF24" i="9" s="1"/>
  <c r="AJ24" i="9"/>
  <c r="Z62" i="9"/>
  <c r="AF62" i="9" s="1"/>
  <c r="J29" i="9"/>
  <c r="L29" i="9"/>
  <c r="P29" i="9"/>
  <c r="T29" i="9"/>
  <c r="M29" i="9"/>
  <c r="Q29" i="9"/>
  <c r="O29" i="9"/>
  <c r="N29" i="9"/>
  <c r="R29" i="9"/>
  <c r="S29" i="9"/>
  <c r="I12" i="9"/>
  <c r="AJ12" i="9"/>
  <c r="AL12" i="9"/>
  <c r="Z12" i="9"/>
  <c r="AF12" i="9" s="1"/>
  <c r="I16" i="9"/>
  <c r="AL16" i="9"/>
  <c r="Z16" i="9"/>
  <c r="AF16" i="9" s="1"/>
  <c r="AJ16" i="9"/>
  <c r="AP16" i="9" s="1"/>
  <c r="I28" i="9"/>
  <c r="AJ28" i="9"/>
  <c r="AP28" i="9" s="1"/>
  <c r="I32" i="9"/>
  <c r="AJ32" i="9"/>
  <c r="AP32" i="9" s="1"/>
  <c r="AL40" i="9"/>
  <c r="AP40" i="9" s="1"/>
  <c r="Z40" i="9"/>
  <c r="I49" i="9"/>
  <c r="AL49" i="9"/>
  <c r="L48" i="9"/>
  <c r="S64" i="9"/>
  <c r="I61" i="9"/>
  <c r="AL61" i="9"/>
  <c r="AP61" i="9" s="1"/>
  <c r="Z61" i="9"/>
  <c r="AF61" i="9" s="1"/>
  <c r="L40" i="9"/>
  <c r="P40" i="9"/>
  <c r="T40" i="9"/>
  <c r="N40" i="9"/>
  <c r="S40" i="9"/>
  <c r="M40" i="9"/>
  <c r="R40" i="9"/>
  <c r="O40" i="9"/>
  <c r="J40" i="9"/>
  <c r="Q40" i="9"/>
  <c r="O64" i="9"/>
  <c r="I20" i="9"/>
  <c r="AJ20" i="9"/>
  <c r="AP20" i="9" s="1"/>
  <c r="J33" i="9"/>
  <c r="L33" i="9"/>
  <c r="P33" i="9"/>
  <c r="T33" i="9"/>
  <c r="M33" i="9"/>
  <c r="Q33" i="9"/>
  <c r="O33" i="9"/>
  <c r="S33" i="9"/>
  <c r="R33" i="9"/>
  <c r="N33" i="9"/>
  <c r="I56" i="9"/>
  <c r="AB68" i="9"/>
  <c r="Z36" i="9"/>
  <c r="AF36" i="9" s="1"/>
  <c r="AL36" i="9"/>
  <c r="AP36" i="9" s="1"/>
  <c r="Z48" i="9"/>
  <c r="AF48" i="9" s="1"/>
  <c r="AL48" i="9"/>
  <c r="Z52" i="9"/>
  <c r="AF52" i="9" s="1"/>
  <c r="AL52" i="9"/>
  <c r="AP52" i="9" s="1"/>
  <c r="Z60" i="9"/>
  <c r="AF60" i="9" s="1"/>
  <c r="AL60" i="9"/>
  <c r="AP60" i="9" s="1"/>
  <c r="I60" i="9"/>
  <c r="I52" i="9"/>
  <c r="I44" i="9"/>
  <c r="I36" i="9"/>
  <c r="J45" i="9"/>
  <c r="L45" i="9"/>
  <c r="P45" i="9"/>
  <c r="T45" i="9"/>
  <c r="M45" i="9"/>
  <c r="R45" i="9"/>
  <c r="Q45" i="9"/>
  <c r="S45" i="9"/>
  <c r="I11" i="9"/>
  <c r="AJ11" i="9"/>
  <c r="Z11" i="9"/>
  <c r="AF11" i="9" s="1"/>
  <c r="AL11" i="9"/>
  <c r="I57" i="9"/>
  <c r="AL57" i="9"/>
  <c r="AJ57" i="9"/>
  <c r="Z57" i="9"/>
  <c r="AF57" i="9" s="1"/>
  <c r="I15" i="9"/>
  <c r="AJ15" i="9"/>
  <c r="Z15" i="9"/>
  <c r="AF15" i="9" s="1"/>
  <c r="AL15" i="9"/>
  <c r="I14" i="9"/>
  <c r="AL14" i="9"/>
  <c r="AJ14" i="9"/>
  <c r="Z14" i="9"/>
  <c r="AF14" i="9" s="1"/>
  <c r="I18" i="9"/>
  <c r="AL18" i="9"/>
  <c r="AJ18" i="9"/>
  <c r="Z18" i="9"/>
  <c r="AF18" i="9" s="1"/>
  <c r="I26" i="9"/>
  <c r="AL26" i="9"/>
  <c r="AJ26" i="9"/>
  <c r="Z26" i="9"/>
  <c r="AF26" i="9" s="1"/>
  <c r="I54" i="9"/>
  <c r="AL54" i="9"/>
  <c r="AJ54" i="9"/>
  <c r="Z54" i="9"/>
  <c r="AF54" i="9" s="1"/>
  <c r="I13" i="9"/>
  <c r="AJ13" i="9"/>
  <c r="Z13" i="9"/>
  <c r="AF13" i="9" s="1"/>
  <c r="AL13" i="9"/>
  <c r="I17" i="9"/>
  <c r="AL17" i="9"/>
  <c r="AJ17" i="9"/>
  <c r="Z17" i="9"/>
  <c r="AF17" i="9" s="1"/>
  <c r="I25" i="9"/>
  <c r="AL25" i="9"/>
  <c r="AJ25" i="9"/>
  <c r="Z25" i="9"/>
  <c r="AF25" i="9" s="1"/>
  <c r="I63" i="9"/>
  <c r="AJ63" i="9"/>
  <c r="Z63" i="9"/>
  <c r="AF63" i="9" s="1"/>
  <c r="AL63" i="9"/>
  <c r="I22" i="9"/>
  <c r="AL22" i="9"/>
  <c r="I23" i="9"/>
  <c r="AJ23" i="9"/>
  <c r="Z23" i="9"/>
  <c r="AF23" i="9" s="1"/>
  <c r="AL23" i="9"/>
  <c r="I37" i="9"/>
  <c r="AJ37" i="9"/>
  <c r="Z37" i="9"/>
  <c r="AF37" i="9" s="1"/>
  <c r="AL37" i="9"/>
  <c r="I39" i="9"/>
  <c r="AJ39" i="9"/>
  <c r="Z39" i="9"/>
  <c r="AF39" i="9" s="1"/>
  <c r="AL39" i="9"/>
  <c r="I42" i="9"/>
  <c r="AL42" i="9"/>
  <c r="I51" i="9"/>
  <c r="AJ51" i="9"/>
  <c r="Z51" i="9"/>
  <c r="AF51" i="9" s="1"/>
  <c r="AL51" i="9"/>
  <c r="I59" i="9"/>
  <c r="AJ59" i="9"/>
  <c r="Z59" i="9"/>
  <c r="AF59" i="9" s="1"/>
  <c r="AL59" i="9"/>
  <c r="I19" i="9"/>
  <c r="AJ19" i="9"/>
  <c r="Z19" i="9"/>
  <c r="AF19" i="9" s="1"/>
  <c r="AL19" i="9"/>
  <c r="Z21" i="9"/>
  <c r="AF21" i="9" s="1"/>
  <c r="AJ21" i="9"/>
  <c r="Z22" i="9"/>
  <c r="AF22" i="9" s="1"/>
  <c r="AJ22" i="9"/>
  <c r="I30" i="9"/>
  <c r="AL30" i="9"/>
  <c r="I31" i="9"/>
  <c r="AJ31" i="9"/>
  <c r="AP31" i="9" s="1"/>
  <c r="Z31" i="9"/>
  <c r="AF31" i="9" s="1"/>
  <c r="I41" i="9"/>
  <c r="AL41" i="9"/>
  <c r="Z42" i="9"/>
  <c r="AF42" i="9" s="1"/>
  <c r="AJ42" i="9"/>
  <c r="I53" i="9"/>
  <c r="AJ53" i="9"/>
  <c r="Z53" i="9"/>
  <c r="AF53" i="9" s="1"/>
  <c r="AL53" i="9"/>
  <c r="I55" i="9"/>
  <c r="AJ55" i="9"/>
  <c r="Z55" i="9"/>
  <c r="AF55" i="9" s="1"/>
  <c r="AL55" i="9"/>
  <c r="I58" i="9"/>
  <c r="AL58" i="9"/>
  <c r="AD68" i="9"/>
  <c r="AR68" i="9"/>
  <c r="AL21" i="9"/>
  <c r="I27" i="9"/>
  <c r="AJ27" i="9"/>
  <c r="Z27" i="9"/>
  <c r="AF27" i="9" s="1"/>
  <c r="AL27" i="9"/>
  <c r="Z29" i="9"/>
  <c r="AF29" i="9" s="1"/>
  <c r="AJ29" i="9"/>
  <c r="Z30" i="9"/>
  <c r="AF30" i="9" s="1"/>
  <c r="AJ30" i="9"/>
  <c r="AJ33" i="9"/>
  <c r="I34" i="9"/>
  <c r="AL34" i="9"/>
  <c r="AP34" i="9" s="1"/>
  <c r="I38" i="9"/>
  <c r="AL38" i="9"/>
  <c r="AJ38" i="9"/>
  <c r="AP38" i="9" s="1"/>
  <c r="Z38" i="9"/>
  <c r="AF38" i="9" s="1"/>
  <c r="Z41" i="9"/>
  <c r="AF41" i="9" s="1"/>
  <c r="AJ41" i="9"/>
  <c r="AP41" i="9" s="1"/>
  <c r="I46" i="9"/>
  <c r="AL46" i="9"/>
  <c r="I47" i="9"/>
  <c r="AJ47" i="9"/>
  <c r="AP47" i="9" s="1"/>
  <c r="Z47" i="9"/>
  <c r="AF47" i="9" s="1"/>
  <c r="AF50" i="9"/>
  <c r="Z58" i="9"/>
  <c r="AF58" i="9" s="1"/>
  <c r="AJ58" i="9"/>
  <c r="AP58" i="9" s="1"/>
  <c r="I65" i="9"/>
  <c r="AJ65" i="9"/>
  <c r="AP65" i="9" s="1"/>
  <c r="Z65" i="9"/>
  <c r="AF65" i="9" s="1"/>
  <c r="G10" i="9"/>
  <c r="AL29" i="9"/>
  <c r="Z33" i="9"/>
  <c r="AF33" i="9" s="1"/>
  <c r="AL33" i="9"/>
  <c r="I35" i="9"/>
  <c r="AJ35" i="9"/>
  <c r="Z35" i="9"/>
  <c r="AF35" i="9" s="1"/>
  <c r="AL35" i="9"/>
  <c r="AF40" i="9"/>
  <c r="I43" i="9"/>
  <c r="AJ43" i="9"/>
  <c r="Z43" i="9"/>
  <c r="AF43" i="9" s="1"/>
  <c r="AL43" i="9"/>
  <c r="AF44" i="9"/>
  <c r="Z45" i="9"/>
  <c r="AF45" i="9" s="1"/>
  <c r="AJ45" i="9"/>
  <c r="AP45" i="9" s="1"/>
  <c r="Z46" i="9"/>
  <c r="AF46" i="9" s="1"/>
  <c r="AJ46" i="9"/>
  <c r="AJ49" i="9"/>
  <c r="I50" i="9"/>
  <c r="AL50" i="9"/>
  <c r="AP50" i="9" s="1"/>
  <c r="AP56" i="9"/>
  <c r="I62" i="9"/>
  <c r="AL62" i="9"/>
  <c r="AP62" i="9" s="1"/>
  <c r="AF64" i="9"/>
  <c r="J34" i="11"/>
  <c r="L34" i="11"/>
  <c r="P34" i="11"/>
  <c r="T34" i="11"/>
  <c r="M34" i="11"/>
  <c r="Q34" i="11"/>
  <c r="N34" i="11"/>
  <c r="O34" i="11"/>
  <c r="S34" i="11"/>
  <c r="AI55" i="11"/>
  <c r="AI59" i="11" s="1"/>
  <c r="AM35" i="11"/>
  <c r="AE35" i="11"/>
  <c r="AA35" i="11"/>
  <c r="I42" i="11"/>
  <c r="AE42" i="11"/>
  <c r="AM42" i="11"/>
  <c r="AE36" i="11"/>
  <c r="AG36" i="11" s="1"/>
  <c r="AA36" i="11"/>
  <c r="AM36" i="11"/>
  <c r="AK39" i="11"/>
  <c r="AM39" i="11"/>
  <c r="I46" i="11"/>
  <c r="AE46" i="11"/>
  <c r="AE47" i="11"/>
  <c r="AA47" i="11"/>
  <c r="AM47" i="11"/>
  <c r="AE18" i="11"/>
  <c r="I18" i="11"/>
  <c r="AK18" i="11"/>
  <c r="AA18" i="11"/>
  <c r="AM18" i="11"/>
  <c r="AC55" i="11"/>
  <c r="AC59" i="11" s="1"/>
  <c r="I20" i="11"/>
  <c r="AE20" i="11"/>
  <c r="AM20" i="11"/>
  <c r="AA20" i="11"/>
  <c r="AK20" i="11"/>
  <c r="AK26" i="11"/>
  <c r="I26" i="11"/>
  <c r="AA26" i="11"/>
  <c r="AM26" i="11"/>
  <c r="AE26" i="11"/>
  <c r="I29" i="11"/>
  <c r="AM29" i="11"/>
  <c r="AA29" i="11"/>
  <c r="AK29" i="11"/>
  <c r="AE29" i="11"/>
  <c r="I41" i="11"/>
  <c r="AM41" i="11"/>
  <c r="AA41" i="11"/>
  <c r="AK41" i="11"/>
  <c r="AE41" i="11"/>
  <c r="AG41" i="11" s="1"/>
  <c r="I11" i="11"/>
  <c r="G51" i="11"/>
  <c r="G55" i="11" s="1"/>
  <c r="G59" i="11" s="1"/>
  <c r="AM11" i="11"/>
  <c r="AA11" i="11"/>
  <c r="AK11" i="11"/>
  <c r="AE11" i="11"/>
  <c r="I15" i="11"/>
  <c r="AE15" i="11"/>
  <c r="AM15" i="11"/>
  <c r="AA15" i="11"/>
  <c r="AK15" i="11"/>
  <c r="I17" i="11"/>
  <c r="AK17" i="11"/>
  <c r="AA17" i="11"/>
  <c r="AE17" i="11"/>
  <c r="AM17" i="11"/>
  <c r="I19" i="11"/>
  <c r="AE19" i="11"/>
  <c r="AM19" i="11"/>
  <c r="AA19" i="11"/>
  <c r="AK19" i="11"/>
  <c r="AK22" i="11"/>
  <c r="I22" i="11"/>
  <c r="AM22" i="11"/>
  <c r="AE22" i="11"/>
  <c r="AA22" i="11"/>
  <c r="I24" i="11"/>
  <c r="AE24" i="11"/>
  <c r="AM24" i="11"/>
  <c r="AA24" i="11"/>
  <c r="AK24" i="11"/>
  <c r="I27" i="11"/>
  <c r="AE27" i="11"/>
  <c r="AA27" i="11"/>
  <c r="AM27" i="11"/>
  <c r="AK27" i="11"/>
  <c r="AK30" i="11"/>
  <c r="I30" i="11"/>
  <c r="AE30" i="11"/>
  <c r="AM30" i="11"/>
  <c r="AA30" i="11"/>
  <c r="B13" i="11"/>
  <c r="BH14" i="11"/>
  <c r="I23" i="11"/>
  <c r="AE23" i="11"/>
  <c r="AM23" i="11"/>
  <c r="AK23" i="11"/>
  <c r="AA23" i="11"/>
  <c r="I28" i="11"/>
  <c r="AE28" i="11"/>
  <c r="AM28" i="11"/>
  <c r="AA28" i="11"/>
  <c r="AK28" i="11"/>
  <c r="I14" i="11"/>
  <c r="AM14" i="11"/>
  <c r="AK14" i="11"/>
  <c r="AE14" i="11"/>
  <c r="AA14" i="11"/>
  <c r="I21" i="11"/>
  <c r="AM21" i="11"/>
  <c r="AA21" i="11"/>
  <c r="AK21" i="11"/>
  <c r="AE21" i="11"/>
  <c r="I12" i="11"/>
  <c r="AM12" i="11"/>
  <c r="AA12" i="11"/>
  <c r="AE12" i="11"/>
  <c r="AK12" i="11"/>
  <c r="I13" i="11"/>
  <c r="AK13" i="11"/>
  <c r="AE13" i="11"/>
  <c r="AM13" i="11"/>
  <c r="AA13" i="11"/>
  <c r="I25" i="11"/>
  <c r="AM25" i="11"/>
  <c r="AA25" i="11"/>
  <c r="AK25" i="11"/>
  <c r="AE25" i="11"/>
  <c r="I16" i="11"/>
  <c r="AM16" i="11"/>
  <c r="AA16" i="11"/>
  <c r="I31" i="11"/>
  <c r="AE31" i="11"/>
  <c r="AE40" i="11"/>
  <c r="AM40" i="11"/>
  <c r="AA40" i="11"/>
  <c r="I40" i="11"/>
  <c r="I45" i="11"/>
  <c r="AE45" i="11"/>
  <c r="AM45" i="11"/>
  <c r="AA45" i="11"/>
  <c r="AK45" i="11"/>
  <c r="AE32" i="11"/>
  <c r="AM32" i="11"/>
  <c r="AA32" i="11"/>
  <c r="I32" i="11"/>
  <c r="AE50" i="11"/>
  <c r="AM50" i="11"/>
  <c r="AA50" i="11"/>
  <c r="AE16" i="11"/>
  <c r="AM31" i="11"/>
  <c r="AK32" i="11"/>
  <c r="AQ32" i="11" s="1"/>
  <c r="AK48" i="11"/>
  <c r="AQ48" i="11" s="1"/>
  <c r="I48" i="11"/>
  <c r="AE48" i="11"/>
  <c r="AA48" i="11"/>
  <c r="AK50" i="11"/>
  <c r="B12" i="11"/>
  <c r="AK16" i="11"/>
  <c r="AA31" i="11"/>
  <c r="I33" i="11"/>
  <c r="AM33" i="11"/>
  <c r="AA33" i="11"/>
  <c r="AG33" i="11" s="1"/>
  <c r="AK33" i="11"/>
  <c r="I43" i="11"/>
  <c r="AE43" i="11"/>
  <c r="AG43" i="11" s="1"/>
  <c r="AM43" i="11"/>
  <c r="I49" i="11"/>
  <c r="AE49" i="11"/>
  <c r="AA49" i="11"/>
  <c r="AK31" i="11"/>
  <c r="I37" i="11"/>
  <c r="AE37" i="11"/>
  <c r="AM37" i="11"/>
  <c r="AK37" i="11"/>
  <c r="AE38" i="11"/>
  <c r="AG38" i="11" s="1"/>
  <c r="AM38" i="11"/>
  <c r="AK40" i="11"/>
  <c r="AK43" i="11"/>
  <c r="AQ43" i="11" s="1"/>
  <c r="AM49" i="11"/>
  <c r="AQ49" i="11" s="1"/>
  <c r="I50" i="11"/>
  <c r="AA37" i="11"/>
  <c r="AK38" i="11"/>
  <c r="I39" i="11"/>
  <c r="AE39" i="11"/>
  <c r="AA39" i="11"/>
  <c r="AK42" i="11"/>
  <c r="AA42" i="11"/>
  <c r="AE44" i="11"/>
  <c r="AM44" i="11"/>
  <c r="AQ44" i="11" s="1"/>
  <c r="AA44" i="11"/>
  <c r="I44" i="11"/>
  <c r="I38" i="11"/>
  <c r="AM34" i="11"/>
  <c r="AA34" i="11"/>
  <c r="AK34" i="11"/>
  <c r="AE34" i="11"/>
  <c r="I35" i="11"/>
  <c r="AK35" i="11"/>
  <c r="AK36" i="11"/>
  <c r="AM46" i="11"/>
  <c r="AA46" i="11"/>
  <c r="AK46" i="11"/>
  <c r="I47" i="11"/>
  <c r="AK47" i="11"/>
  <c r="AQ47" i="11" s="1"/>
  <c r="I36" i="11"/>
  <c r="AB53" i="10"/>
  <c r="C12" i="10"/>
  <c r="B36" i="10" s="1"/>
  <c r="AL28" i="10"/>
  <c r="AL52" i="10" s="1"/>
  <c r="Z25" i="10"/>
  <c r="Z49" i="10" s="1"/>
  <c r="AL25" i="10"/>
  <c r="AL49" i="10" s="1"/>
  <c r="AL95" i="10"/>
  <c r="AJ76" i="10" s="1"/>
  <c r="AF76" i="10" s="1"/>
  <c r="AB76" i="10" s="1"/>
  <c r="AH76" i="10"/>
  <c r="AD76" i="10" s="1"/>
  <c r="Z76" i="10" s="1"/>
  <c r="H26" i="10"/>
  <c r="Z26" i="10"/>
  <c r="Z50" i="10" s="1"/>
  <c r="BD11" i="10"/>
  <c r="F11" i="10" s="1"/>
  <c r="C13" i="10"/>
  <c r="B37" i="10" s="1"/>
  <c r="C14" i="10"/>
  <c r="B38" i="10" s="1"/>
  <c r="C15" i="10"/>
  <c r="B39" i="10" s="1"/>
  <c r="C16" i="10"/>
  <c r="B40" i="10" s="1"/>
  <c r="C17" i="10"/>
  <c r="B41" i="10" s="1"/>
  <c r="C18" i="10"/>
  <c r="B42" i="10" s="1"/>
  <c r="C19" i="10"/>
  <c r="B43" i="10" s="1"/>
  <c r="C20" i="10"/>
  <c r="B44" i="10" s="1"/>
  <c r="H27" i="10"/>
  <c r="F51" i="10"/>
  <c r="Z27" i="10"/>
  <c r="AD27" i="10"/>
  <c r="AD51" i="10" s="1"/>
  <c r="AJ27" i="10"/>
  <c r="AJ51" i="10" s="1"/>
  <c r="AL27" i="10"/>
  <c r="AL51" i="10" s="1"/>
  <c r="H24" i="10"/>
  <c r="F48" i="10"/>
  <c r="AJ24" i="10"/>
  <c r="AJ48" i="10" s="1"/>
  <c r="Z24" i="10"/>
  <c r="AL24" i="10"/>
  <c r="AL48" i="10" s="1"/>
  <c r="BD12" i="10"/>
  <c r="F12" i="10" s="1"/>
  <c r="AB30" i="10"/>
  <c r="AX30" i="10"/>
  <c r="BD13" i="10"/>
  <c r="F13" i="10" s="1"/>
  <c r="BD14" i="10"/>
  <c r="F14" i="10" s="1"/>
  <c r="BD15" i="10"/>
  <c r="F15" i="10" s="1"/>
  <c r="BD16" i="10"/>
  <c r="F16" i="10" s="1"/>
  <c r="BD17" i="10"/>
  <c r="F17" i="10" s="1"/>
  <c r="BD18" i="10"/>
  <c r="F18" i="10" s="1"/>
  <c r="BD19" i="10"/>
  <c r="F19" i="10" s="1"/>
  <c r="BD20" i="10"/>
  <c r="F20" i="10" s="1"/>
  <c r="BD21" i="10"/>
  <c r="F21" i="10" s="1"/>
  <c r="AD24" i="10"/>
  <c r="AD48" i="10" s="1"/>
  <c r="AH13" i="10"/>
  <c r="AJ25" i="10"/>
  <c r="AJ49" i="10" s="1"/>
  <c r="H25" i="10"/>
  <c r="AD25" i="10"/>
  <c r="AD49" i="10" s="1"/>
  <c r="AF49" i="10" s="1"/>
  <c r="AN49" i="10"/>
  <c r="AN26" i="10"/>
  <c r="C25" i="10"/>
  <c r="B49" i="10" s="1"/>
  <c r="BH26" i="10"/>
  <c r="AH26" i="10"/>
  <c r="Z28" i="10"/>
  <c r="AJ28" i="10"/>
  <c r="AJ52" i="10" s="1"/>
  <c r="BB30" i="10"/>
  <c r="AN36" i="10"/>
  <c r="AN13" i="10"/>
  <c r="F50" i="10"/>
  <c r="AL26" i="10"/>
  <c r="AL50" i="10" s="1"/>
  <c r="AD26" i="10"/>
  <c r="AD50" i="10" s="1"/>
  <c r="AD28" i="10"/>
  <c r="AD52" i="10" s="1"/>
  <c r="F49" i="10"/>
  <c r="F52" i="10"/>
  <c r="H28" i="10"/>
  <c r="H37" i="2"/>
  <c r="H38" i="2"/>
  <c r="H41" i="2"/>
  <c r="H42" i="2"/>
  <c r="H35" i="2"/>
  <c r="AC36" i="2"/>
  <c r="H36" i="2" s="1"/>
  <c r="AC37" i="2"/>
  <c r="AC38" i="2"/>
  <c r="AC39" i="2"/>
  <c r="H39" i="2" s="1"/>
  <c r="AC40" i="2"/>
  <c r="H40" i="2" s="1"/>
  <c r="AC41" i="2"/>
  <c r="AC42" i="2"/>
  <c r="AC43" i="2"/>
  <c r="H43" i="2" s="1"/>
  <c r="AC44" i="2"/>
  <c r="H44" i="2" s="1"/>
  <c r="AC45" i="2"/>
  <c r="H45" i="2" s="1"/>
  <c r="AC35" i="2"/>
  <c r="AC49" i="2"/>
  <c r="H49" i="2" s="1"/>
  <c r="AC50" i="2"/>
  <c r="H50" i="2" s="1"/>
  <c r="C35" i="8"/>
  <c r="D35" i="8"/>
  <c r="E35" i="8"/>
  <c r="F35" i="8"/>
  <c r="G35" i="8"/>
  <c r="H35" i="8"/>
  <c r="I35" i="8"/>
  <c r="J35" i="8"/>
  <c r="K35" i="8"/>
  <c r="L35" i="8"/>
  <c r="M35" i="8"/>
  <c r="AC51" i="2" s="1"/>
  <c r="H51" i="2" s="1"/>
  <c r="B35" i="8"/>
  <c r="I72" i="1"/>
  <c r="I75" i="1"/>
  <c r="M34" i="8"/>
  <c r="I53" i="4" s="1"/>
  <c r="L34" i="8"/>
  <c r="K34" i="8"/>
  <c r="J34" i="8"/>
  <c r="I34" i="8"/>
  <c r="H34" i="8"/>
  <c r="G34" i="8"/>
  <c r="F34" i="8"/>
  <c r="E34" i="8"/>
  <c r="D34" i="8"/>
  <c r="C34" i="8"/>
  <c r="B34" i="8"/>
  <c r="M31" i="8"/>
  <c r="L31" i="8"/>
  <c r="K31" i="8"/>
  <c r="J31" i="8"/>
  <c r="I31" i="8"/>
  <c r="H31" i="8"/>
  <c r="G31" i="8"/>
  <c r="F31" i="8"/>
  <c r="E31" i="8"/>
  <c r="D31" i="8"/>
  <c r="C31" i="8"/>
  <c r="B31" i="8"/>
  <c r="M9" i="8"/>
  <c r="M32" i="8" s="1"/>
  <c r="L9" i="8"/>
  <c r="L32" i="8" s="1"/>
  <c r="K9" i="8"/>
  <c r="K32" i="8" s="1"/>
  <c r="J9" i="8"/>
  <c r="J32" i="8" s="1"/>
  <c r="I9" i="8"/>
  <c r="I32" i="8" s="1"/>
  <c r="H9" i="8"/>
  <c r="H32" i="8" s="1"/>
  <c r="G9" i="8"/>
  <c r="G32" i="8" s="1"/>
  <c r="F9" i="8"/>
  <c r="F32" i="8" s="1"/>
  <c r="E9" i="8"/>
  <c r="E32" i="8" s="1"/>
  <c r="D9" i="8"/>
  <c r="D32" i="8" s="1"/>
  <c r="C9" i="8"/>
  <c r="C32" i="8" s="1"/>
  <c r="B9" i="8"/>
  <c r="B32" i="8" s="1"/>
  <c r="AP27" i="9" l="1"/>
  <c r="AP48" i="9"/>
  <c r="AG46" i="11"/>
  <c r="AQ45" i="11"/>
  <c r="AQ14" i="11"/>
  <c r="AQ27" i="11"/>
  <c r="AP42" i="9"/>
  <c r="AP46" i="9"/>
  <c r="J48" i="9"/>
  <c r="W48" i="9" s="1"/>
  <c r="S48" i="9"/>
  <c r="O48" i="9"/>
  <c r="N48" i="9"/>
  <c r="R48" i="9"/>
  <c r="T48" i="9"/>
  <c r="AP49" i="9"/>
  <c r="AP13" i="9"/>
  <c r="AP15" i="9"/>
  <c r="Q48" i="9"/>
  <c r="M48" i="9"/>
  <c r="J43" i="9"/>
  <c r="L43" i="9"/>
  <c r="P43" i="9"/>
  <c r="T43" i="9"/>
  <c r="O43" i="9"/>
  <c r="N43" i="9"/>
  <c r="S43" i="9"/>
  <c r="Q43" i="9"/>
  <c r="M43" i="9"/>
  <c r="R43" i="9"/>
  <c r="J58" i="9"/>
  <c r="L58" i="9"/>
  <c r="P58" i="9"/>
  <c r="M58" i="9"/>
  <c r="O58" i="9"/>
  <c r="N58" i="9"/>
  <c r="Q58" i="9"/>
  <c r="J55" i="9"/>
  <c r="M55" i="9"/>
  <c r="L55" i="9"/>
  <c r="P55" i="9"/>
  <c r="T55" i="9"/>
  <c r="Q55" i="9"/>
  <c r="N55" i="9"/>
  <c r="R55" i="9"/>
  <c r="S55" i="9"/>
  <c r="O55" i="9"/>
  <c r="J41" i="9"/>
  <c r="L41" i="9"/>
  <c r="P41" i="9"/>
  <c r="T41" i="9"/>
  <c r="M41" i="9"/>
  <c r="R41" i="9"/>
  <c r="Q41" i="9"/>
  <c r="N41" i="9"/>
  <c r="S41" i="9"/>
  <c r="O41" i="9"/>
  <c r="L20" i="9"/>
  <c r="P20" i="9"/>
  <c r="T20" i="9"/>
  <c r="M20" i="9"/>
  <c r="Q20" i="9"/>
  <c r="S20" i="9"/>
  <c r="O20" i="9"/>
  <c r="N20" i="9"/>
  <c r="R20" i="9"/>
  <c r="J20" i="9"/>
  <c r="J49" i="9"/>
  <c r="L49" i="9"/>
  <c r="P49" i="9"/>
  <c r="T49" i="9"/>
  <c r="M49" i="9"/>
  <c r="R49" i="9"/>
  <c r="Q49" i="9"/>
  <c r="N49" i="9"/>
  <c r="S49" i="9"/>
  <c r="O49" i="9"/>
  <c r="J35" i="9"/>
  <c r="L35" i="9"/>
  <c r="P35" i="9"/>
  <c r="T35" i="9"/>
  <c r="M35" i="9"/>
  <c r="Q35" i="9"/>
  <c r="O35" i="9"/>
  <c r="R35" i="9"/>
  <c r="N35" i="9"/>
  <c r="S35" i="9"/>
  <c r="J65" i="9"/>
  <c r="L65" i="9"/>
  <c r="P65" i="9"/>
  <c r="T65" i="9"/>
  <c r="R65" i="9"/>
  <c r="M65" i="9"/>
  <c r="Q65" i="9"/>
  <c r="N65" i="9"/>
  <c r="O65" i="9"/>
  <c r="S65" i="9"/>
  <c r="J46" i="9"/>
  <c r="L46" i="9"/>
  <c r="P46" i="9"/>
  <c r="T46" i="9"/>
  <c r="Q46" i="9"/>
  <c r="O46" i="9"/>
  <c r="R46" i="9"/>
  <c r="M46" i="9"/>
  <c r="S46" i="9"/>
  <c r="N46" i="9"/>
  <c r="J19" i="9"/>
  <c r="L19" i="9"/>
  <c r="P19" i="9"/>
  <c r="T19" i="9"/>
  <c r="M19" i="9"/>
  <c r="Q19" i="9"/>
  <c r="O19" i="9"/>
  <c r="R19" i="9"/>
  <c r="N19" i="9"/>
  <c r="S19" i="9"/>
  <c r="J51" i="9"/>
  <c r="L51" i="9"/>
  <c r="P51" i="9"/>
  <c r="T51" i="9"/>
  <c r="O51" i="9"/>
  <c r="N51" i="9"/>
  <c r="S51" i="9"/>
  <c r="Q51" i="9"/>
  <c r="M51" i="9"/>
  <c r="R51" i="9"/>
  <c r="J22" i="9"/>
  <c r="L22" i="9"/>
  <c r="P22" i="9"/>
  <c r="T22" i="9"/>
  <c r="M22" i="9"/>
  <c r="Q22" i="9"/>
  <c r="S22" i="9"/>
  <c r="N22" i="9"/>
  <c r="O22" i="9"/>
  <c r="R22" i="9"/>
  <c r="J63" i="9"/>
  <c r="L63" i="9"/>
  <c r="P63" i="9"/>
  <c r="T63" i="9"/>
  <c r="N63" i="9"/>
  <c r="M63" i="9"/>
  <c r="Q63" i="9"/>
  <c r="R63" i="9"/>
  <c r="S63" i="9"/>
  <c r="O63" i="9"/>
  <c r="J17" i="9"/>
  <c r="L17" i="9"/>
  <c r="P17" i="9"/>
  <c r="T17" i="9"/>
  <c r="M17" i="9"/>
  <c r="Q17" i="9"/>
  <c r="O17" i="9"/>
  <c r="S17" i="9"/>
  <c r="R17" i="9"/>
  <c r="N17" i="9"/>
  <c r="J26" i="9"/>
  <c r="L26" i="9"/>
  <c r="P26" i="9"/>
  <c r="T26" i="9"/>
  <c r="M26" i="9"/>
  <c r="Q26" i="9"/>
  <c r="S26" i="9"/>
  <c r="R26" i="9"/>
  <c r="O26" i="9"/>
  <c r="N26" i="9"/>
  <c r="J18" i="9"/>
  <c r="L18" i="9"/>
  <c r="P18" i="9"/>
  <c r="T18" i="9"/>
  <c r="M18" i="9"/>
  <c r="Q18" i="9"/>
  <c r="S18" i="9"/>
  <c r="R18" i="9"/>
  <c r="O18" i="9"/>
  <c r="N18" i="9"/>
  <c r="J14" i="9"/>
  <c r="L14" i="9"/>
  <c r="P14" i="9"/>
  <c r="T14" i="9"/>
  <c r="M14" i="9"/>
  <c r="Q14" i="9"/>
  <c r="S14" i="9"/>
  <c r="N14" i="9"/>
  <c r="O14" i="9"/>
  <c r="R14" i="9"/>
  <c r="J57" i="9"/>
  <c r="L57" i="9"/>
  <c r="P57" i="9"/>
  <c r="N57" i="9"/>
  <c r="Q57" i="9"/>
  <c r="O57" i="9"/>
  <c r="M57" i="9"/>
  <c r="J11" i="9"/>
  <c r="L11" i="9"/>
  <c r="P11" i="9"/>
  <c r="T11" i="9"/>
  <c r="M11" i="9"/>
  <c r="Q11" i="9"/>
  <c r="N11" i="9"/>
  <c r="O11" i="9"/>
  <c r="R11" i="9"/>
  <c r="S11" i="9"/>
  <c r="W45" i="9"/>
  <c r="V45" i="9"/>
  <c r="U45" i="9"/>
  <c r="V48" i="9"/>
  <c r="L32" i="9"/>
  <c r="P32" i="9"/>
  <c r="T32" i="9"/>
  <c r="M32" i="9"/>
  <c r="Q32" i="9"/>
  <c r="S32" i="9"/>
  <c r="R32" i="9"/>
  <c r="J32" i="9"/>
  <c r="N32" i="9"/>
  <c r="O32" i="9"/>
  <c r="L66" i="9"/>
  <c r="P66" i="9"/>
  <c r="T66" i="9"/>
  <c r="R66" i="9"/>
  <c r="J66" i="9"/>
  <c r="M66" i="9"/>
  <c r="Q66" i="9"/>
  <c r="N66" i="9"/>
  <c r="O66" i="9"/>
  <c r="S66" i="9"/>
  <c r="U21" i="9"/>
  <c r="W21" i="9"/>
  <c r="V21" i="9"/>
  <c r="J62" i="9"/>
  <c r="L62" i="9"/>
  <c r="P62" i="9"/>
  <c r="T62" i="9"/>
  <c r="N62" i="9"/>
  <c r="R62" i="9"/>
  <c r="M62" i="9"/>
  <c r="Q62" i="9"/>
  <c r="O62" i="9"/>
  <c r="S62" i="9"/>
  <c r="J47" i="9"/>
  <c r="L47" i="9"/>
  <c r="P47" i="9"/>
  <c r="T47" i="9"/>
  <c r="O47" i="9"/>
  <c r="N47" i="9"/>
  <c r="S47" i="9"/>
  <c r="Q47" i="9"/>
  <c r="R47" i="9"/>
  <c r="M47" i="9"/>
  <c r="J38" i="9"/>
  <c r="L38" i="9"/>
  <c r="P38" i="9"/>
  <c r="T38" i="9"/>
  <c r="M38" i="9"/>
  <c r="R38" i="9"/>
  <c r="N38" i="9"/>
  <c r="S38" i="9"/>
  <c r="O38" i="9"/>
  <c r="Q38" i="9"/>
  <c r="AP30" i="9"/>
  <c r="J31" i="9"/>
  <c r="L31" i="9"/>
  <c r="P31" i="9"/>
  <c r="M31" i="9"/>
  <c r="Q31" i="9"/>
  <c r="O31" i="9"/>
  <c r="N31" i="9"/>
  <c r="J42" i="9"/>
  <c r="L42" i="9"/>
  <c r="P42" i="9"/>
  <c r="T42" i="9"/>
  <c r="Q42" i="9"/>
  <c r="O42" i="9"/>
  <c r="M42" i="9"/>
  <c r="N42" i="9"/>
  <c r="R42" i="9"/>
  <c r="S42" i="9"/>
  <c r="J39" i="9"/>
  <c r="L39" i="9"/>
  <c r="P39" i="9"/>
  <c r="T39" i="9"/>
  <c r="O39" i="9"/>
  <c r="N39" i="9"/>
  <c r="S39" i="9"/>
  <c r="Q39" i="9"/>
  <c r="R39" i="9"/>
  <c r="M39" i="9"/>
  <c r="J37" i="9"/>
  <c r="L37" i="9"/>
  <c r="P37" i="9"/>
  <c r="T37" i="9"/>
  <c r="M37" i="9"/>
  <c r="Q37" i="9"/>
  <c r="O37" i="9"/>
  <c r="N37" i="9"/>
  <c r="R37" i="9"/>
  <c r="S37" i="9"/>
  <c r="J23" i="9"/>
  <c r="L23" i="9"/>
  <c r="P23" i="9"/>
  <c r="T23" i="9"/>
  <c r="M23" i="9"/>
  <c r="Q23" i="9"/>
  <c r="O23" i="9"/>
  <c r="S23" i="9"/>
  <c r="R23" i="9"/>
  <c r="N23" i="9"/>
  <c r="L44" i="9"/>
  <c r="P44" i="9"/>
  <c r="T44" i="9"/>
  <c r="N44" i="9"/>
  <c r="S44" i="9"/>
  <c r="M44" i="9"/>
  <c r="R44" i="9"/>
  <c r="O44" i="9"/>
  <c r="J44" i="9"/>
  <c r="Q44" i="9"/>
  <c r="L56" i="9"/>
  <c r="P56" i="9"/>
  <c r="O56" i="9"/>
  <c r="J56" i="9"/>
  <c r="M56" i="9"/>
  <c r="Q56" i="9"/>
  <c r="N56" i="9"/>
  <c r="W40" i="9"/>
  <c r="U40" i="9"/>
  <c r="V40" i="9"/>
  <c r="J28" i="9"/>
  <c r="L28" i="9"/>
  <c r="P28" i="9"/>
  <c r="T28" i="9"/>
  <c r="M28" i="9"/>
  <c r="Q28" i="9"/>
  <c r="S28" i="9"/>
  <c r="O28" i="9"/>
  <c r="N28" i="9"/>
  <c r="R28" i="9"/>
  <c r="L16" i="9"/>
  <c r="P16" i="9"/>
  <c r="T16" i="9"/>
  <c r="M16" i="9"/>
  <c r="Q16" i="9"/>
  <c r="S16" i="9"/>
  <c r="R16" i="9"/>
  <c r="O16" i="9"/>
  <c r="J16" i="9"/>
  <c r="N16" i="9"/>
  <c r="L12" i="9"/>
  <c r="P12" i="9"/>
  <c r="T12" i="9"/>
  <c r="M12" i="9"/>
  <c r="Q12" i="9"/>
  <c r="S12" i="9"/>
  <c r="O12" i="9"/>
  <c r="N12" i="9"/>
  <c r="J12" i="9"/>
  <c r="R12" i="9"/>
  <c r="L24" i="9"/>
  <c r="P24" i="9"/>
  <c r="M24" i="9"/>
  <c r="Q24" i="9"/>
  <c r="N24" i="9"/>
  <c r="O24" i="9"/>
  <c r="J24" i="9"/>
  <c r="AP66" i="9"/>
  <c r="J53" i="9"/>
  <c r="L53" i="9"/>
  <c r="M53" i="9"/>
  <c r="Q53" i="9"/>
  <c r="P53" i="9"/>
  <c r="T53" i="9"/>
  <c r="R53" i="9"/>
  <c r="N53" i="9"/>
  <c r="S53" i="9"/>
  <c r="O53" i="9"/>
  <c r="L52" i="9"/>
  <c r="P52" i="9"/>
  <c r="T52" i="9"/>
  <c r="N52" i="9"/>
  <c r="S52" i="9"/>
  <c r="M52" i="9"/>
  <c r="R52" i="9"/>
  <c r="O52" i="9"/>
  <c r="J52" i="9"/>
  <c r="Q52" i="9"/>
  <c r="V64" i="9"/>
  <c r="U64" i="9"/>
  <c r="W64" i="9"/>
  <c r="J34" i="9"/>
  <c r="L34" i="9"/>
  <c r="P34" i="9"/>
  <c r="T34" i="9"/>
  <c r="M34" i="9"/>
  <c r="Q34" i="9"/>
  <c r="S34" i="9"/>
  <c r="R34" i="9"/>
  <c r="O34" i="9"/>
  <c r="N34" i="9"/>
  <c r="AP29" i="9"/>
  <c r="J30" i="9"/>
  <c r="L30" i="9"/>
  <c r="P30" i="9"/>
  <c r="T30" i="9"/>
  <c r="M30" i="9"/>
  <c r="Q30" i="9"/>
  <c r="S30" i="9"/>
  <c r="N30" i="9"/>
  <c r="O30" i="9"/>
  <c r="R30" i="9"/>
  <c r="J59" i="9"/>
  <c r="L59" i="9"/>
  <c r="P59" i="9"/>
  <c r="T59" i="9"/>
  <c r="Q59" i="9"/>
  <c r="S59" i="9"/>
  <c r="M59" i="9"/>
  <c r="R59" i="9"/>
  <c r="N59" i="9"/>
  <c r="O59" i="9"/>
  <c r="J25" i="9"/>
  <c r="L25" i="9"/>
  <c r="P25" i="9"/>
  <c r="M25" i="9"/>
  <c r="Q25" i="9"/>
  <c r="O25" i="9"/>
  <c r="N25" i="9"/>
  <c r="J13" i="9"/>
  <c r="L13" i="9"/>
  <c r="P13" i="9"/>
  <c r="T13" i="9"/>
  <c r="M13" i="9"/>
  <c r="Q13" i="9"/>
  <c r="O13" i="9"/>
  <c r="N13" i="9"/>
  <c r="R13" i="9"/>
  <c r="S13" i="9"/>
  <c r="J54" i="9"/>
  <c r="M54" i="9"/>
  <c r="Q54" i="9"/>
  <c r="L54" i="9"/>
  <c r="P54" i="9"/>
  <c r="T54" i="9"/>
  <c r="N54" i="9"/>
  <c r="R54" i="9"/>
  <c r="O54" i="9"/>
  <c r="S54" i="9"/>
  <c r="J15" i="9"/>
  <c r="L15" i="9"/>
  <c r="P15" i="9"/>
  <c r="T15" i="9"/>
  <c r="M15" i="9"/>
  <c r="Q15" i="9"/>
  <c r="O15" i="9"/>
  <c r="S15" i="9"/>
  <c r="N15" i="9"/>
  <c r="R15" i="9"/>
  <c r="L60" i="9"/>
  <c r="P60" i="9"/>
  <c r="O60" i="9"/>
  <c r="T60" i="9"/>
  <c r="R60" i="9"/>
  <c r="J60" i="9"/>
  <c r="Q60" i="9"/>
  <c r="M60" i="9"/>
  <c r="N60" i="9"/>
  <c r="S60" i="9"/>
  <c r="J50" i="9"/>
  <c r="L50" i="9"/>
  <c r="P50" i="9"/>
  <c r="T50" i="9"/>
  <c r="Q50" i="9"/>
  <c r="O50" i="9"/>
  <c r="M50" i="9"/>
  <c r="N50" i="9"/>
  <c r="R50" i="9"/>
  <c r="S50" i="9"/>
  <c r="J27" i="9"/>
  <c r="L27" i="9"/>
  <c r="P27" i="9"/>
  <c r="T27" i="9"/>
  <c r="M27" i="9"/>
  <c r="Q27" i="9"/>
  <c r="O27" i="9"/>
  <c r="R27" i="9"/>
  <c r="N27" i="9"/>
  <c r="S27" i="9"/>
  <c r="AP22" i="9"/>
  <c r="AP39" i="9"/>
  <c r="AP37" i="9"/>
  <c r="AP23" i="9"/>
  <c r="L36" i="9"/>
  <c r="P36" i="9"/>
  <c r="T36" i="9"/>
  <c r="M36" i="9"/>
  <c r="Q36" i="9"/>
  <c r="S36" i="9"/>
  <c r="O36" i="9"/>
  <c r="N36" i="9"/>
  <c r="R36" i="9"/>
  <c r="J36" i="9"/>
  <c r="U33" i="9"/>
  <c r="W33" i="9"/>
  <c r="V33" i="9"/>
  <c r="L61" i="9"/>
  <c r="P61" i="9"/>
  <c r="T61" i="9"/>
  <c r="R61" i="9"/>
  <c r="M61" i="9"/>
  <c r="Q61" i="9"/>
  <c r="N61" i="9"/>
  <c r="O61" i="9"/>
  <c r="J61" i="9"/>
  <c r="S61" i="9"/>
  <c r="AP12" i="9"/>
  <c r="U29" i="9"/>
  <c r="W29" i="9"/>
  <c r="V29" i="9"/>
  <c r="AP24" i="9"/>
  <c r="G68" i="9"/>
  <c r="G75" i="9" s="1"/>
  <c r="AL10" i="9"/>
  <c r="AL68" i="9" s="1"/>
  <c r="I10" i="9"/>
  <c r="Z10" i="9"/>
  <c r="AJ10" i="9"/>
  <c r="AP33" i="9"/>
  <c r="AP43" i="9"/>
  <c r="AP55" i="9"/>
  <c r="AP53" i="9"/>
  <c r="AP11" i="9"/>
  <c r="AP35" i="9"/>
  <c r="AP21" i="9"/>
  <c r="AP19" i="9"/>
  <c r="AP59" i="9"/>
  <c r="AP51" i="9"/>
  <c r="AP63" i="9"/>
  <c r="AP25" i="9"/>
  <c r="AP17" i="9"/>
  <c r="AP54" i="9"/>
  <c r="AP26" i="9"/>
  <c r="AP18" i="9"/>
  <c r="AP14" i="9"/>
  <c r="AP57" i="9"/>
  <c r="AG47" i="11"/>
  <c r="AQ39" i="11"/>
  <c r="AG34" i="11"/>
  <c r="J36" i="11"/>
  <c r="L36" i="11"/>
  <c r="P36" i="11"/>
  <c r="T36" i="11"/>
  <c r="M36" i="11"/>
  <c r="Q36" i="11"/>
  <c r="N36" i="11"/>
  <c r="O36" i="11"/>
  <c r="R36" i="11"/>
  <c r="S36" i="11"/>
  <c r="J35" i="11"/>
  <c r="L35" i="11"/>
  <c r="P35" i="11"/>
  <c r="T35" i="11"/>
  <c r="M35" i="11"/>
  <c r="Q35" i="11"/>
  <c r="R35" i="11"/>
  <c r="S35" i="11"/>
  <c r="N35" i="11"/>
  <c r="O35" i="11"/>
  <c r="J32" i="11"/>
  <c r="L32" i="11"/>
  <c r="P32" i="11"/>
  <c r="T32" i="11"/>
  <c r="M32" i="11"/>
  <c r="Q32" i="11"/>
  <c r="N32" i="11"/>
  <c r="O32" i="11"/>
  <c r="R32" i="11"/>
  <c r="S32" i="11"/>
  <c r="J45" i="11"/>
  <c r="L45" i="11"/>
  <c r="P45" i="11"/>
  <c r="T45" i="11"/>
  <c r="M45" i="11"/>
  <c r="Q45" i="11"/>
  <c r="N45" i="11"/>
  <c r="S45" i="11"/>
  <c r="O45" i="11"/>
  <c r="R45" i="11"/>
  <c r="J12" i="11"/>
  <c r="L12" i="11"/>
  <c r="P12" i="11"/>
  <c r="T12" i="11"/>
  <c r="M12" i="11"/>
  <c r="Q12" i="11"/>
  <c r="N12" i="11"/>
  <c r="O12" i="11"/>
  <c r="R12" i="11"/>
  <c r="S12" i="11"/>
  <c r="J23" i="11"/>
  <c r="L23" i="11"/>
  <c r="P23" i="11"/>
  <c r="T23" i="11"/>
  <c r="M23" i="11"/>
  <c r="Q23" i="11"/>
  <c r="R23" i="11"/>
  <c r="S23" i="11"/>
  <c r="N23" i="11"/>
  <c r="O23" i="11"/>
  <c r="J27" i="11"/>
  <c r="L27" i="11"/>
  <c r="P27" i="11"/>
  <c r="T27" i="11"/>
  <c r="M27" i="11"/>
  <c r="Q27" i="11"/>
  <c r="R27" i="11"/>
  <c r="S27" i="11"/>
  <c r="N27" i="11"/>
  <c r="O27" i="11"/>
  <c r="J41" i="11"/>
  <c r="L41" i="11"/>
  <c r="P41" i="11"/>
  <c r="T41" i="11"/>
  <c r="M41" i="11"/>
  <c r="Q41" i="11"/>
  <c r="N41" i="11"/>
  <c r="S41" i="11"/>
  <c r="O41" i="11"/>
  <c r="R41" i="11"/>
  <c r="J18" i="11"/>
  <c r="L18" i="11"/>
  <c r="P18" i="11"/>
  <c r="T18" i="11"/>
  <c r="M18" i="11"/>
  <c r="Q18" i="11"/>
  <c r="N18" i="11"/>
  <c r="O18" i="11"/>
  <c r="S18" i="11"/>
  <c r="R18" i="11"/>
  <c r="J33" i="11"/>
  <c r="L33" i="11"/>
  <c r="P33" i="11"/>
  <c r="T33" i="11"/>
  <c r="M33" i="11"/>
  <c r="Q33" i="11"/>
  <c r="R33" i="11"/>
  <c r="S33" i="11"/>
  <c r="O33" i="11"/>
  <c r="N33" i="11"/>
  <c r="J40" i="11"/>
  <c r="L40" i="11"/>
  <c r="P40" i="11"/>
  <c r="T40" i="11"/>
  <c r="M40" i="11"/>
  <c r="Q40" i="11"/>
  <c r="R40" i="11"/>
  <c r="O40" i="11"/>
  <c r="S40" i="11"/>
  <c r="N40" i="11"/>
  <c r="J24" i="11"/>
  <c r="L24" i="11"/>
  <c r="P24" i="11"/>
  <c r="T24" i="11"/>
  <c r="M24" i="11"/>
  <c r="Q24" i="11"/>
  <c r="N24" i="11"/>
  <c r="O24" i="11"/>
  <c r="R24" i="11"/>
  <c r="S24" i="11"/>
  <c r="J15" i="11"/>
  <c r="L15" i="11"/>
  <c r="P15" i="11"/>
  <c r="T15" i="11"/>
  <c r="M15" i="11"/>
  <c r="Q15" i="11"/>
  <c r="R15" i="11"/>
  <c r="S15" i="11"/>
  <c r="N15" i="11"/>
  <c r="O15" i="11"/>
  <c r="J47" i="11"/>
  <c r="L47" i="11"/>
  <c r="P47" i="11"/>
  <c r="T47" i="11"/>
  <c r="M47" i="11"/>
  <c r="Q47" i="11"/>
  <c r="N47" i="11"/>
  <c r="O47" i="11"/>
  <c r="S47" i="11"/>
  <c r="R47" i="11"/>
  <c r="J44" i="11"/>
  <c r="L44" i="11"/>
  <c r="P44" i="11"/>
  <c r="T44" i="11"/>
  <c r="M44" i="11"/>
  <c r="Q44" i="11"/>
  <c r="R44" i="11"/>
  <c r="O44" i="11"/>
  <c r="S44" i="11"/>
  <c r="N44" i="11"/>
  <c r="J31" i="11"/>
  <c r="L31" i="11"/>
  <c r="P31" i="11"/>
  <c r="T31" i="11"/>
  <c r="M31" i="11"/>
  <c r="Q31" i="11"/>
  <c r="R31" i="11"/>
  <c r="S31" i="11"/>
  <c r="N31" i="11"/>
  <c r="O31" i="11"/>
  <c r="J25" i="11"/>
  <c r="L25" i="11"/>
  <c r="P25" i="11"/>
  <c r="T25" i="11"/>
  <c r="M25" i="11"/>
  <c r="Q25" i="11"/>
  <c r="R25" i="11"/>
  <c r="S25" i="11"/>
  <c r="O25" i="11"/>
  <c r="N25" i="11"/>
  <c r="J14" i="11"/>
  <c r="L14" i="11"/>
  <c r="P14" i="11"/>
  <c r="T14" i="11"/>
  <c r="M14" i="11"/>
  <c r="Q14" i="11"/>
  <c r="N14" i="11"/>
  <c r="O14" i="11"/>
  <c r="S14" i="11"/>
  <c r="R14" i="11"/>
  <c r="J30" i="11"/>
  <c r="L30" i="11"/>
  <c r="P30" i="11"/>
  <c r="T30" i="11"/>
  <c r="M30" i="11"/>
  <c r="Q30" i="11"/>
  <c r="N30" i="11"/>
  <c r="O30" i="11"/>
  <c r="S30" i="11"/>
  <c r="R30" i="11"/>
  <c r="J46" i="11"/>
  <c r="L46" i="11"/>
  <c r="P46" i="11"/>
  <c r="T46" i="11"/>
  <c r="M46" i="11"/>
  <c r="Q46" i="11"/>
  <c r="R46" i="11"/>
  <c r="O46" i="11"/>
  <c r="S46" i="11"/>
  <c r="N46" i="11"/>
  <c r="J42" i="11"/>
  <c r="L42" i="11"/>
  <c r="P42" i="11"/>
  <c r="T42" i="11"/>
  <c r="M42" i="11"/>
  <c r="Q42" i="11"/>
  <c r="R42" i="11"/>
  <c r="O42" i="11"/>
  <c r="S42" i="11"/>
  <c r="N42" i="11"/>
  <c r="J48" i="11"/>
  <c r="L48" i="11"/>
  <c r="P48" i="11"/>
  <c r="T48" i="11"/>
  <c r="M48" i="11"/>
  <c r="Q48" i="11"/>
  <c r="R48" i="11"/>
  <c r="O48" i="11"/>
  <c r="S48" i="11"/>
  <c r="N48" i="11"/>
  <c r="J17" i="11"/>
  <c r="L17" i="11"/>
  <c r="P17" i="11"/>
  <c r="T17" i="11"/>
  <c r="M17" i="11"/>
  <c r="Q17" i="11"/>
  <c r="R17" i="11"/>
  <c r="S17" i="11"/>
  <c r="O17" i="11"/>
  <c r="N17" i="11"/>
  <c r="J38" i="11"/>
  <c r="L38" i="11"/>
  <c r="P38" i="11"/>
  <c r="T38" i="11"/>
  <c r="M38" i="11"/>
  <c r="N38" i="11"/>
  <c r="S38" i="11"/>
  <c r="O38" i="11"/>
  <c r="R38" i="11"/>
  <c r="Q38" i="11"/>
  <c r="J50" i="11"/>
  <c r="L50" i="11"/>
  <c r="P50" i="11"/>
  <c r="T50" i="11"/>
  <c r="M50" i="11"/>
  <c r="Q50" i="11"/>
  <c r="R50" i="11"/>
  <c r="O50" i="11"/>
  <c r="S50" i="11"/>
  <c r="N50" i="11"/>
  <c r="J43" i="11"/>
  <c r="L43" i="11"/>
  <c r="P43" i="11"/>
  <c r="T43" i="11"/>
  <c r="M43" i="11"/>
  <c r="Q43" i="11"/>
  <c r="N43" i="11"/>
  <c r="S43" i="11"/>
  <c r="O43" i="11"/>
  <c r="R43" i="11"/>
  <c r="J16" i="11"/>
  <c r="L16" i="11"/>
  <c r="P16" i="11"/>
  <c r="T16" i="11"/>
  <c r="M16" i="11"/>
  <c r="Q16" i="11"/>
  <c r="N16" i="11"/>
  <c r="O16" i="11"/>
  <c r="R16" i="11"/>
  <c r="S16" i="11"/>
  <c r="J21" i="11"/>
  <c r="L21" i="11"/>
  <c r="P21" i="11"/>
  <c r="T21" i="11"/>
  <c r="M21" i="11"/>
  <c r="Q21" i="11"/>
  <c r="R21" i="11"/>
  <c r="S21" i="11"/>
  <c r="O21" i="11"/>
  <c r="N21" i="11"/>
  <c r="J22" i="11"/>
  <c r="L22" i="11"/>
  <c r="P22" i="11"/>
  <c r="T22" i="11"/>
  <c r="M22" i="11"/>
  <c r="Q22" i="11"/>
  <c r="N22" i="11"/>
  <c r="O22" i="11"/>
  <c r="S22" i="11"/>
  <c r="R22" i="11"/>
  <c r="J29" i="11"/>
  <c r="L29" i="11"/>
  <c r="P29" i="11"/>
  <c r="T29" i="11"/>
  <c r="M29" i="11"/>
  <c r="Q29" i="11"/>
  <c r="R29" i="11"/>
  <c r="S29" i="11"/>
  <c r="O29" i="11"/>
  <c r="N29" i="11"/>
  <c r="J26" i="11"/>
  <c r="L26" i="11"/>
  <c r="P26" i="11"/>
  <c r="T26" i="11"/>
  <c r="M26" i="11"/>
  <c r="Q26" i="11"/>
  <c r="N26" i="11"/>
  <c r="O26" i="11"/>
  <c r="S26" i="11"/>
  <c r="R26" i="11"/>
  <c r="AQ36" i="11"/>
  <c r="AG42" i="11"/>
  <c r="J39" i="11"/>
  <c r="L39" i="11"/>
  <c r="P39" i="11"/>
  <c r="T39" i="11"/>
  <c r="M39" i="11"/>
  <c r="R39" i="11"/>
  <c r="N39" i="11"/>
  <c r="S39" i="11"/>
  <c r="Q39" i="11"/>
  <c r="O39" i="11"/>
  <c r="J37" i="11"/>
  <c r="L37" i="11"/>
  <c r="P37" i="11"/>
  <c r="T37" i="11"/>
  <c r="M37" i="11"/>
  <c r="Q37" i="11"/>
  <c r="R37" i="11"/>
  <c r="S37" i="11"/>
  <c r="O37" i="11"/>
  <c r="N37" i="11"/>
  <c r="J49" i="11"/>
  <c r="L49" i="11"/>
  <c r="P49" i="11"/>
  <c r="T49" i="11"/>
  <c r="M49" i="11"/>
  <c r="Q49" i="11"/>
  <c r="N49" i="11"/>
  <c r="O49" i="11"/>
  <c r="S49" i="11"/>
  <c r="R49" i="11"/>
  <c r="AQ35" i="11"/>
  <c r="AQ42" i="11"/>
  <c r="AQ38" i="11"/>
  <c r="AQ16" i="11"/>
  <c r="AG48" i="11"/>
  <c r="AG32" i="11"/>
  <c r="AG45" i="11"/>
  <c r="AQ25" i="11"/>
  <c r="J13" i="11"/>
  <c r="L13" i="11"/>
  <c r="P13" i="11"/>
  <c r="T13" i="11"/>
  <c r="M13" i="11"/>
  <c r="Q13" i="11"/>
  <c r="R13" i="11"/>
  <c r="S13" i="11"/>
  <c r="O13" i="11"/>
  <c r="N13" i="11"/>
  <c r="AQ28" i="11"/>
  <c r="J28" i="11"/>
  <c r="L28" i="11"/>
  <c r="P28" i="11"/>
  <c r="T28" i="11"/>
  <c r="M28" i="11"/>
  <c r="Q28" i="11"/>
  <c r="N28" i="11"/>
  <c r="O28" i="11"/>
  <c r="R28" i="11"/>
  <c r="S28" i="11"/>
  <c r="AQ30" i="11"/>
  <c r="AG27" i="11"/>
  <c r="AQ19" i="11"/>
  <c r="J19" i="11"/>
  <c r="L19" i="11"/>
  <c r="P19" i="11"/>
  <c r="T19" i="11"/>
  <c r="M19" i="11"/>
  <c r="Q19" i="11"/>
  <c r="R19" i="11"/>
  <c r="S19" i="11"/>
  <c r="N19" i="11"/>
  <c r="O19" i="11"/>
  <c r="AQ17" i="11"/>
  <c r="N11" i="11"/>
  <c r="R11" i="11"/>
  <c r="O11" i="11"/>
  <c r="S11" i="11"/>
  <c r="P11" i="11"/>
  <c r="Q11" i="11"/>
  <c r="M11" i="11"/>
  <c r="L11" i="11"/>
  <c r="T11" i="11"/>
  <c r="J20" i="11"/>
  <c r="L20" i="11"/>
  <c r="P20" i="11"/>
  <c r="T20" i="11"/>
  <c r="M20" i="11"/>
  <c r="Q20" i="11"/>
  <c r="N20" i="11"/>
  <c r="O20" i="11"/>
  <c r="R20" i="11"/>
  <c r="S20" i="11"/>
  <c r="AQ18" i="11"/>
  <c r="AG35" i="11"/>
  <c r="U34" i="11"/>
  <c r="V34" i="11"/>
  <c r="W34" i="11"/>
  <c r="AQ13" i="11"/>
  <c r="AG28" i="11"/>
  <c r="AQ22" i="11"/>
  <c r="AQ29" i="11"/>
  <c r="AG26" i="11"/>
  <c r="AQ26" i="11"/>
  <c r="AG12" i="11"/>
  <c r="AG21" i="11"/>
  <c r="AG30" i="11"/>
  <c r="AG17" i="11"/>
  <c r="AG18" i="11"/>
  <c r="BH15" i="11"/>
  <c r="B14" i="11"/>
  <c r="AA51" i="11"/>
  <c r="AA55" i="11" s="1"/>
  <c r="AA59" i="11" s="1"/>
  <c r="AG39" i="11"/>
  <c r="AG37" i="11"/>
  <c r="AE51" i="11"/>
  <c r="AE55" i="11" s="1"/>
  <c r="AE59" i="11" s="1"/>
  <c r="AG11" i="11"/>
  <c r="AQ34" i="11"/>
  <c r="AG44" i="11"/>
  <c r="AQ50" i="11"/>
  <c r="AG16" i="11"/>
  <c r="AG50" i="11"/>
  <c r="AG40" i="11"/>
  <c r="AG25" i="11"/>
  <c r="AG13" i="11"/>
  <c r="AQ21" i="11"/>
  <c r="AG23" i="11"/>
  <c r="AG22" i="11"/>
  <c r="AQ41" i="11"/>
  <c r="AG29" i="11"/>
  <c r="AQ20" i="11"/>
  <c r="AG20" i="11"/>
  <c r="AM51" i="11"/>
  <c r="AM55" i="11" s="1"/>
  <c r="AM59" i="11" s="1"/>
  <c r="AQ46" i="11"/>
  <c r="AQ40" i="11"/>
  <c r="AQ37" i="11"/>
  <c r="AQ31" i="11"/>
  <c r="AG49" i="11"/>
  <c r="AQ33" i="11"/>
  <c r="AG31" i="11"/>
  <c r="AQ12" i="11"/>
  <c r="AG14" i="11"/>
  <c r="AQ23" i="11"/>
  <c r="AQ24" i="11"/>
  <c r="AG24" i="11"/>
  <c r="AG19" i="11"/>
  <c r="AQ15" i="11"/>
  <c r="AG15" i="11"/>
  <c r="AK51" i="11"/>
  <c r="AK55" i="11" s="1"/>
  <c r="AK59" i="11" s="1"/>
  <c r="AQ11" i="11"/>
  <c r="J11" i="11"/>
  <c r="I51" i="11"/>
  <c r="I28" i="10"/>
  <c r="Q28" i="10"/>
  <c r="Q52" i="10" s="1"/>
  <c r="M28" i="10"/>
  <c r="M52" i="10" s="1"/>
  <c r="S28" i="10"/>
  <c r="S52" i="10" s="1"/>
  <c r="O28" i="10"/>
  <c r="O52" i="10" s="1"/>
  <c r="K28" i="10"/>
  <c r="K52" i="10" s="1"/>
  <c r="R28" i="10"/>
  <c r="R52" i="10" s="1"/>
  <c r="N28" i="10"/>
  <c r="N52" i="10" s="1"/>
  <c r="P28" i="10"/>
  <c r="P52" i="10" s="1"/>
  <c r="L28" i="10"/>
  <c r="L52" i="10" s="1"/>
  <c r="AP25" i="10"/>
  <c r="I24" i="10"/>
  <c r="Q24" i="10"/>
  <c r="Q48" i="10" s="1"/>
  <c r="M24" i="10"/>
  <c r="M48" i="10" s="1"/>
  <c r="S24" i="10"/>
  <c r="S48" i="10" s="1"/>
  <c r="O24" i="10"/>
  <c r="O48" i="10" s="1"/>
  <c r="K24" i="10"/>
  <c r="K48" i="10" s="1"/>
  <c r="R24" i="10"/>
  <c r="R48" i="10" s="1"/>
  <c r="N24" i="10"/>
  <c r="N48" i="10" s="1"/>
  <c r="P24" i="10"/>
  <c r="P48" i="10" s="1"/>
  <c r="L24" i="10"/>
  <c r="L48" i="10" s="1"/>
  <c r="I25" i="10"/>
  <c r="Q25" i="10"/>
  <c r="Q49" i="10" s="1"/>
  <c r="M25" i="10"/>
  <c r="M49" i="10" s="1"/>
  <c r="S25" i="10"/>
  <c r="S49" i="10" s="1"/>
  <c r="O25" i="10"/>
  <c r="O49" i="10" s="1"/>
  <c r="K25" i="10"/>
  <c r="K49" i="10" s="1"/>
  <c r="R25" i="10"/>
  <c r="R49" i="10" s="1"/>
  <c r="N25" i="10"/>
  <c r="N49" i="10" s="1"/>
  <c r="P25" i="10"/>
  <c r="P49" i="10" s="1"/>
  <c r="L25" i="10"/>
  <c r="L49" i="10" s="1"/>
  <c r="I27" i="10"/>
  <c r="Q27" i="10"/>
  <c r="Q51" i="10" s="1"/>
  <c r="M27" i="10"/>
  <c r="M51" i="10" s="1"/>
  <c r="S27" i="10"/>
  <c r="S51" i="10" s="1"/>
  <c r="O27" i="10"/>
  <c r="O51" i="10" s="1"/>
  <c r="K27" i="10"/>
  <c r="K51" i="10" s="1"/>
  <c r="R27" i="10"/>
  <c r="R51" i="10" s="1"/>
  <c r="N27" i="10"/>
  <c r="N51" i="10" s="1"/>
  <c r="L27" i="10"/>
  <c r="L51" i="10" s="1"/>
  <c r="P27" i="10"/>
  <c r="P51" i="10" s="1"/>
  <c r="I26" i="10"/>
  <c r="Q26" i="10"/>
  <c r="Q50" i="10" s="1"/>
  <c r="M26" i="10"/>
  <c r="M50" i="10" s="1"/>
  <c r="S26" i="10"/>
  <c r="S50" i="10" s="1"/>
  <c r="O26" i="10"/>
  <c r="O50" i="10" s="1"/>
  <c r="K26" i="10"/>
  <c r="K50" i="10" s="1"/>
  <c r="R26" i="10"/>
  <c r="R50" i="10" s="1"/>
  <c r="N26" i="10"/>
  <c r="N50" i="10" s="1"/>
  <c r="P26" i="10"/>
  <c r="P50" i="10" s="1"/>
  <c r="L26" i="10"/>
  <c r="L50" i="10" s="1"/>
  <c r="AP49" i="10"/>
  <c r="AF25" i="10"/>
  <c r="F40" i="10"/>
  <c r="Z16" i="10"/>
  <c r="H16" i="10"/>
  <c r="AD16" i="10"/>
  <c r="AD40" i="10" s="1"/>
  <c r="AJ16" i="10"/>
  <c r="AJ40" i="10" s="1"/>
  <c r="AL16" i="10"/>
  <c r="AL40" i="10" s="1"/>
  <c r="H19" i="10"/>
  <c r="F43" i="10"/>
  <c r="Z19" i="10"/>
  <c r="AD19" i="10"/>
  <c r="AD43" i="10" s="1"/>
  <c r="AL19" i="10"/>
  <c r="AL43" i="10" s="1"/>
  <c r="AJ19" i="10"/>
  <c r="AJ43" i="10" s="1"/>
  <c r="F30" i="10"/>
  <c r="H11" i="10"/>
  <c r="AJ11" i="10"/>
  <c r="Z11" i="10"/>
  <c r="AL11" i="10"/>
  <c r="AD11" i="10"/>
  <c r="F35" i="10"/>
  <c r="AN14" i="10"/>
  <c r="AN37" i="10"/>
  <c r="AH50" i="10"/>
  <c r="AP26" i="10"/>
  <c r="AH37" i="10"/>
  <c r="AH14" i="10"/>
  <c r="F42" i="10"/>
  <c r="H18" i="10"/>
  <c r="Z18" i="10"/>
  <c r="AD18" i="10"/>
  <c r="AD42" i="10" s="1"/>
  <c r="AJ18" i="10"/>
  <c r="AJ42" i="10" s="1"/>
  <c r="AL18" i="10"/>
  <c r="AL42" i="10" s="1"/>
  <c r="F38" i="10"/>
  <c r="H14" i="10"/>
  <c r="Z14" i="10"/>
  <c r="AD14" i="10"/>
  <c r="AD38" i="10" s="1"/>
  <c r="AL14" i="10"/>
  <c r="AL38" i="10" s="1"/>
  <c r="AJ14" i="10"/>
  <c r="AJ38" i="10" s="1"/>
  <c r="AF50" i="10"/>
  <c r="AF26" i="10"/>
  <c r="F44" i="10"/>
  <c r="H20" i="10"/>
  <c r="Z20" i="10"/>
  <c r="AD20" i="10"/>
  <c r="AD44" i="10" s="1"/>
  <c r="AL20" i="10"/>
  <c r="AL44" i="10" s="1"/>
  <c r="AJ20" i="10"/>
  <c r="AJ44" i="10" s="1"/>
  <c r="Z52" i="10"/>
  <c r="AF52" i="10" s="1"/>
  <c r="AF28" i="10"/>
  <c r="AN27" i="10"/>
  <c r="AN51" i="10" s="1"/>
  <c r="AN50" i="10"/>
  <c r="H15" i="10"/>
  <c r="F39" i="10"/>
  <c r="Z15" i="10"/>
  <c r="AD15" i="10"/>
  <c r="AD39" i="10" s="1"/>
  <c r="AL15" i="10"/>
  <c r="AL39" i="10" s="1"/>
  <c r="AJ15" i="10"/>
  <c r="AJ39" i="10" s="1"/>
  <c r="Z48" i="10"/>
  <c r="AF48" i="10" s="1"/>
  <c r="AF24" i="10"/>
  <c r="BH27" i="10"/>
  <c r="C26" i="10"/>
  <c r="B50" i="10" s="1"/>
  <c r="H21" i="10"/>
  <c r="F45" i="10"/>
  <c r="Z21" i="10"/>
  <c r="AD21" i="10"/>
  <c r="AD45" i="10" s="1"/>
  <c r="AJ21" i="10"/>
  <c r="AJ45" i="10" s="1"/>
  <c r="AL21" i="10"/>
  <c r="AL45" i="10" s="1"/>
  <c r="H17" i="10"/>
  <c r="F41" i="10"/>
  <c r="Z17" i="10"/>
  <c r="AD17" i="10"/>
  <c r="AD41" i="10" s="1"/>
  <c r="AL17" i="10"/>
  <c r="AL41" i="10" s="1"/>
  <c r="AJ17" i="10"/>
  <c r="AJ41" i="10" s="1"/>
  <c r="H13" i="10"/>
  <c r="F37" i="10"/>
  <c r="Z13" i="10"/>
  <c r="AD13" i="10"/>
  <c r="AD37" i="10" s="1"/>
  <c r="AL13" i="10"/>
  <c r="AL37" i="10" s="1"/>
  <c r="AJ13" i="10"/>
  <c r="AJ37" i="10" s="1"/>
  <c r="F36" i="10"/>
  <c r="Z12" i="10"/>
  <c r="H12" i="10"/>
  <c r="AL12" i="10"/>
  <c r="AL36" i="10" s="1"/>
  <c r="AD12" i="10"/>
  <c r="AD36" i="10" s="1"/>
  <c r="AJ12" i="10"/>
  <c r="BD30" i="10"/>
  <c r="AF27" i="10"/>
  <c r="Z51" i="10"/>
  <c r="AF51" i="10" s="1"/>
  <c r="AC52" i="2"/>
  <c r="H52" i="2" s="1"/>
  <c r="H53" i="2"/>
  <c r="D16" i="8"/>
  <c r="H16" i="8"/>
  <c r="L16" i="8"/>
  <c r="E16" i="8"/>
  <c r="I16" i="8"/>
  <c r="M16" i="8"/>
  <c r="B16" i="8"/>
  <c r="F16" i="8"/>
  <c r="J16" i="8"/>
  <c r="C16" i="8"/>
  <c r="G16" i="8"/>
  <c r="K16" i="8"/>
  <c r="U48" i="9" l="1"/>
  <c r="V25" i="9"/>
  <c r="R25" i="9"/>
  <c r="U25" i="9"/>
  <c r="T25" i="9"/>
  <c r="W25" i="9"/>
  <c r="S25" i="9"/>
  <c r="T24" i="9"/>
  <c r="W24" i="9"/>
  <c r="S24" i="9"/>
  <c r="V24" i="9"/>
  <c r="R24" i="9"/>
  <c r="U24" i="9"/>
  <c r="V57" i="9"/>
  <c r="R57" i="9"/>
  <c r="U57" i="9"/>
  <c r="T57" i="9"/>
  <c r="W57" i="9"/>
  <c r="S57" i="9"/>
  <c r="T58" i="9"/>
  <c r="W58" i="9"/>
  <c r="S58" i="9"/>
  <c r="V58" i="9"/>
  <c r="R58" i="9"/>
  <c r="U58" i="9"/>
  <c r="V56" i="9"/>
  <c r="S56" i="9"/>
  <c r="W56" i="9"/>
  <c r="T56" i="9"/>
  <c r="R56" i="9"/>
  <c r="U56" i="9"/>
  <c r="V31" i="9"/>
  <c r="R31" i="9"/>
  <c r="U31" i="9"/>
  <c r="T31" i="9"/>
  <c r="W31" i="9"/>
  <c r="S31" i="9"/>
  <c r="U28" i="9"/>
  <c r="W28" i="9"/>
  <c r="V28" i="9"/>
  <c r="W38" i="9"/>
  <c r="U38" i="9"/>
  <c r="V38" i="9"/>
  <c r="U32" i="9"/>
  <c r="V32" i="9"/>
  <c r="W32" i="9"/>
  <c r="N10" i="9"/>
  <c r="N68" i="9" s="1"/>
  <c r="N75" i="9" s="1"/>
  <c r="R10" i="9"/>
  <c r="P10" i="9"/>
  <c r="P68" i="9" s="1"/>
  <c r="P75" i="9" s="1"/>
  <c r="T10" i="9"/>
  <c r="O10" i="9"/>
  <c r="O68" i="9" s="1"/>
  <c r="O75" i="9" s="1"/>
  <c r="S10" i="9"/>
  <c r="Q10" i="9"/>
  <c r="Q68" i="9" s="1"/>
  <c r="Q75" i="9" s="1"/>
  <c r="M10" i="9"/>
  <c r="M68" i="9" s="1"/>
  <c r="M75" i="9" s="1"/>
  <c r="L10" i="9"/>
  <c r="L68" i="9" s="1"/>
  <c r="L75" i="9" s="1"/>
  <c r="U27" i="9"/>
  <c r="W27" i="9"/>
  <c r="V27" i="9"/>
  <c r="U23" i="9"/>
  <c r="W23" i="9"/>
  <c r="V23" i="9"/>
  <c r="U18" i="9"/>
  <c r="V18" i="9"/>
  <c r="W18" i="9"/>
  <c r="U19" i="9"/>
  <c r="W19" i="9"/>
  <c r="V19" i="9"/>
  <c r="W41" i="9"/>
  <c r="V41" i="9"/>
  <c r="U41" i="9"/>
  <c r="U61" i="9"/>
  <c r="V61" i="9"/>
  <c r="W61" i="9"/>
  <c r="U36" i="9"/>
  <c r="W36" i="9"/>
  <c r="V36" i="9"/>
  <c r="U16" i="9"/>
  <c r="V16" i="9"/>
  <c r="W16" i="9"/>
  <c r="U47" i="9"/>
  <c r="V47" i="9"/>
  <c r="W47" i="9"/>
  <c r="U20" i="9"/>
  <c r="W20" i="9"/>
  <c r="V20" i="9"/>
  <c r="V60" i="9"/>
  <c r="U60" i="9"/>
  <c r="W60" i="9"/>
  <c r="U34" i="9"/>
  <c r="V34" i="9"/>
  <c r="W34" i="9"/>
  <c r="U12" i="9"/>
  <c r="W12" i="9"/>
  <c r="V12" i="9"/>
  <c r="U62" i="9"/>
  <c r="V62" i="9"/>
  <c r="W62" i="9"/>
  <c r="U54" i="9"/>
  <c r="V54" i="9"/>
  <c r="W54" i="9"/>
  <c r="U30" i="9"/>
  <c r="W30" i="9"/>
  <c r="V30" i="9"/>
  <c r="W52" i="9"/>
  <c r="U52" i="9"/>
  <c r="V52" i="9"/>
  <c r="U39" i="9"/>
  <c r="V39" i="9"/>
  <c r="W39" i="9"/>
  <c r="V66" i="9"/>
  <c r="U66" i="9"/>
  <c r="W66" i="9"/>
  <c r="U17" i="9"/>
  <c r="W17" i="9"/>
  <c r="V17" i="9"/>
  <c r="U22" i="9"/>
  <c r="W22" i="9"/>
  <c r="V22" i="9"/>
  <c r="V65" i="9"/>
  <c r="U65" i="9"/>
  <c r="W65" i="9"/>
  <c r="W49" i="9"/>
  <c r="V49" i="9"/>
  <c r="U49" i="9"/>
  <c r="V50" i="9"/>
  <c r="U50" i="9"/>
  <c r="W50" i="9"/>
  <c r="U15" i="9"/>
  <c r="W15" i="9"/>
  <c r="V15" i="9"/>
  <c r="U13" i="9"/>
  <c r="W13" i="9"/>
  <c r="V13" i="9"/>
  <c r="V59" i="9"/>
  <c r="W59" i="9"/>
  <c r="U59" i="9"/>
  <c r="U53" i="9"/>
  <c r="V53" i="9"/>
  <c r="W53" i="9"/>
  <c r="W44" i="9"/>
  <c r="U44" i="9"/>
  <c r="V44" i="9"/>
  <c r="U37" i="9"/>
  <c r="W37" i="9"/>
  <c r="V37" i="9"/>
  <c r="V42" i="9"/>
  <c r="U42" i="9"/>
  <c r="W42" i="9"/>
  <c r="U11" i="9"/>
  <c r="W11" i="9"/>
  <c r="V11" i="9"/>
  <c r="U14" i="9"/>
  <c r="W14" i="9"/>
  <c r="V14" i="9"/>
  <c r="U26" i="9"/>
  <c r="V26" i="9"/>
  <c r="W26" i="9"/>
  <c r="V63" i="9"/>
  <c r="U63" i="9"/>
  <c r="W63" i="9"/>
  <c r="U51" i="9"/>
  <c r="V51" i="9"/>
  <c r="W51" i="9"/>
  <c r="V46" i="9"/>
  <c r="U46" i="9"/>
  <c r="W46" i="9"/>
  <c r="U35" i="9"/>
  <c r="W35" i="9"/>
  <c r="V35" i="9"/>
  <c r="V55" i="9"/>
  <c r="W55" i="9"/>
  <c r="U55" i="9"/>
  <c r="U43" i="9"/>
  <c r="V43" i="9"/>
  <c r="W43" i="9"/>
  <c r="AF10" i="9"/>
  <c r="AF68" i="9" s="1"/>
  <c r="Z68" i="9"/>
  <c r="J10" i="9"/>
  <c r="I68" i="9"/>
  <c r="AJ68" i="9"/>
  <c r="AP10" i="9"/>
  <c r="AP68" i="9" s="1"/>
  <c r="U37" i="11"/>
  <c r="V37" i="11"/>
  <c r="W37" i="11"/>
  <c r="U43" i="11"/>
  <c r="V43" i="11"/>
  <c r="W43" i="11"/>
  <c r="U47" i="11"/>
  <c r="V47" i="11"/>
  <c r="W47" i="11"/>
  <c r="L51" i="11"/>
  <c r="L55" i="11" s="1"/>
  <c r="P51" i="11"/>
  <c r="P55" i="11" s="1"/>
  <c r="T51" i="11"/>
  <c r="T55" i="11" s="1"/>
  <c r="M51" i="11"/>
  <c r="M55" i="11" s="1"/>
  <c r="Q51" i="11"/>
  <c r="Q55" i="11" s="1"/>
  <c r="N51" i="11"/>
  <c r="N55" i="11" s="1"/>
  <c r="O51" i="11"/>
  <c r="O55" i="11" s="1"/>
  <c r="S51" i="11"/>
  <c r="S55" i="11" s="1"/>
  <c r="R51" i="11"/>
  <c r="R55" i="11" s="1"/>
  <c r="U28" i="11"/>
  <c r="V28" i="11"/>
  <c r="W28" i="11"/>
  <c r="U20" i="11"/>
  <c r="V20" i="11"/>
  <c r="W20" i="11"/>
  <c r="U19" i="11"/>
  <c r="W19" i="11"/>
  <c r="V19" i="11"/>
  <c r="U13" i="11"/>
  <c r="V13" i="11"/>
  <c r="W13" i="11"/>
  <c r="U29" i="11"/>
  <c r="V29" i="11"/>
  <c r="W29" i="11"/>
  <c r="U21" i="11"/>
  <c r="V21" i="11"/>
  <c r="W21" i="11"/>
  <c r="U38" i="11"/>
  <c r="V38" i="11"/>
  <c r="W38" i="11"/>
  <c r="U48" i="11"/>
  <c r="W48" i="11"/>
  <c r="V48" i="11"/>
  <c r="U46" i="11"/>
  <c r="W46" i="11"/>
  <c r="V46" i="11"/>
  <c r="U14" i="11"/>
  <c r="V14" i="11"/>
  <c r="W14" i="11"/>
  <c r="U31" i="11"/>
  <c r="W31" i="11"/>
  <c r="V31" i="11"/>
  <c r="U24" i="11"/>
  <c r="V24" i="11"/>
  <c r="W24" i="11"/>
  <c r="U33" i="11"/>
  <c r="V33" i="11"/>
  <c r="W33" i="11"/>
  <c r="U41" i="11"/>
  <c r="V41" i="11"/>
  <c r="W41" i="11"/>
  <c r="U23" i="11"/>
  <c r="W23" i="11"/>
  <c r="V23" i="11"/>
  <c r="U45" i="11"/>
  <c r="V45" i="11"/>
  <c r="W45" i="11"/>
  <c r="U35" i="11"/>
  <c r="W35" i="11"/>
  <c r="V35" i="11"/>
  <c r="J51" i="11"/>
  <c r="V11" i="11"/>
  <c r="W11" i="11"/>
  <c r="U11" i="11"/>
  <c r="U49" i="11"/>
  <c r="V49" i="11"/>
  <c r="W49" i="11"/>
  <c r="W39" i="11"/>
  <c r="U39" i="11"/>
  <c r="V39" i="11"/>
  <c r="U26" i="11"/>
  <c r="V26" i="11"/>
  <c r="W26" i="11"/>
  <c r="U22" i="11"/>
  <c r="V22" i="11"/>
  <c r="W22" i="11"/>
  <c r="U16" i="11"/>
  <c r="V16" i="11"/>
  <c r="W16" i="11"/>
  <c r="U50" i="11"/>
  <c r="W50" i="11"/>
  <c r="V50" i="11"/>
  <c r="U17" i="11"/>
  <c r="V17" i="11"/>
  <c r="W17" i="11"/>
  <c r="U42" i="11"/>
  <c r="W42" i="11"/>
  <c r="V42" i="11"/>
  <c r="U30" i="11"/>
  <c r="V30" i="11"/>
  <c r="W30" i="11"/>
  <c r="U25" i="11"/>
  <c r="V25" i="11"/>
  <c r="W25" i="11"/>
  <c r="U44" i="11"/>
  <c r="W44" i="11"/>
  <c r="V44" i="11"/>
  <c r="U15" i="11"/>
  <c r="W15" i="11"/>
  <c r="V15" i="11"/>
  <c r="U40" i="11"/>
  <c r="W40" i="11"/>
  <c r="V40" i="11"/>
  <c r="U18" i="11"/>
  <c r="V18" i="11"/>
  <c r="W18" i="11"/>
  <c r="U27" i="11"/>
  <c r="W27" i="11"/>
  <c r="V27" i="11"/>
  <c r="U12" i="11"/>
  <c r="V12" i="11"/>
  <c r="W12" i="11"/>
  <c r="U32" i="11"/>
  <c r="V32" i="11"/>
  <c r="W32" i="11"/>
  <c r="U36" i="11"/>
  <c r="V36" i="11"/>
  <c r="W36" i="11"/>
  <c r="AG51" i="11"/>
  <c r="AG55" i="11" s="1"/>
  <c r="AG59" i="11" s="1"/>
  <c r="AQ51" i="11"/>
  <c r="AQ55" i="11" s="1"/>
  <c r="AQ59" i="11" s="1"/>
  <c r="B15" i="11"/>
  <c r="BH16" i="11"/>
  <c r="I17" i="10"/>
  <c r="L17" i="10"/>
  <c r="L41" i="10" s="1"/>
  <c r="P17" i="10"/>
  <c r="P41" i="10" s="1"/>
  <c r="N17" i="10"/>
  <c r="N41" i="10" s="1"/>
  <c r="R17" i="10"/>
  <c r="R41" i="10" s="1"/>
  <c r="Q17" i="10"/>
  <c r="Q41" i="10" s="1"/>
  <c r="K17" i="10"/>
  <c r="K41" i="10" s="1"/>
  <c r="S17" i="10"/>
  <c r="S41" i="10" s="1"/>
  <c r="M17" i="10"/>
  <c r="M41" i="10" s="1"/>
  <c r="O17" i="10"/>
  <c r="O41" i="10" s="1"/>
  <c r="I14" i="10"/>
  <c r="L14" i="10"/>
  <c r="L38" i="10" s="1"/>
  <c r="P14" i="10"/>
  <c r="P38" i="10" s="1"/>
  <c r="N14" i="10"/>
  <c r="N38" i="10" s="1"/>
  <c r="R14" i="10"/>
  <c r="R38" i="10" s="1"/>
  <c r="K14" i="10"/>
  <c r="K38" i="10" s="1"/>
  <c r="O14" i="10"/>
  <c r="O38" i="10" s="1"/>
  <c r="S14" i="10"/>
  <c r="S38" i="10" s="1"/>
  <c r="M14" i="10"/>
  <c r="M38" i="10" s="1"/>
  <c r="Q14" i="10"/>
  <c r="Q38" i="10" s="1"/>
  <c r="I15" i="10"/>
  <c r="L15" i="10"/>
  <c r="L39" i="10" s="1"/>
  <c r="P15" i="10"/>
  <c r="P39" i="10" s="1"/>
  <c r="N15" i="10"/>
  <c r="N39" i="10" s="1"/>
  <c r="R15" i="10"/>
  <c r="R39" i="10" s="1"/>
  <c r="K15" i="10"/>
  <c r="K39" i="10" s="1"/>
  <c r="O15" i="10"/>
  <c r="O39" i="10" s="1"/>
  <c r="S15" i="10"/>
  <c r="S39" i="10" s="1"/>
  <c r="Q15" i="10"/>
  <c r="Q39" i="10" s="1"/>
  <c r="M15" i="10"/>
  <c r="M39" i="10" s="1"/>
  <c r="N11" i="10"/>
  <c r="N35" i="10" s="1"/>
  <c r="R11" i="10"/>
  <c r="R35" i="10" s="1"/>
  <c r="L11" i="10"/>
  <c r="L35" i="10" s="1"/>
  <c r="P11" i="10"/>
  <c r="P35" i="10" s="1"/>
  <c r="K11" i="10"/>
  <c r="K35" i="10" s="1"/>
  <c r="S11" i="10"/>
  <c r="S35" i="10" s="1"/>
  <c r="M11" i="10"/>
  <c r="M35" i="10" s="1"/>
  <c r="O11" i="10"/>
  <c r="O35" i="10" s="1"/>
  <c r="Q11" i="10"/>
  <c r="Q35" i="10" s="1"/>
  <c r="I19" i="10"/>
  <c r="L19" i="10"/>
  <c r="L43" i="10" s="1"/>
  <c r="P19" i="10"/>
  <c r="P43" i="10" s="1"/>
  <c r="N19" i="10"/>
  <c r="N43" i="10" s="1"/>
  <c r="R19" i="10"/>
  <c r="R43" i="10" s="1"/>
  <c r="Q19" i="10"/>
  <c r="Q43" i="10" s="1"/>
  <c r="O19" i="10"/>
  <c r="O43" i="10" s="1"/>
  <c r="K19" i="10"/>
  <c r="K43" i="10" s="1"/>
  <c r="S19" i="10"/>
  <c r="S43" i="10" s="1"/>
  <c r="M19" i="10"/>
  <c r="M43" i="10" s="1"/>
  <c r="I16" i="10"/>
  <c r="L16" i="10"/>
  <c r="L40" i="10" s="1"/>
  <c r="P16" i="10"/>
  <c r="P40" i="10" s="1"/>
  <c r="N16" i="10"/>
  <c r="N40" i="10" s="1"/>
  <c r="R16" i="10"/>
  <c r="R40" i="10" s="1"/>
  <c r="K16" i="10"/>
  <c r="K40" i="10" s="1"/>
  <c r="O16" i="10"/>
  <c r="O40" i="10" s="1"/>
  <c r="S16" i="10"/>
  <c r="S40" i="10" s="1"/>
  <c r="M16" i="10"/>
  <c r="M40" i="10" s="1"/>
  <c r="Q16" i="10"/>
  <c r="Q40" i="10" s="1"/>
  <c r="U28" i="10"/>
  <c r="U52" i="10" s="1"/>
  <c r="V28" i="10"/>
  <c r="V52" i="10" s="1"/>
  <c r="T28" i="10"/>
  <c r="T52" i="10" s="1"/>
  <c r="I12" i="10"/>
  <c r="L12" i="10"/>
  <c r="L36" i="10" s="1"/>
  <c r="P12" i="10"/>
  <c r="P36" i="10" s="1"/>
  <c r="N12" i="10"/>
  <c r="N36" i="10" s="1"/>
  <c r="R12" i="10"/>
  <c r="R36" i="10" s="1"/>
  <c r="K12" i="10"/>
  <c r="K36" i="10" s="1"/>
  <c r="O12" i="10"/>
  <c r="O36" i="10" s="1"/>
  <c r="S12" i="10"/>
  <c r="S36" i="10" s="1"/>
  <c r="M12" i="10"/>
  <c r="M36" i="10" s="1"/>
  <c r="Q12" i="10"/>
  <c r="Q36" i="10" s="1"/>
  <c r="I21" i="10"/>
  <c r="L21" i="10"/>
  <c r="L45" i="10" s="1"/>
  <c r="P21" i="10"/>
  <c r="P45" i="10" s="1"/>
  <c r="N21" i="10"/>
  <c r="N45" i="10" s="1"/>
  <c r="R21" i="10"/>
  <c r="R45" i="10" s="1"/>
  <c r="Q21" i="10"/>
  <c r="Q45" i="10" s="1"/>
  <c r="K21" i="10"/>
  <c r="K45" i="10" s="1"/>
  <c r="S21" i="10"/>
  <c r="S45" i="10" s="1"/>
  <c r="M21" i="10"/>
  <c r="M45" i="10" s="1"/>
  <c r="O21" i="10"/>
  <c r="O45" i="10" s="1"/>
  <c r="I20" i="10"/>
  <c r="L20" i="10"/>
  <c r="L44" i="10" s="1"/>
  <c r="P20" i="10"/>
  <c r="P44" i="10" s="1"/>
  <c r="N20" i="10"/>
  <c r="N44" i="10" s="1"/>
  <c r="R20" i="10"/>
  <c r="R44" i="10" s="1"/>
  <c r="M20" i="10"/>
  <c r="M44" i="10" s="1"/>
  <c r="S20" i="10"/>
  <c r="S44" i="10" s="1"/>
  <c r="O20" i="10"/>
  <c r="O44" i="10" s="1"/>
  <c r="Q20" i="10"/>
  <c r="Q44" i="10" s="1"/>
  <c r="K20" i="10"/>
  <c r="K44" i="10" s="1"/>
  <c r="I18" i="10"/>
  <c r="L18" i="10"/>
  <c r="L42" i="10" s="1"/>
  <c r="P18" i="10"/>
  <c r="P42" i="10" s="1"/>
  <c r="N18" i="10"/>
  <c r="N42" i="10" s="1"/>
  <c r="R18" i="10"/>
  <c r="R42" i="10" s="1"/>
  <c r="M18" i="10"/>
  <c r="M42" i="10" s="1"/>
  <c r="O18" i="10"/>
  <c r="O42" i="10" s="1"/>
  <c r="Q18" i="10"/>
  <c r="Q42" i="10" s="1"/>
  <c r="K18" i="10"/>
  <c r="K42" i="10" s="1"/>
  <c r="S18" i="10"/>
  <c r="S42" i="10" s="1"/>
  <c r="U27" i="10"/>
  <c r="U51" i="10" s="1"/>
  <c r="V27" i="10"/>
  <c r="V51" i="10" s="1"/>
  <c r="T27" i="10"/>
  <c r="T51" i="10" s="1"/>
  <c r="U24" i="10"/>
  <c r="U48" i="10" s="1"/>
  <c r="V24" i="10"/>
  <c r="V48" i="10" s="1"/>
  <c r="T24" i="10"/>
  <c r="T48" i="10" s="1"/>
  <c r="I13" i="10"/>
  <c r="L13" i="10"/>
  <c r="L37" i="10" s="1"/>
  <c r="P13" i="10"/>
  <c r="P37" i="10" s="1"/>
  <c r="N13" i="10"/>
  <c r="N37" i="10" s="1"/>
  <c r="R13" i="10"/>
  <c r="R37" i="10" s="1"/>
  <c r="K13" i="10"/>
  <c r="K37" i="10" s="1"/>
  <c r="O13" i="10"/>
  <c r="O37" i="10" s="1"/>
  <c r="S13" i="10"/>
  <c r="S37" i="10" s="1"/>
  <c r="M13" i="10"/>
  <c r="M37" i="10" s="1"/>
  <c r="Q13" i="10"/>
  <c r="Q37" i="10" s="1"/>
  <c r="U26" i="10"/>
  <c r="U50" i="10" s="1"/>
  <c r="V26" i="10"/>
  <c r="V50" i="10" s="1"/>
  <c r="T26" i="10"/>
  <c r="T50" i="10" s="1"/>
  <c r="U25" i="10"/>
  <c r="U49" i="10" s="1"/>
  <c r="V25" i="10"/>
  <c r="V49" i="10" s="1"/>
  <c r="T25" i="10"/>
  <c r="T49" i="10" s="1"/>
  <c r="I11" i="10"/>
  <c r="H30" i="10"/>
  <c r="AF12" i="10"/>
  <c r="Z36" i="10"/>
  <c r="AF36" i="10" s="1"/>
  <c r="Z38" i="10"/>
  <c r="AF38" i="10" s="1"/>
  <c r="AF14" i="10"/>
  <c r="AH38" i="10"/>
  <c r="AH27" i="10"/>
  <c r="AH15" i="10"/>
  <c r="AP14" i="10"/>
  <c r="AD30" i="10"/>
  <c r="AD35" i="10"/>
  <c r="AD53" i="10" s="1"/>
  <c r="AF17" i="10"/>
  <c r="Z41" i="10"/>
  <c r="AF41" i="10" s="1"/>
  <c r="C27" i="10"/>
  <c r="B51" i="10" s="1"/>
  <c r="BH28" i="10"/>
  <c r="C28" i="10" s="1"/>
  <c r="B52" i="10" s="1"/>
  <c r="AN15" i="10"/>
  <c r="AN38" i="10"/>
  <c r="AL30" i="10"/>
  <c r="AL35" i="10"/>
  <c r="AL53" i="10" s="1"/>
  <c r="AF16" i="10"/>
  <c r="Z40" i="10"/>
  <c r="AF40" i="10" s="1"/>
  <c r="AF13" i="10"/>
  <c r="Z37" i="10"/>
  <c r="AF37" i="10" s="1"/>
  <c r="F53" i="10"/>
  <c r="Z35" i="10"/>
  <c r="Z30" i="10"/>
  <c r="AF11" i="10"/>
  <c r="AJ36" i="10"/>
  <c r="AP36" i="10" s="1"/>
  <c r="AP12" i="10"/>
  <c r="AF21" i="10"/>
  <c r="Z45" i="10"/>
  <c r="AF45" i="10" s="1"/>
  <c r="Z39" i="10"/>
  <c r="AF39" i="10" s="1"/>
  <c r="AF15" i="10"/>
  <c r="AP37" i="10"/>
  <c r="Z43" i="10"/>
  <c r="AF43" i="10" s="1"/>
  <c r="AF19" i="10"/>
  <c r="AF20" i="10"/>
  <c r="Z44" i="10"/>
  <c r="AF44" i="10" s="1"/>
  <c r="Z42" i="10"/>
  <c r="AF42" i="10" s="1"/>
  <c r="AF18" i="10"/>
  <c r="AP13" i="10"/>
  <c r="AP50" i="10"/>
  <c r="AJ35" i="10"/>
  <c r="AP11" i="10"/>
  <c r="AJ30" i="10"/>
  <c r="G33" i="8"/>
  <c r="G28" i="8"/>
  <c r="F33" i="8"/>
  <c r="F28" i="8"/>
  <c r="E33" i="8"/>
  <c r="E28" i="8"/>
  <c r="C33" i="8"/>
  <c r="C28" i="8"/>
  <c r="B33" i="8"/>
  <c r="B28" i="8"/>
  <c r="L33" i="8"/>
  <c r="L28" i="8"/>
  <c r="M33" i="8"/>
  <c r="M28" i="8"/>
  <c r="H33" i="8"/>
  <c r="H28" i="8"/>
  <c r="K33" i="8"/>
  <c r="K28" i="8"/>
  <c r="J33" i="8"/>
  <c r="J28" i="8"/>
  <c r="I33" i="8"/>
  <c r="I28" i="8"/>
  <c r="D33" i="8"/>
  <c r="D28" i="8"/>
  <c r="T68" i="9" l="1"/>
  <c r="T75" i="9" s="1"/>
  <c r="S68" i="9"/>
  <c r="S75" i="9" s="1"/>
  <c r="R68" i="9"/>
  <c r="R75" i="9" s="1"/>
  <c r="J68" i="9"/>
  <c r="V10" i="9"/>
  <c r="V68" i="9" s="1"/>
  <c r="V75" i="9" s="1"/>
  <c r="W10" i="9"/>
  <c r="W68" i="9" s="1"/>
  <c r="W75" i="9" s="1"/>
  <c r="U10" i="9"/>
  <c r="U68" i="9" s="1"/>
  <c r="U75" i="9" s="1"/>
  <c r="U51" i="11"/>
  <c r="U55" i="11" s="1"/>
  <c r="V51" i="11"/>
  <c r="V55" i="11" s="1"/>
  <c r="W51" i="11"/>
  <c r="W55" i="11" s="1"/>
  <c r="B16" i="11"/>
  <c r="BH17" i="11"/>
  <c r="S53" i="10"/>
  <c r="R53" i="10"/>
  <c r="Q53" i="10"/>
  <c r="N53" i="10"/>
  <c r="O53" i="10"/>
  <c r="P53" i="10"/>
  <c r="K53" i="10"/>
  <c r="M53" i="10"/>
  <c r="L53" i="10"/>
  <c r="T20" i="10"/>
  <c r="T44" i="10" s="1"/>
  <c r="V20" i="10"/>
  <c r="V44" i="10" s="1"/>
  <c r="U20" i="10"/>
  <c r="U44" i="10" s="1"/>
  <c r="T12" i="10"/>
  <c r="T36" i="10" s="1"/>
  <c r="V12" i="10"/>
  <c r="V36" i="10" s="1"/>
  <c r="U12" i="10"/>
  <c r="U36" i="10" s="1"/>
  <c r="Q30" i="10"/>
  <c r="N30" i="10"/>
  <c r="T14" i="10"/>
  <c r="T38" i="10" s="1"/>
  <c r="V14" i="10"/>
  <c r="V38" i="10" s="1"/>
  <c r="U14" i="10"/>
  <c r="U38" i="10" s="1"/>
  <c r="T16" i="10"/>
  <c r="T40" i="10" s="1"/>
  <c r="V16" i="10"/>
  <c r="V40" i="10" s="1"/>
  <c r="U16" i="10"/>
  <c r="U40" i="10" s="1"/>
  <c r="P30" i="10"/>
  <c r="T19" i="10"/>
  <c r="T43" i="10" s="1"/>
  <c r="V19" i="10"/>
  <c r="V43" i="10" s="1"/>
  <c r="U19" i="10"/>
  <c r="U43" i="10" s="1"/>
  <c r="S30" i="10"/>
  <c r="R30" i="10"/>
  <c r="K30" i="10"/>
  <c r="O30" i="10"/>
  <c r="I30" i="10"/>
  <c r="V11" i="10"/>
  <c r="V35" i="10" s="1"/>
  <c r="T11" i="10"/>
  <c r="T35" i="10" s="1"/>
  <c r="U11" i="10"/>
  <c r="U35" i="10" s="1"/>
  <c r="T13" i="10"/>
  <c r="T37" i="10" s="1"/>
  <c r="V13" i="10"/>
  <c r="V37" i="10" s="1"/>
  <c r="U13" i="10"/>
  <c r="U37" i="10" s="1"/>
  <c r="T18" i="10"/>
  <c r="T42" i="10" s="1"/>
  <c r="V18" i="10"/>
  <c r="V42" i="10" s="1"/>
  <c r="U18" i="10"/>
  <c r="U42" i="10" s="1"/>
  <c r="T21" i="10"/>
  <c r="T45" i="10" s="1"/>
  <c r="V21" i="10"/>
  <c r="V45" i="10" s="1"/>
  <c r="U21" i="10"/>
  <c r="U45" i="10" s="1"/>
  <c r="M30" i="10"/>
  <c r="L30" i="10"/>
  <c r="T15" i="10"/>
  <c r="T39" i="10" s="1"/>
  <c r="V15" i="10"/>
  <c r="V39" i="10" s="1"/>
  <c r="U15" i="10"/>
  <c r="U39" i="10" s="1"/>
  <c r="T17" i="10"/>
  <c r="T41" i="10" s="1"/>
  <c r="V17" i="10"/>
  <c r="V41" i="10" s="1"/>
  <c r="U17" i="10"/>
  <c r="U41" i="10" s="1"/>
  <c r="AF30" i="10"/>
  <c r="Z53" i="10"/>
  <c r="AF35" i="10"/>
  <c r="AF53" i="10" s="1"/>
  <c r="AP27" i="10"/>
  <c r="AH51" i="10"/>
  <c r="AP51" i="10" s="1"/>
  <c r="AJ53" i="10"/>
  <c r="AP35" i="10"/>
  <c r="AN39" i="10"/>
  <c r="AN16" i="10"/>
  <c r="AH28" i="10"/>
  <c r="AH39" i="10"/>
  <c r="AH16" i="10"/>
  <c r="AP15" i="10"/>
  <c r="AP38" i="10"/>
  <c r="G75" i="1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H28" i="2"/>
  <c r="H27" i="2"/>
  <c r="H26" i="2"/>
  <c r="H25" i="2"/>
  <c r="H24" i="2"/>
  <c r="H21" i="2"/>
  <c r="H20" i="2"/>
  <c r="H19" i="2"/>
  <c r="H18" i="2"/>
  <c r="H17" i="2"/>
  <c r="H16" i="2"/>
  <c r="H15" i="2"/>
  <c r="H14" i="2"/>
  <c r="H13" i="2"/>
  <c r="H12" i="2"/>
  <c r="H11" i="2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10" i="1"/>
  <c r="U53" i="10" l="1"/>
  <c r="BH18" i="11"/>
  <c r="B17" i="11"/>
  <c r="T53" i="10"/>
  <c r="V53" i="10"/>
  <c r="U30" i="10"/>
  <c r="V30" i="10"/>
  <c r="T30" i="10"/>
  <c r="AD77" i="10"/>
  <c r="AD80" i="10" s="1"/>
  <c r="AD84" i="10" s="1"/>
  <c r="AF77" i="10"/>
  <c r="AF80" i="10" s="1"/>
  <c r="AF84" i="10" s="1"/>
  <c r="AH52" i="10"/>
  <c r="AP52" i="10" s="1"/>
  <c r="AP28" i="10"/>
  <c r="AH40" i="10"/>
  <c r="AH17" i="10"/>
  <c r="AP16" i="10"/>
  <c r="AP39" i="10"/>
  <c r="AN40" i="10"/>
  <c r="AN17" i="10"/>
  <c r="BH19" i="11" l="1"/>
  <c r="B18" i="11"/>
  <c r="AP40" i="10"/>
  <c r="AN18" i="10"/>
  <c r="AN41" i="10"/>
  <c r="AH41" i="10"/>
  <c r="AH18" i="10"/>
  <c r="AP17" i="10"/>
  <c r="BH20" i="11" l="1"/>
  <c r="B19" i="11"/>
  <c r="AH42" i="10"/>
  <c r="AH19" i="10"/>
  <c r="AP18" i="10"/>
  <c r="AN19" i="10"/>
  <c r="AN42" i="10"/>
  <c r="AP41" i="10"/>
  <c r="B20" i="11" l="1"/>
  <c r="BH21" i="11"/>
  <c r="AH43" i="10"/>
  <c r="AH20" i="10"/>
  <c r="AP19" i="10"/>
  <c r="AN43" i="10"/>
  <c r="AN20" i="10"/>
  <c r="AP42" i="10"/>
  <c r="B21" i="11" l="1"/>
  <c r="BH22" i="11"/>
  <c r="AH44" i="10"/>
  <c r="AH21" i="10"/>
  <c r="AP20" i="10"/>
  <c r="AN44" i="10"/>
  <c r="AN21" i="10"/>
  <c r="AP43" i="10"/>
  <c r="F35" i="2"/>
  <c r="H30" i="2"/>
  <c r="I51" i="4"/>
  <c r="I55" i="4" s="1"/>
  <c r="AB53" i="4"/>
  <c r="N53" i="4"/>
  <c r="L53" i="4"/>
  <c r="X53" i="4"/>
  <c r="N51" i="4"/>
  <c r="AD50" i="4"/>
  <c r="AH50" i="4" s="1"/>
  <c r="AL50" i="4" s="1"/>
  <c r="G50" i="4" s="1"/>
  <c r="L50" i="4"/>
  <c r="AL49" i="4"/>
  <c r="G49" i="4" s="1"/>
  <c r="AH49" i="4"/>
  <c r="AD49" i="4"/>
  <c r="AL48" i="4"/>
  <c r="G48" i="4" s="1"/>
  <c r="AH48" i="4"/>
  <c r="AD48" i="4"/>
  <c r="X48" i="4"/>
  <c r="P48" i="4"/>
  <c r="AH47" i="4"/>
  <c r="AL47" i="4" s="1"/>
  <c r="G47" i="4" s="1"/>
  <c r="L47" i="4"/>
  <c r="AL46" i="4"/>
  <c r="AH46" i="4"/>
  <c r="AD46" i="4"/>
  <c r="G46" i="4"/>
  <c r="AL45" i="4"/>
  <c r="G45" i="4" s="1"/>
  <c r="AH45" i="4"/>
  <c r="AD45" i="4"/>
  <c r="X45" i="4"/>
  <c r="P45" i="4"/>
  <c r="AH44" i="4"/>
  <c r="AL44" i="4" s="1"/>
  <c r="G44" i="4" s="1"/>
  <c r="AL43" i="4"/>
  <c r="AH43" i="4"/>
  <c r="AD43" i="4"/>
  <c r="G43" i="4"/>
  <c r="AL42" i="4"/>
  <c r="G42" i="4" s="1"/>
  <c r="AH42" i="4"/>
  <c r="AD42" i="4"/>
  <c r="X42" i="4"/>
  <c r="P42" i="4"/>
  <c r="AD41" i="4"/>
  <c r="AH41" i="4" s="1"/>
  <c r="AL41" i="4" s="1"/>
  <c r="G41" i="4" s="1"/>
  <c r="AD40" i="4"/>
  <c r="AH40" i="4" s="1"/>
  <c r="AL40" i="4" s="1"/>
  <c r="G40" i="4"/>
  <c r="L40" i="4" s="1"/>
  <c r="AL39" i="4"/>
  <c r="G39" i="4" s="1"/>
  <c r="AD39" i="4"/>
  <c r="AH39" i="4" s="1"/>
  <c r="AH38" i="4"/>
  <c r="AL38" i="4" s="1"/>
  <c r="G38" i="4" s="1"/>
  <c r="AH37" i="4"/>
  <c r="AL37" i="4" s="1"/>
  <c r="G37" i="4"/>
  <c r="AL36" i="4"/>
  <c r="G36" i="4" s="1"/>
  <c r="AH36" i="4"/>
  <c r="X36" i="4"/>
  <c r="V36" i="4"/>
  <c r="P36" i="4"/>
  <c r="L36" i="4"/>
  <c r="AD35" i="4"/>
  <c r="AH35" i="4" s="1"/>
  <c r="AL35" i="4" s="1"/>
  <c r="G35" i="4" s="1"/>
  <c r="V35" i="4"/>
  <c r="AL34" i="4"/>
  <c r="AD34" i="4"/>
  <c r="AH34" i="4" s="1"/>
  <c r="G34" i="4"/>
  <c r="AL33" i="4"/>
  <c r="G33" i="4" s="1"/>
  <c r="AH33" i="4"/>
  <c r="X33" i="4"/>
  <c r="V33" i="4"/>
  <c r="P33" i="4"/>
  <c r="R33" i="4" s="1"/>
  <c r="L33" i="4"/>
  <c r="AD32" i="4"/>
  <c r="AH32" i="4" s="1"/>
  <c r="AL32" i="4" s="1"/>
  <c r="G32" i="4" s="1"/>
  <c r="V32" i="4"/>
  <c r="AL31" i="4"/>
  <c r="G31" i="4" s="1"/>
  <c r="AH31" i="4"/>
  <c r="X31" i="4"/>
  <c r="P31" i="4"/>
  <c r="AD30" i="4"/>
  <c r="AH30" i="4" s="1"/>
  <c r="AL30" i="4" s="1"/>
  <c r="G30" i="4" s="1"/>
  <c r="P30" i="4"/>
  <c r="AD29" i="4"/>
  <c r="AH29" i="4" s="1"/>
  <c r="AL29" i="4" s="1"/>
  <c r="V29" i="4"/>
  <c r="G29" i="4"/>
  <c r="AD28" i="4"/>
  <c r="AH28" i="4" s="1"/>
  <c r="AL28" i="4" s="1"/>
  <c r="G28" i="4"/>
  <c r="AH27" i="4"/>
  <c r="AL27" i="4" s="1"/>
  <c r="G27" i="4" s="1"/>
  <c r="AD27" i="4"/>
  <c r="AH26" i="4"/>
  <c r="AL26" i="4" s="1"/>
  <c r="G26" i="4" s="1"/>
  <c r="AD26" i="4"/>
  <c r="X26" i="4"/>
  <c r="V26" i="4"/>
  <c r="P26" i="4"/>
  <c r="L26" i="4"/>
  <c r="AH25" i="4"/>
  <c r="AL25" i="4" s="1"/>
  <c r="G25" i="4" s="1"/>
  <c r="V25" i="4" s="1"/>
  <c r="AD25" i="4"/>
  <c r="P25" i="4"/>
  <c r="AL24" i="4"/>
  <c r="AD24" i="4"/>
  <c r="AH24" i="4" s="1"/>
  <c r="L24" i="4"/>
  <c r="G24" i="4"/>
  <c r="AL23" i="4"/>
  <c r="G23" i="4" s="1"/>
  <c r="AH23" i="4"/>
  <c r="AD23" i="4"/>
  <c r="AL22" i="4"/>
  <c r="G22" i="4" s="1"/>
  <c r="AH22" i="4"/>
  <c r="AD22" i="4"/>
  <c r="X22" i="4"/>
  <c r="P22" i="4"/>
  <c r="AH21" i="4"/>
  <c r="AL21" i="4" s="1"/>
  <c r="G21" i="4" s="1"/>
  <c r="AD21" i="4"/>
  <c r="AD20" i="4"/>
  <c r="AH20" i="4" s="1"/>
  <c r="AL20" i="4" s="1"/>
  <c r="G20" i="4" s="1"/>
  <c r="AL19" i="4"/>
  <c r="G19" i="4" s="1"/>
  <c r="AH19" i="4"/>
  <c r="X19" i="4"/>
  <c r="P19" i="4"/>
  <c r="AD18" i="4"/>
  <c r="AH18" i="4" s="1"/>
  <c r="AL18" i="4" s="1"/>
  <c r="G18" i="4" s="1"/>
  <c r="AD17" i="4"/>
  <c r="AH17" i="4" s="1"/>
  <c r="AL17" i="4" s="1"/>
  <c r="V17" i="4"/>
  <c r="G17" i="4"/>
  <c r="L17" i="4" s="1"/>
  <c r="AL16" i="4"/>
  <c r="AH16" i="4"/>
  <c r="AD16" i="4"/>
  <c r="G16" i="4"/>
  <c r="AH15" i="4"/>
  <c r="AL15" i="4" s="1"/>
  <c r="G15" i="4" s="1"/>
  <c r="AS14" i="4"/>
  <c r="AD14" i="4"/>
  <c r="AH14" i="4" s="1"/>
  <c r="AL14" i="4" s="1"/>
  <c r="G14" i="4"/>
  <c r="AS13" i="4"/>
  <c r="B13" i="4" s="1"/>
  <c r="AL13" i="4"/>
  <c r="G13" i="4" s="1"/>
  <c r="AH13" i="4"/>
  <c r="AD13" i="4"/>
  <c r="AS12" i="4"/>
  <c r="AH12" i="4"/>
  <c r="AL12" i="4" s="1"/>
  <c r="G12" i="4" s="1"/>
  <c r="AD12" i="4"/>
  <c r="B12" i="4"/>
  <c r="AD11" i="4"/>
  <c r="AH11" i="4" s="1"/>
  <c r="AL11" i="4" s="1"/>
  <c r="G11" i="4" s="1"/>
  <c r="B11" i="4"/>
  <c r="U98" i="2"/>
  <c r="W94" i="2"/>
  <c r="W82" i="2"/>
  <c r="M80" i="2"/>
  <c r="M84" i="2" s="1"/>
  <c r="K80" i="2"/>
  <c r="K84" i="2" s="1"/>
  <c r="Z53" i="2"/>
  <c r="X53" i="2"/>
  <c r="V53" i="2"/>
  <c r="T53" i="2"/>
  <c r="R53" i="2"/>
  <c r="N53" i="2"/>
  <c r="L53" i="2"/>
  <c r="M52" i="2"/>
  <c r="M51" i="2"/>
  <c r="F50" i="2"/>
  <c r="F49" i="2"/>
  <c r="AI28" i="2"/>
  <c r="AO28" i="2" s="1"/>
  <c r="F28" i="2" s="1"/>
  <c r="O28" i="2" s="1"/>
  <c r="O52" i="2" s="1"/>
  <c r="M28" i="2"/>
  <c r="AI27" i="2"/>
  <c r="AO27" i="2" s="1"/>
  <c r="F27" i="2" s="1"/>
  <c r="M27" i="2"/>
  <c r="AS26" i="2"/>
  <c r="AO26" i="2"/>
  <c r="AI26" i="2"/>
  <c r="U26" i="2"/>
  <c r="M26" i="2"/>
  <c r="K26" i="2"/>
  <c r="F26" i="2"/>
  <c r="W26" i="2" s="1"/>
  <c r="AS25" i="2"/>
  <c r="C25" i="2" s="1"/>
  <c r="B49" i="2" s="1"/>
  <c r="AO25" i="2"/>
  <c r="AI25" i="2"/>
  <c r="S49" i="2"/>
  <c r="S25" i="2"/>
  <c r="M25" i="2"/>
  <c r="F25" i="2"/>
  <c r="AI24" i="2"/>
  <c r="AO24" i="2" s="1"/>
  <c r="F24" i="2" s="1"/>
  <c r="O24" i="2" s="1"/>
  <c r="O48" i="2" s="1"/>
  <c r="M24" i="2"/>
  <c r="C24" i="2"/>
  <c r="B48" i="2" s="1"/>
  <c r="AM21" i="2"/>
  <c r="AO21" i="2" s="1"/>
  <c r="F21" i="2" s="1"/>
  <c r="AI21" i="2"/>
  <c r="M21" i="2"/>
  <c r="AM20" i="2"/>
  <c r="AO20" i="2" s="1"/>
  <c r="F20" i="2" s="1"/>
  <c r="AI20" i="2"/>
  <c r="M20" i="2"/>
  <c r="AM19" i="2"/>
  <c r="AO19" i="2" s="1"/>
  <c r="F19" i="2" s="1"/>
  <c r="AI19" i="2"/>
  <c r="M19" i="2"/>
  <c r="AM18" i="2"/>
  <c r="AO18" i="2" s="1"/>
  <c r="F18" i="2" s="1"/>
  <c r="AI18" i="2"/>
  <c r="M18" i="2"/>
  <c r="AO17" i="2"/>
  <c r="F17" i="2" s="1"/>
  <c r="AM17" i="2"/>
  <c r="AI17" i="2"/>
  <c r="M17" i="2"/>
  <c r="AM16" i="2"/>
  <c r="AO16" i="2" s="1"/>
  <c r="F16" i="2" s="1"/>
  <c r="AI16" i="2"/>
  <c r="M16" i="2"/>
  <c r="AM15" i="2"/>
  <c r="AO15" i="2" s="1"/>
  <c r="AI15" i="2"/>
  <c r="M15" i="2"/>
  <c r="F15" i="2"/>
  <c r="AM14" i="2"/>
  <c r="AO14" i="2" s="1"/>
  <c r="F14" i="2" s="1"/>
  <c r="AI14" i="2"/>
  <c r="M14" i="2"/>
  <c r="AO13" i="2"/>
  <c r="F13" i="2" s="1"/>
  <c r="AM13" i="2"/>
  <c r="AI13" i="2"/>
  <c r="M13" i="2"/>
  <c r="AS12" i="2"/>
  <c r="AS13" i="2" s="1"/>
  <c r="AM12" i="2"/>
  <c r="AO12" i="2" s="1"/>
  <c r="F12" i="2" s="1"/>
  <c r="AI12" i="2"/>
  <c r="M12" i="2"/>
  <c r="C12" i="2"/>
  <c r="B36" i="2" s="1"/>
  <c r="AO11" i="2"/>
  <c r="AM11" i="2"/>
  <c r="AI11" i="2"/>
  <c r="AI30" i="2" s="1"/>
  <c r="S12" i="2"/>
  <c r="M11" i="2"/>
  <c r="M30" i="2" s="1"/>
  <c r="C11" i="2"/>
  <c r="B35" i="2" s="1"/>
  <c r="K9" i="2"/>
  <c r="BH23" i="11" l="1"/>
  <c r="B22" i="11"/>
  <c r="AH45" i="10"/>
  <c r="AP21" i="10"/>
  <c r="AH24" i="10"/>
  <c r="AN24" i="10"/>
  <c r="AN45" i="10"/>
  <c r="AP44" i="10"/>
  <c r="H89" i="2"/>
  <c r="Z51" i="4"/>
  <c r="V53" i="4"/>
  <c r="N55" i="4"/>
  <c r="N59" i="4" s="1"/>
  <c r="T53" i="4"/>
  <c r="X11" i="4"/>
  <c r="P11" i="4"/>
  <c r="G51" i="4"/>
  <c r="G55" i="4" s="1"/>
  <c r="G59" i="4" s="1"/>
  <c r="V11" i="4"/>
  <c r="L11" i="4"/>
  <c r="P15" i="4"/>
  <c r="R15" i="4" s="1"/>
  <c r="X15" i="4"/>
  <c r="L15" i="4"/>
  <c r="V15" i="4"/>
  <c r="AB15" i="4" s="1"/>
  <c r="V12" i="4"/>
  <c r="AB12" i="4" s="1"/>
  <c r="L12" i="4"/>
  <c r="X12" i="4"/>
  <c r="P12" i="4"/>
  <c r="R12" i="4" s="1"/>
  <c r="X41" i="4"/>
  <c r="AB41" i="4" s="1"/>
  <c r="L41" i="4"/>
  <c r="P41" i="4"/>
  <c r="V41" i="4"/>
  <c r="X20" i="4"/>
  <c r="P20" i="4"/>
  <c r="L20" i="4"/>
  <c r="V20" i="4"/>
  <c r="AB20" i="4" s="1"/>
  <c r="X38" i="4"/>
  <c r="L38" i="4"/>
  <c r="P38" i="4"/>
  <c r="R38" i="4" s="1"/>
  <c r="V38" i="4"/>
  <c r="V13" i="4"/>
  <c r="AB13" i="4" s="1"/>
  <c r="L13" i="4"/>
  <c r="X13" i="4"/>
  <c r="P13" i="4"/>
  <c r="X18" i="4"/>
  <c r="AB18" i="4" s="1"/>
  <c r="L18" i="4"/>
  <c r="P18" i="4"/>
  <c r="V18" i="4"/>
  <c r="X14" i="4"/>
  <c r="P14" i="4"/>
  <c r="R14" i="4" s="1"/>
  <c r="V28" i="4"/>
  <c r="L28" i="4"/>
  <c r="X28" i="4"/>
  <c r="P28" i="4"/>
  <c r="V46" i="4"/>
  <c r="L46" i="4"/>
  <c r="X46" i="4"/>
  <c r="P46" i="4"/>
  <c r="R46" i="4" s="1"/>
  <c r="L14" i="4"/>
  <c r="V23" i="4"/>
  <c r="AB23" i="4" s="1"/>
  <c r="L23" i="4"/>
  <c r="X23" i="4"/>
  <c r="R26" i="4"/>
  <c r="AB38" i="4"/>
  <c r="X44" i="4"/>
  <c r="P44" i="4"/>
  <c r="V44" i="4"/>
  <c r="V49" i="4"/>
  <c r="AB49" i="4" s="1"/>
  <c r="L49" i="4"/>
  <c r="X49" i="4"/>
  <c r="P49" i="4"/>
  <c r="P23" i="4"/>
  <c r="R23" i="4" s="1"/>
  <c r="X25" i="4"/>
  <c r="V27" i="4"/>
  <c r="L27" i="4"/>
  <c r="X27" i="4"/>
  <c r="AB27" i="4" s="1"/>
  <c r="P27" i="4"/>
  <c r="V30" i="4"/>
  <c r="X30" i="4"/>
  <c r="AB30" i="4" s="1"/>
  <c r="L30" i="4"/>
  <c r="R30" i="4" s="1"/>
  <c r="X35" i="4"/>
  <c r="P35" i="4"/>
  <c r="L35" i="4"/>
  <c r="R36" i="4"/>
  <c r="V37" i="4"/>
  <c r="L37" i="4"/>
  <c r="X37" i="4"/>
  <c r="P37" i="4"/>
  <c r="R37" i="4" s="1"/>
  <c r="V21" i="4"/>
  <c r="AB21" i="4" s="1"/>
  <c r="X21" i="4"/>
  <c r="L21" i="4"/>
  <c r="V43" i="4"/>
  <c r="AB43" i="4" s="1"/>
  <c r="L43" i="4"/>
  <c r="X43" i="4"/>
  <c r="P43" i="4"/>
  <c r="T51" i="4"/>
  <c r="T55" i="4" s="1"/>
  <c r="X17" i="4"/>
  <c r="AB17" i="4" s="1"/>
  <c r="P17" i="4"/>
  <c r="R17" i="4" s="1"/>
  <c r="AB25" i="4"/>
  <c r="X40" i="4"/>
  <c r="P40" i="4"/>
  <c r="R40" i="4" s="1"/>
  <c r="V40" i="4"/>
  <c r="L44" i="4"/>
  <c r="R48" i="4"/>
  <c r="V14" i="4"/>
  <c r="AS15" i="4"/>
  <c r="B14" i="4"/>
  <c r="V16" i="4"/>
  <c r="AB16" i="4" s="1"/>
  <c r="L16" i="4"/>
  <c r="X16" i="4"/>
  <c r="P16" i="4"/>
  <c r="R16" i="4" s="1"/>
  <c r="AB19" i="4"/>
  <c r="V19" i="4"/>
  <c r="L19" i="4"/>
  <c r="R19" i="4" s="1"/>
  <c r="P21" i="4"/>
  <c r="V22" i="4"/>
  <c r="AB22" i="4" s="1"/>
  <c r="L22" i="4"/>
  <c r="R22" i="4" s="1"/>
  <c r="L25" i="4"/>
  <c r="R25" i="4" s="1"/>
  <c r="X29" i="4"/>
  <c r="AB29" i="4" s="1"/>
  <c r="P29" i="4"/>
  <c r="R29" i="4" s="1"/>
  <c r="L29" i="4"/>
  <c r="X32" i="4"/>
  <c r="AB32" i="4" s="1"/>
  <c r="P32" i="4"/>
  <c r="R32" i="4" s="1"/>
  <c r="L32" i="4"/>
  <c r="V34" i="4"/>
  <c r="AB34" i="4" s="1"/>
  <c r="L34" i="4"/>
  <c r="X34" i="4"/>
  <c r="P34" i="4"/>
  <c r="AB35" i="4"/>
  <c r="V39" i="4"/>
  <c r="AB39" i="4" s="1"/>
  <c r="L39" i="4"/>
  <c r="X39" i="4"/>
  <c r="P39" i="4"/>
  <c r="R39" i="4" s="1"/>
  <c r="X47" i="4"/>
  <c r="P47" i="4"/>
  <c r="R47" i="4" s="1"/>
  <c r="V47" i="4"/>
  <c r="X50" i="4"/>
  <c r="AB50" i="4" s="1"/>
  <c r="P50" i="4"/>
  <c r="R50" i="4" s="1"/>
  <c r="V50" i="4"/>
  <c r="X24" i="4"/>
  <c r="P24" i="4"/>
  <c r="R24" i="4" s="1"/>
  <c r="V24" i="4"/>
  <c r="AB24" i="4" s="1"/>
  <c r="AB26" i="4"/>
  <c r="V31" i="4"/>
  <c r="AB31" i="4" s="1"/>
  <c r="L31" i="4"/>
  <c r="R31" i="4" s="1"/>
  <c r="V42" i="4"/>
  <c r="L42" i="4"/>
  <c r="R42" i="4" s="1"/>
  <c r="V45" i="4"/>
  <c r="AB45" i="4" s="1"/>
  <c r="L45" i="4"/>
  <c r="R45" i="4" s="1"/>
  <c r="V48" i="4"/>
  <c r="L48" i="4"/>
  <c r="T59" i="4"/>
  <c r="AB33" i="4"/>
  <c r="AB36" i="4"/>
  <c r="AB42" i="4"/>
  <c r="AB48" i="4"/>
  <c r="R53" i="4"/>
  <c r="Z53" i="4"/>
  <c r="Z55" i="4" s="1"/>
  <c r="Z59" i="4" s="1"/>
  <c r="P53" i="4"/>
  <c r="U43" i="2"/>
  <c r="M43" i="2"/>
  <c r="O43" i="2"/>
  <c r="M37" i="2"/>
  <c r="W41" i="2"/>
  <c r="U41" i="2"/>
  <c r="M41" i="2"/>
  <c r="S35" i="2"/>
  <c r="M35" i="2"/>
  <c r="Y35" i="2"/>
  <c r="M36" i="2"/>
  <c r="W36" i="2"/>
  <c r="S36" i="2"/>
  <c r="M40" i="2"/>
  <c r="W40" i="2"/>
  <c r="O40" i="2"/>
  <c r="M39" i="2"/>
  <c r="O39" i="2"/>
  <c r="M38" i="2"/>
  <c r="U38" i="2"/>
  <c r="M42" i="2"/>
  <c r="W42" i="2"/>
  <c r="M45" i="2"/>
  <c r="U44" i="2"/>
  <c r="M44" i="2"/>
  <c r="O44" i="2"/>
  <c r="F36" i="2"/>
  <c r="K12" i="2"/>
  <c r="Q12" i="2" s="1"/>
  <c r="W12" i="2"/>
  <c r="O12" i="2"/>
  <c r="O36" i="2" s="1"/>
  <c r="U12" i="2"/>
  <c r="U36" i="2" s="1"/>
  <c r="F42" i="2"/>
  <c r="U18" i="2"/>
  <c r="U42" i="2" s="1"/>
  <c r="W18" i="2"/>
  <c r="O18" i="2"/>
  <c r="O42" i="2" s="1"/>
  <c r="K18" i="2"/>
  <c r="Q18" i="2" s="1"/>
  <c r="F38" i="2"/>
  <c r="U14" i="2"/>
  <c r="W14" i="2"/>
  <c r="W38" i="2" s="1"/>
  <c r="O14" i="2"/>
  <c r="O38" i="2" s="1"/>
  <c r="K14" i="2"/>
  <c r="K21" i="2"/>
  <c r="K45" i="2" s="1"/>
  <c r="Q45" i="2" s="1"/>
  <c r="F45" i="2"/>
  <c r="U21" i="2"/>
  <c r="U45" i="2" s="1"/>
  <c r="O21" i="2"/>
  <c r="O45" i="2" s="1"/>
  <c r="W21" i="2"/>
  <c r="W45" i="2" s="1"/>
  <c r="K16" i="2"/>
  <c r="Q16" i="2" s="1"/>
  <c r="F40" i="2"/>
  <c r="O16" i="2"/>
  <c r="W16" i="2"/>
  <c r="U16" i="2"/>
  <c r="U40" i="2" s="1"/>
  <c r="W19" i="2"/>
  <c r="W43" i="2" s="1"/>
  <c r="O19" i="2"/>
  <c r="F43" i="2"/>
  <c r="U19" i="2"/>
  <c r="K19" i="2"/>
  <c r="Q19" i="2" s="1"/>
  <c r="AO30" i="2"/>
  <c r="F11" i="2"/>
  <c r="F37" i="2"/>
  <c r="W13" i="2"/>
  <c r="W37" i="2" s="1"/>
  <c r="O13" i="2"/>
  <c r="O37" i="2" s="1"/>
  <c r="K15" i="2"/>
  <c r="K39" i="2" s="1"/>
  <c r="Q39" i="2" s="1"/>
  <c r="U15" i="2"/>
  <c r="U39" i="2" s="1"/>
  <c r="F41" i="2"/>
  <c r="W17" i="2"/>
  <c r="O17" i="2"/>
  <c r="O41" i="2" s="1"/>
  <c r="F51" i="2"/>
  <c r="K27" i="2"/>
  <c r="Q27" i="2" s="1"/>
  <c r="W27" i="2"/>
  <c r="U27" i="2"/>
  <c r="S76" i="2"/>
  <c r="O76" i="2" s="1"/>
  <c r="K76" i="2" s="1"/>
  <c r="E76" i="2" s="1"/>
  <c r="W95" i="2"/>
  <c r="U76" i="2" s="1"/>
  <c r="Q76" i="2" s="1"/>
  <c r="M76" i="2" s="1"/>
  <c r="F76" i="2" s="1"/>
  <c r="AM30" i="2"/>
  <c r="K13" i="2"/>
  <c r="Q13" i="2" s="1"/>
  <c r="K17" i="2"/>
  <c r="Q17" i="2" s="1"/>
  <c r="Q26" i="2"/>
  <c r="O27" i="2"/>
  <c r="W15" i="2"/>
  <c r="W39" i="2" s="1"/>
  <c r="S26" i="2"/>
  <c r="S13" i="2"/>
  <c r="F48" i="2"/>
  <c r="K24" i="2"/>
  <c r="Q24" i="2" s="1"/>
  <c r="W24" i="2"/>
  <c r="U24" i="2"/>
  <c r="U48" i="2" s="1"/>
  <c r="AA25" i="2"/>
  <c r="F52" i="2"/>
  <c r="K28" i="2"/>
  <c r="Q28" i="2" s="1"/>
  <c r="U28" i="2"/>
  <c r="U52" i="2" s="1"/>
  <c r="W28" i="2"/>
  <c r="W52" i="2" s="1"/>
  <c r="F39" i="2"/>
  <c r="C13" i="2"/>
  <c r="B37" i="2" s="1"/>
  <c r="AS14" i="2"/>
  <c r="U13" i="2"/>
  <c r="U37" i="2" s="1"/>
  <c r="O15" i="2"/>
  <c r="U17" i="2"/>
  <c r="U20" i="2"/>
  <c r="W20" i="2"/>
  <c r="W44" i="2" s="1"/>
  <c r="O20" i="2"/>
  <c r="F44" i="2"/>
  <c r="K20" i="2"/>
  <c r="Q20" i="2" s="1"/>
  <c r="U25" i="2"/>
  <c r="W25" i="2"/>
  <c r="W49" i="2" s="1"/>
  <c r="O25" i="2"/>
  <c r="O49" i="2" s="1"/>
  <c r="C26" i="2"/>
  <c r="B50" i="2" s="1"/>
  <c r="AS27" i="2"/>
  <c r="K48" i="2"/>
  <c r="W51" i="2"/>
  <c r="O51" i="2"/>
  <c r="M48" i="2"/>
  <c r="Y12" i="2"/>
  <c r="K25" i="2"/>
  <c r="Y25" i="2"/>
  <c r="U50" i="2"/>
  <c r="M50" i="2"/>
  <c r="W50" i="2"/>
  <c r="W48" i="2"/>
  <c r="K50" i="2"/>
  <c r="U51" i="2"/>
  <c r="M49" i="2"/>
  <c r="U49" i="2"/>
  <c r="K52" i="2"/>
  <c r="Q52" i="2" s="1"/>
  <c r="O26" i="2"/>
  <c r="O50" i="2" s="1"/>
  <c r="K49" i="2"/>
  <c r="Q49" i="2" s="1"/>
  <c r="BH24" i="11" l="1"/>
  <c r="B23" i="11"/>
  <c r="AN48" i="10"/>
  <c r="AN53" i="10" s="1"/>
  <c r="AN30" i="10"/>
  <c r="AH48" i="10"/>
  <c r="AP24" i="10"/>
  <c r="AP30" i="10" s="1"/>
  <c r="AH30" i="10"/>
  <c r="AP45" i="10"/>
  <c r="R20" i="4"/>
  <c r="X51" i="4"/>
  <c r="X55" i="4" s="1"/>
  <c r="X59" i="4" s="1"/>
  <c r="AB47" i="4"/>
  <c r="R34" i="4"/>
  <c r="AS16" i="4"/>
  <c r="B15" i="4"/>
  <c r="R43" i="4"/>
  <c r="R35" i="4"/>
  <c r="R49" i="4"/>
  <c r="AB44" i="4"/>
  <c r="AB28" i="4"/>
  <c r="R13" i="4"/>
  <c r="V51" i="4"/>
  <c r="V55" i="4" s="1"/>
  <c r="V59" i="4" s="1"/>
  <c r="AB11" i="4"/>
  <c r="P51" i="4"/>
  <c r="P55" i="4" s="1"/>
  <c r="P59" i="4" s="1"/>
  <c r="R11" i="4"/>
  <c r="R51" i="4" s="1"/>
  <c r="R55" i="4" s="1"/>
  <c r="R59" i="4" s="1"/>
  <c r="R21" i="4"/>
  <c r="L51" i="4"/>
  <c r="L55" i="4" s="1"/>
  <c r="L59" i="4" s="1"/>
  <c r="AB14" i="4"/>
  <c r="AB40" i="4"/>
  <c r="AB37" i="4"/>
  <c r="R27" i="4"/>
  <c r="R44" i="4"/>
  <c r="AB46" i="4"/>
  <c r="R28" i="4"/>
  <c r="R18" i="4"/>
  <c r="R41" i="4"/>
  <c r="Q50" i="2"/>
  <c r="Y28" i="2"/>
  <c r="Y52" i="2" s="1"/>
  <c r="Y13" i="2"/>
  <c r="C14" i="2"/>
  <c r="B38" i="2" s="1"/>
  <c r="AS15" i="2"/>
  <c r="AA13" i="2"/>
  <c r="S14" i="2"/>
  <c r="Y36" i="2"/>
  <c r="K43" i="2"/>
  <c r="Q43" i="2" s="1"/>
  <c r="Y26" i="2"/>
  <c r="Y49" i="2"/>
  <c r="AA49" i="2" s="1"/>
  <c r="Q25" i="2"/>
  <c r="Q48" i="2"/>
  <c r="AS28" i="2"/>
  <c r="C28" i="2" s="1"/>
  <c r="B52" i="2" s="1"/>
  <c r="C27" i="2"/>
  <c r="B51" i="2" s="1"/>
  <c r="AA12" i="2"/>
  <c r="Q14" i="2"/>
  <c r="K38" i="2"/>
  <c r="Q38" i="2" s="1"/>
  <c r="K40" i="2"/>
  <c r="Q40" i="2" s="1"/>
  <c r="K41" i="2"/>
  <c r="Q41" i="2" s="1"/>
  <c r="S37" i="2"/>
  <c r="AA26" i="2"/>
  <c r="S50" i="2"/>
  <c r="K42" i="2"/>
  <c r="Q42" i="2" s="1"/>
  <c r="K36" i="2"/>
  <c r="Q36" i="2" s="1"/>
  <c r="K51" i="2"/>
  <c r="Q51" i="2" s="1"/>
  <c r="Q15" i="2"/>
  <c r="F30" i="2"/>
  <c r="F53" i="2"/>
  <c r="K11" i="2"/>
  <c r="U11" i="2"/>
  <c r="O11" i="2"/>
  <c r="W11" i="2"/>
  <c r="Q21" i="2"/>
  <c r="K44" i="2"/>
  <c r="Q44" i="2" s="1"/>
  <c r="AA36" i="2"/>
  <c r="M53" i="2"/>
  <c r="K37" i="2"/>
  <c r="Q37" i="2" s="1"/>
  <c r="B24" i="11" l="1"/>
  <c r="BH25" i="11"/>
  <c r="AP48" i="10"/>
  <c r="AP53" i="10" s="1"/>
  <c r="AH53" i="10"/>
  <c r="AB51" i="4"/>
  <c r="AB55" i="4" s="1"/>
  <c r="AB59" i="4" s="1"/>
  <c r="B16" i="4"/>
  <c r="AS17" i="4"/>
  <c r="Q11" i="2"/>
  <c r="Q30" i="2" s="1"/>
  <c r="K30" i="2"/>
  <c r="K35" i="2"/>
  <c r="Y14" i="2"/>
  <c r="Y37" i="2"/>
  <c r="W30" i="2"/>
  <c r="W35" i="2"/>
  <c r="W53" i="2" s="1"/>
  <c r="E77" i="2"/>
  <c r="E80" i="2" s="1"/>
  <c r="AA50" i="2"/>
  <c r="AS16" i="2"/>
  <c r="C15" i="2"/>
  <c r="B39" i="2" s="1"/>
  <c r="U30" i="2"/>
  <c r="AA11" i="2"/>
  <c r="U35" i="2"/>
  <c r="AA37" i="2"/>
  <c r="S27" i="2"/>
  <c r="S15" i="2"/>
  <c r="AA14" i="2"/>
  <c r="S38" i="2"/>
  <c r="O30" i="2"/>
  <c r="O35" i="2"/>
  <c r="O53" i="2" s="1"/>
  <c r="Y27" i="2"/>
  <c r="Y51" i="2" s="1"/>
  <c r="Y50" i="2"/>
  <c r="BH26" i="11" l="1"/>
  <c r="B25" i="11"/>
  <c r="AH77" i="10"/>
  <c r="AH80" i="10" s="1"/>
  <c r="B17" i="4"/>
  <c r="AS18" i="4"/>
  <c r="U53" i="2"/>
  <c r="AA35" i="2"/>
  <c r="AS17" i="2"/>
  <c r="C16" i="2"/>
  <c r="B40" i="2" s="1"/>
  <c r="K53" i="2"/>
  <c r="Q35" i="2"/>
  <c r="Q53" i="2" s="1"/>
  <c r="S28" i="2"/>
  <c r="S16" i="2"/>
  <c r="S39" i="2"/>
  <c r="AA27" i="2"/>
  <c r="S51" i="2"/>
  <c r="AA51" i="2" s="1"/>
  <c r="E84" i="2"/>
  <c r="AA38" i="2"/>
  <c r="F77" i="2"/>
  <c r="F80" i="2" s="1"/>
  <c r="F84" i="2" s="1"/>
  <c r="Y15" i="2"/>
  <c r="Y38" i="2"/>
  <c r="BH27" i="11" l="1"/>
  <c r="B26" i="11"/>
  <c r="AJ77" i="10"/>
  <c r="AJ80" i="10" s="1"/>
  <c r="AJ84" i="10" s="1"/>
  <c r="AH84" i="10"/>
  <c r="B18" i="4"/>
  <c r="AS19" i="4"/>
  <c r="AA28" i="2"/>
  <c r="S52" i="2"/>
  <c r="AA52" i="2" s="1"/>
  <c r="O77" i="2"/>
  <c r="O80" i="2" s="1"/>
  <c r="O84" i="2" s="1"/>
  <c r="Y16" i="2"/>
  <c r="Y39" i="2"/>
  <c r="AA15" i="2"/>
  <c r="C17" i="2"/>
  <c r="B41" i="2" s="1"/>
  <c r="AS18" i="2"/>
  <c r="AA39" i="2"/>
  <c r="AA16" i="2"/>
  <c r="S17" i="2"/>
  <c r="S40" i="2"/>
  <c r="AL80" i="10" l="1"/>
  <c r="BH28" i="11"/>
  <c r="B27" i="11"/>
  <c r="AL84" i="10"/>
  <c r="AS20" i="4"/>
  <c r="B19" i="4"/>
  <c r="AA17" i="2"/>
  <c r="S18" i="2"/>
  <c r="S41" i="2"/>
  <c r="AS19" i="2"/>
  <c r="C18" i="2"/>
  <c r="B42" i="2" s="1"/>
  <c r="Y17" i="2"/>
  <c r="Y40" i="2"/>
  <c r="AA40" i="2"/>
  <c r="Q77" i="2"/>
  <c r="Q80" i="2" s="1"/>
  <c r="B28" i="11" l="1"/>
  <c r="BH29" i="11"/>
  <c r="B20" i="4"/>
  <c r="AS21" i="4"/>
  <c r="Q84" i="2"/>
  <c r="S19" i="2"/>
  <c r="S42" i="2"/>
  <c r="AS20" i="2"/>
  <c r="C19" i="2"/>
  <c r="B43" i="2" s="1"/>
  <c r="Y18" i="2"/>
  <c r="Y41" i="2"/>
  <c r="AA41" i="2"/>
  <c r="B29" i="11" l="1"/>
  <c r="BH30" i="11"/>
  <c r="AS22" i="4"/>
  <c r="B21" i="4"/>
  <c r="Y19" i="2"/>
  <c r="Y42" i="2"/>
  <c r="AA42" i="2" s="1"/>
  <c r="AA18" i="2"/>
  <c r="C20" i="2"/>
  <c r="B44" i="2" s="1"/>
  <c r="AS21" i="2"/>
  <c r="C21" i="2" s="1"/>
  <c r="B45" i="2" s="1"/>
  <c r="S20" i="2"/>
  <c r="S43" i="2"/>
  <c r="BH31" i="11" l="1"/>
  <c r="B30" i="11"/>
  <c r="AS23" i="4"/>
  <c r="B22" i="4"/>
  <c r="S21" i="2"/>
  <c r="AA20" i="2"/>
  <c r="S44" i="2"/>
  <c r="Y20" i="2"/>
  <c r="Y43" i="2"/>
  <c r="AA43" i="2"/>
  <c r="AA19" i="2"/>
  <c r="BH32" i="11" l="1"/>
  <c r="B31" i="11"/>
  <c r="AS24" i="4"/>
  <c r="B23" i="4"/>
  <c r="Y21" i="2"/>
  <c r="Y44" i="2"/>
  <c r="AA44" i="2" s="1"/>
  <c r="AA21" i="2"/>
  <c r="S24" i="2"/>
  <c r="S45" i="2"/>
  <c r="BH33" i="11" l="1"/>
  <c r="B32" i="11"/>
  <c r="B24" i="4"/>
  <c r="AS25" i="4"/>
  <c r="Y24" i="2"/>
  <c r="AA24" i="2" s="1"/>
  <c r="AA30" i="2" s="1"/>
  <c r="Y45" i="2"/>
  <c r="AA45" i="2" s="1"/>
  <c r="S48" i="2"/>
  <c r="S30" i="2"/>
  <c r="BH34" i="11" l="1"/>
  <c r="B33" i="11"/>
  <c r="AS26" i="4"/>
  <c r="B25" i="4"/>
  <c r="S53" i="2"/>
  <c r="Y48" i="2"/>
  <c r="Y53" i="2" s="1"/>
  <c r="Y30" i="2"/>
  <c r="B34" i="11" l="1"/>
  <c r="BH35" i="11"/>
  <c r="AS27" i="4"/>
  <c r="B26" i="4"/>
  <c r="AA48" i="2"/>
  <c r="AA53" i="2" s="1"/>
  <c r="BH36" i="11" l="1"/>
  <c r="B35" i="11"/>
  <c r="AS28" i="4"/>
  <c r="B27" i="4"/>
  <c r="S77" i="2"/>
  <c r="S80" i="2" s="1"/>
  <c r="U77" i="2" l="1"/>
  <c r="U80" i="2" s="1"/>
  <c r="U84" i="2" s="1"/>
  <c r="B36" i="11"/>
  <c r="BH37" i="11"/>
  <c r="B28" i="4"/>
  <c r="AS29" i="4"/>
  <c r="S84" i="2"/>
  <c r="W80" i="2"/>
  <c r="W84" i="2"/>
  <c r="B37" i="11" l="1"/>
  <c r="BH38" i="11"/>
  <c r="B29" i="4"/>
  <c r="AS30" i="4"/>
  <c r="BH39" i="11" l="1"/>
  <c r="B38" i="11"/>
  <c r="B30" i="4"/>
  <c r="AS31" i="4"/>
  <c r="BH40" i="11" l="1"/>
  <c r="B39" i="11"/>
  <c r="B31" i="4"/>
  <c r="AS32" i="4"/>
  <c r="B40" i="11" l="1"/>
  <c r="BH41" i="11"/>
  <c r="AS33" i="4"/>
  <c r="B32" i="4"/>
  <c r="B41" i="11" l="1"/>
  <c r="BH42" i="11"/>
  <c r="B33" i="4"/>
  <c r="AS34" i="4"/>
  <c r="BH43" i="11" l="1"/>
  <c r="B42" i="11"/>
  <c r="B34" i="4"/>
  <c r="AS35" i="4"/>
  <c r="BH44" i="11" l="1"/>
  <c r="B43" i="11"/>
  <c r="AS36" i="4"/>
  <c r="B35" i="4"/>
  <c r="BH45" i="11" l="1"/>
  <c r="B44" i="11"/>
  <c r="B36" i="4"/>
  <c r="AS37" i="4"/>
  <c r="B45" i="11" l="1"/>
  <c r="BH46" i="11"/>
  <c r="AS38" i="4"/>
  <c r="B37" i="4"/>
  <c r="B46" i="11" l="1"/>
  <c r="BH47" i="11"/>
  <c r="AS39" i="4"/>
  <c r="B38" i="4"/>
  <c r="BH48" i="11" l="1"/>
  <c r="B47" i="11"/>
  <c r="B39" i="4"/>
  <c r="AS40" i="4"/>
  <c r="BH49" i="11" l="1"/>
  <c r="B48" i="11"/>
  <c r="B40" i="4"/>
  <c r="AS41" i="4"/>
  <c r="BH50" i="11" l="1"/>
  <c r="B50" i="11" s="1"/>
  <c r="B49" i="11"/>
  <c r="AS42" i="4"/>
  <c r="B41" i="4"/>
  <c r="B42" i="4" l="1"/>
  <c r="AS43" i="4"/>
  <c r="AS44" i="4" l="1"/>
  <c r="B43" i="4"/>
  <c r="AS45" i="4" l="1"/>
  <c r="B44" i="4"/>
  <c r="B45" i="4" l="1"/>
  <c r="AS46" i="4"/>
  <c r="AS47" i="4" l="1"/>
  <c r="B46" i="4"/>
  <c r="AS48" i="4" l="1"/>
  <c r="B47" i="4"/>
  <c r="B48" i="4" l="1"/>
  <c r="AS49" i="4"/>
  <c r="B49" i="4" l="1"/>
  <c r="AS50" i="4"/>
  <c r="B50" i="4" s="1"/>
  <c r="I68" i="1" l="1"/>
  <c r="AC43" i="1"/>
  <c r="AC66" i="1"/>
  <c r="AC40" i="1"/>
  <c r="AC37" i="1"/>
  <c r="AC33" i="1"/>
  <c r="AC14" i="1"/>
  <c r="G14" i="1" s="1"/>
  <c r="W14" i="1" s="1"/>
  <c r="AC36" i="1"/>
  <c r="AC22" i="1"/>
  <c r="G22" i="1" s="1"/>
  <c r="W22" i="1" s="1"/>
  <c r="M22" i="1"/>
  <c r="O22" i="1"/>
  <c r="M14" i="1"/>
  <c r="O14" i="1"/>
  <c r="M40" i="1"/>
  <c r="O40" i="1"/>
  <c r="G40" i="1"/>
  <c r="O47" i="1"/>
  <c r="O56" i="1"/>
  <c r="O17" i="1"/>
  <c r="O20" i="1"/>
  <c r="O61" i="1"/>
  <c r="O24" i="1"/>
  <c r="O26" i="1"/>
  <c r="O27" i="1"/>
  <c r="O28" i="1"/>
  <c r="O25" i="1"/>
  <c r="O42" i="1"/>
  <c r="O29" i="1"/>
  <c r="O38" i="1"/>
  <c r="O43" i="1"/>
  <c r="O46" i="1"/>
  <c r="O63" i="1"/>
  <c r="O52" i="1"/>
  <c r="O50" i="1"/>
  <c r="O19" i="1"/>
  <c r="O32" i="1"/>
  <c r="O33" i="1"/>
  <c r="O54" i="1"/>
  <c r="O57" i="1"/>
  <c r="O35" i="1"/>
  <c r="O65" i="1"/>
  <c r="O37" i="1"/>
  <c r="O11" i="1"/>
  <c r="O44" i="1"/>
  <c r="O64" i="1"/>
  <c r="O59" i="1"/>
  <c r="O60" i="1"/>
  <c r="O45" i="1"/>
  <c r="O51" i="1"/>
  <c r="O13" i="1"/>
  <c r="O66" i="1"/>
  <c r="O49" i="1"/>
  <c r="O21" i="1"/>
  <c r="O58" i="1"/>
  <c r="O31" i="1"/>
  <c r="O55" i="1"/>
  <c r="O39" i="1"/>
  <c r="O15" i="1"/>
  <c r="O62" i="1"/>
  <c r="O10" i="1"/>
  <c r="O36" i="1"/>
  <c r="O18" i="1"/>
  <c r="O48" i="1"/>
  <c r="O34" i="1"/>
  <c r="O16" i="1"/>
  <c r="O41" i="1"/>
  <c r="O23" i="1"/>
  <c r="O53" i="1"/>
  <c r="O30" i="1"/>
  <c r="O12" i="1"/>
  <c r="M47" i="1"/>
  <c r="M56" i="1"/>
  <c r="M17" i="1"/>
  <c r="M20" i="1"/>
  <c r="M61" i="1"/>
  <c r="M24" i="1"/>
  <c r="M26" i="1"/>
  <c r="M27" i="1"/>
  <c r="M28" i="1"/>
  <c r="M25" i="1"/>
  <c r="M42" i="1"/>
  <c r="M29" i="1"/>
  <c r="M38" i="1"/>
  <c r="M43" i="1"/>
  <c r="M46" i="1"/>
  <c r="M63" i="1"/>
  <c r="M52" i="1"/>
  <c r="M50" i="1"/>
  <c r="M19" i="1"/>
  <c r="M32" i="1"/>
  <c r="M33" i="1"/>
  <c r="M54" i="1"/>
  <c r="M57" i="1"/>
  <c r="M35" i="1"/>
  <c r="M65" i="1"/>
  <c r="M37" i="1"/>
  <c r="M11" i="1"/>
  <c r="M44" i="1"/>
  <c r="M64" i="1"/>
  <c r="M59" i="1"/>
  <c r="M60" i="1"/>
  <c r="M45" i="1"/>
  <c r="M51" i="1"/>
  <c r="M13" i="1"/>
  <c r="M66" i="1"/>
  <c r="M49" i="1"/>
  <c r="M21" i="1"/>
  <c r="M58" i="1"/>
  <c r="M31" i="1"/>
  <c r="M55" i="1"/>
  <c r="M39" i="1"/>
  <c r="M15" i="1"/>
  <c r="M62" i="1"/>
  <c r="M10" i="1"/>
  <c r="M36" i="1"/>
  <c r="M18" i="1"/>
  <c r="M48" i="1"/>
  <c r="M34" i="1"/>
  <c r="M16" i="1"/>
  <c r="M41" i="1"/>
  <c r="M23" i="1"/>
  <c r="M53" i="1"/>
  <c r="M30" i="1"/>
  <c r="AA64" i="1"/>
  <c r="M12" i="1"/>
  <c r="W40" i="1" l="1"/>
  <c r="K40" i="1"/>
  <c r="Q40" i="1" s="1"/>
  <c r="U40" i="1"/>
  <c r="U14" i="1"/>
  <c r="AA14" i="1" s="1"/>
  <c r="K14" i="1"/>
  <c r="Q14" i="1" s="1"/>
  <c r="U22" i="1"/>
  <c r="AA22" i="1" s="1"/>
  <c r="K22" i="1"/>
  <c r="Q22" i="1" s="1"/>
  <c r="AC30" i="1"/>
  <c r="G30" i="1" s="1"/>
  <c r="AC53" i="1"/>
  <c r="G53" i="1" s="1"/>
  <c r="AC23" i="1"/>
  <c r="G23" i="1" s="1"/>
  <c r="AC41" i="1"/>
  <c r="G41" i="1" s="1"/>
  <c r="AC16" i="1"/>
  <c r="G16" i="1" s="1"/>
  <c r="AC34" i="1"/>
  <c r="G34" i="1" s="1"/>
  <c r="AC48" i="1"/>
  <c r="G48" i="1" s="1"/>
  <c r="AC18" i="1"/>
  <c r="G18" i="1" s="1"/>
  <c r="G36" i="1"/>
  <c r="AC10" i="1"/>
  <c r="G10" i="1" s="1"/>
  <c r="AC62" i="1"/>
  <c r="G62" i="1" s="1"/>
  <c r="AC15" i="1"/>
  <c r="G15" i="1" s="1"/>
  <c r="AC39" i="1"/>
  <c r="G39" i="1" s="1"/>
  <c r="AC55" i="1"/>
  <c r="G55" i="1" s="1"/>
  <c r="AC31" i="1"/>
  <c r="G31" i="1" s="1"/>
  <c r="AC58" i="1"/>
  <c r="G58" i="1" s="1"/>
  <c r="AC21" i="1"/>
  <c r="G21" i="1" s="1"/>
  <c r="AC49" i="1"/>
  <c r="G49" i="1" s="1"/>
  <c r="G66" i="1"/>
  <c r="AC13" i="1"/>
  <c r="G13" i="1" s="1"/>
  <c r="AC51" i="1"/>
  <c r="G51" i="1" s="1"/>
  <c r="AC45" i="1"/>
  <c r="G45" i="1" s="1"/>
  <c r="AC60" i="1"/>
  <c r="G60" i="1" s="1"/>
  <c r="AC59" i="1"/>
  <c r="G59" i="1" s="1"/>
  <c r="AC64" i="1"/>
  <c r="G64" i="1" s="1"/>
  <c r="K64" i="1" s="1"/>
  <c r="Q64" i="1" s="1"/>
  <c r="AC44" i="1"/>
  <c r="G44" i="1" s="1"/>
  <c r="AC11" i="1"/>
  <c r="G11" i="1" s="1"/>
  <c r="G37" i="1"/>
  <c r="AC65" i="1"/>
  <c r="G65" i="1" s="1"/>
  <c r="AC35" i="1"/>
  <c r="G35" i="1" s="1"/>
  <c r="AC57" i="1"/>
  <c r="G57" i="1" s="1"/>
  <c r="AC54" i="1"/>
  <c r="G54" i="1" s="1"/>
  <c r="G33" i="1"/>
  <c r="AC32" i="1"/>
  <c r="G32" i="1" s="1"/>
  <c r="AC19" i="1"/>
  <c r="G19" i="1" s="1"/>
  <c r="AC50" i="1"/>
  <c r="G50" i="1" s="1"/>
  <c r="AC52" i="1"/>
  <c r="G52" i="1" s="1"/>
  <c r="AC63" i="1"/>
  <c r="G63" i="1" s="1"/>
  <c r="AC46" i="1"/>
  <c r="G46" i="1" s="1"/>
  <c r="G43" i="1"/>
  <c r="AC38" i="1"/>
  <c r="G38" i="1" s="1"/>
  <c r="AC29" i="1"/>
  <c r="G29" i="1" s="1"/>
  <c r="AC42" i="1"/>
  <c r="G42" i="1" s="1"/>
  <c r="AC25" i="1"/>
  <c r="G25" i="1" s="1"/>
  <c r="AC28" i="1"/>
  <c r="G28" i="1" s="1"/>
  <c r="AC27" i="1"/>
  <c r="G27" i="1" s="1"/>
  <c r="AC26" i="1"/>
  <c r="G26" i="1" s="1"/>
  <c r="AC24" i="1"/>
  <c r="G24" i="1" s="1"/>
  <c r="AC61" i="1"/>
  <c r="G61" i="1" s="1"/>
  <c r="AC20" i="1"/>
  <c r="G20" i="1" s="1"/>
  <c r="AC17" i="1"/>
  <c r="G17" i="1" s="1"/>
  <c r="AC56" i="1"/>
  <c r="G56" i="1" s="1"/>
  <c r="AC47" i="1"/>
  <c r="G47" i="1" s="1"/>
  <c r="AC12" i="1"/>
  <c r="G12" i="1" s="1"/>
  <c r="AA40" i="1" l="1"/>
  <c r="G68" i="1"/>
  <c r="W28" i="1"/>
  <c r="U28" i="1"/>
  <c r="K28" i="1"/>
  <c r="Q28" i="1" s="1"/>
  <c r="W38" i="1"/>
  <c r="AA38" i="1" s="1"/>
  <c r="U38" i="1"/>
  <c r="K38" i="1"/>
  <c r="Q38" i="1" s="1"/>
  <c r="W52" i="1"/>
  <c r="U52" i="1"/>
  <c r="K52" i="1"/>
  <c r="Q52" i="1" s="1"/>
  <c r="W33" i="1"/>
  <c r="U33" i="1"/>
  <c r="K33" i="1"/>
  <c r="Q33" i="1" s="1"/>
  <c r="W65" i="1"/>
  <c r="U65" i="1"/>
  <c r="AA65" i="1" s="1"/>
  <c r="K65" i="1"/>
  <c r="Q65" i="1" s="1"/>
  <c r="W51" i="1"/>
  <c r="U51" i="1"/>
  <c r="K51" i="1"/>
  <c r="Q51" i="1" s="1"/>
  <c r="W21" i="1"/>
  <c r="U21" i="1"/>
  <c r="K21" i="1"/>
  <c r="Q21" i="1" s="1"/>
  <c r="W39" i="1"/>
  <c r="U39" i="1"/>
  <c r="K39" i="1"/>
  <c r="Q39" i="1" s="1"/>
  <c r="W36" i="1"/>
  <c r="K36" i="1"/>
  <c r="Q36" i="1" s="1"/>
  <c r="U36" i="1"/>
  <c r="W16" i="1"/>
  <c r="U16" i="1"/>
  <c r="K16" i="1"/>
  <c r="Q16" i="1" s="1"/>
  <c r="W30" i="1"/>
  <c r="U30" i="1"/>
  <c r="K30" i="1"/>
  <c r="Q30" i="1" s="1"/>
  <c r="W61" i="1"/>
  <c r="AA61" i="1" s="1"/>
  <c r="U61" i="1"/>
  <c r="K61" i="1"/>
  <c r="Q61" i="1" s="1"/>
  <c r="W29" i="1"/>
  <c r="U29" i="1"/>
  <c r="K29" i="1"/>
  <c r="Q29" i="1" s="1"/>
  <c r="W32" i="1"/>
  <c r="U32" i="1"/>
  <c r="K32" i="1"/>
  <c r="Q32" i="1" s="1"/>
  <c r="W44" i="1"/>
  <c r="U44" i="1"/>
  <c r="K44" i="1"/>
  <c r="Q44" i="1" s="1"/>
  <c r="W10" i="1"/>
  <c r="U10" i="1"/>
  <c r="K10" i="1"/>
  <c r="Q10" i="1" s="1"/>
  <c r="W27" i="1"/>
  <c r="U27" i="1"/>
  <c r="K27" i="1"/>
  <c r="Q27" i="1" s="1"/>
  <c r="W53" i="1"/>
  <c r="U53" i="1"/>
  <c r="K53" i="1"/>
  <c r="Q53" i="1" s="1"/>
  <c r="W17" i="1"/>
  <c r="U17" i="1"/>
  <c r="K17" i="1"/>
  <c r="Q17" i="1" s="1"/>
  <c r="W26" i="1"/>
  <c r="U26" i="1"/>
  <c r="K26" i="1"/>
  <c r="Q26" i="1" s="1"/>
  <c r="W42" i="1"/>
  <c r="U42" i="1"/>
  <c r="K42" i="1"/>
  <c r="Q42" i="1" s="1"/>
  <c r="W46" i="1"/>
  <c r="U46" i="1"/>
  <c r="K46" i="1"/>
  <c r="Q46" i="1" s="1"/>
  <c r="W19" i="1"/>
  <c r="U19" i="1"/>
  <c r="AA19" i="1" s="1"/>
  <c r="K19" i="1"/>
  <c r="Q19" i="1" s="1"/>
  <c r="W57" i="1"/>
  <c r="U57" i="1"/>
  <c r="K57" i="1"/>
  <c r="Q57" i="1" s="1"/>
  <c r="W11" i="1"/>
  <c r="U11" i="1"/>
  <c r="K11" i="1"/>
  <c r="Q11" i="1" s="1"/>
  <c r="K60" i="1"/>
  <c r="Q60" i="1" s="1"/>
  <c r="W60" i="1"/>
  <c r="U60" i="1"/>
  <c r="K66" i="1"/>
  <c r="Q66" i="1" s="1"/>
  <c r="W66" i="1"/>
  <c r="U66" i="1"/>
  <c r="K31" i="1"/>
  <c r="Q31" i="1" s="1"/>
  <c r="W31" i="1"/>
  <c r="U31" i="1"/>
  <c r="K62" i="1"/>
  <c r="Q62" i="1" s="1"/>
  <c r="W62" i="1"/>
  <c r="U62" i="1"/>
  <c r="K48" i="1"/>
  <c r="Q48" i="1" s="1"/>
  <c r="W48" i="1"/>
  <c r="U48" i="1"/>
  <c r="K23" i="1"/>
  <c r="Q23" i="1" s="1"/>
  <c r="W23" i="1"/>
  <c r="U23" i="1"/>
  <c r="W47" i="1"/>
  <c r="U47" i="1"/>
  <c r="K47" i="1"/>
  <c r="Q47" i="1" s="1"/>
  <c r="W20" i="1"/>
  <c r="U20" i="1"/>
  <c r="K20" i="1"/>
  <c r="Q20" i="1" s="1"/>
  <c r="W63" i="1"/>
  <c r="U63" i="1"/>
  <c r="K63" i="1"/>
  <c r="Q63" i="1" s="1"/>
  <c r="W35" i="1"/>
  <c r="U35" i="1"/>
  <c r="K35" i="1"/>
  <c r="Q35" i="1" s="1"/>
  <c r="W45" i="1"/>
  <c r="U45" i="1"/>
  <c r="K45" i="1"/>
  <c r="Q45" i="1" s="1"/>
  <c r="W49" i="1"/>
  <c r="U49" i="1"/>
  <c r="K49" i="1"/>
  <c r="Q49" i="1" s="1"/>
  <c r="W55" i="1"/>
  <c r="U55" i="1"/>
  <c r="K55" i="1"/>
  <c r="Q55" i="1" s="1"/>
  <c r="W34" i="1"/>
  <c r="U34" i="1"/>
  <c r="K34" i="1"/>
  <c r="Q34" i="1" s="1"/>
  <c r="W56" i="1"/>
  <c r="U56" i="1"/>
  <c r="K56" i="1"/>
  <c r="Q56" i="1" s="1"/>
  <c r="W24" i="1"/>
  <c r="U24" i="1"/>
  <c r="K24" i="1"/>
  <c r="Q24" i="1" s="1"/>
  <c r="W25" i="1"/>
  <c r="U25" i="1"/>
  <c r="K25" i="1"/>
  <c r="Q25" i="1" s="1"/>
  <c r="W43" i="1"/>
  <c r="U43" i="1"/>
  <c r="K43" i="1"/>
  <c r="Q43" i="1" s="1"/>
  <c r="W50" i="1"/>
  <c r="U50" i="1"/>
  <c r="K50" i="1"/>
  <c r="Q50" i="1" s="1"/>
  <c r="W54" i="1"/>
  <c r="U54" i="1"/>
  <c r="K54" i="1"/>
  <c r="Q54" i="1" s="1"/>
  <c r="W37" i="1"/>
  <c r="U37" i="1"/>
  <c r="K37" i="1"/>
  <c r="Q37" i="1" s="1"/>
  <c r="K59" i="1"/>
  <c r="Q59" i="1" s="1"/>
  <c r="W59" i="1"/>
  <c r="U59" i="1"/>
  <c r="K13" i="1"/>
  <c r="Q13" i="1" s="1"/>
  <c r="W13" i="1"/>
  <c r="U13" i="1"/>
  <c r="K58" i="1"/>
  <c r="Q58" i="1" s="1"/>
  <c r="W58" i="1"/>
  <c r="U58" i="1"/>
  <c r="K15" i="1"/>
  <c r="Q15" i="1" s="1"/>
  <c r="W15" i="1"/>
  <c r="U15" i="1"/>
  <c r="K18" i="1"/>
  <c r="Q18" i="1" s="1"/>
  <c r="W18" i="1"/>
  <c r="U18" i="1"/>
  <c r="K41" i="1"/>
  <c r="Q41" i="1" s="1"/>
  <c r="W41" i="1"/>
  <c r="U41" i="1"/>
  <c r="AA33" i="1"/>
  <c r="AA30" i="1"/>
  <c r="W12" i="1"/>
  <c r="AA29" i="1"/>
  <c r="AC68" i="1"/>
  <c r="U12" i="1"/>
  <c r="K12" i="1"/>
  <c r="AA48" i="1" l="1"/>
  <c r="AA24" i="1"/>
  <c r="AA11" i="1"/>
  <c r="AA59" i="1"/>
  <c r="AA37" i="1"/>
  <c r="AA32" i="1"/>
  <c r="AA55" i="1"/>
  <c r="AA23" i="1"/>
  <c r="AA13" i="1"/>
  <c r="AA20" i="1"/>
  <c r="AA60" i="1"/>
  <c r="AA42" i="1"/>
  <c r="AA34" i="1"/>
  <c r="AA31" i="1"/>
  <c r="AA17" i="1"/>
  <c r="AA41" i="1"/>
  <c r="AA25" i="1"/>
  <c r="AA66" i="1"/>
  <c r="AA46" i="1"/>
  <c r="AA50" i="1"/>
  <c r="AA56" i="1"/>
  <c r="AA45" i="1"/>
  <c r="AA47" i="1"/>
  <c r="AA44" i="1"/>
  <c r="AA36" i="1"/>
  <c r="AA15" i="1"/>
  <c r="AA54" i="1"/>
  <c r="AA21" i="1"/>
  <c r="AA58" i="1"/>
  <c r="AA53" i="1"/>
  <c r="AA49" i="1"/>
  <c r="AA63" i="1"/>
  <c r="AA52" i="1"/>
  <c r="AA39" i="1"/>
  <c r="U68" i="1"/>
  <c r="AA12" i="1"/>
  <c r="AA18" i="1"/>
  <c r="AA43" i="1"/>
  <c r="AA62" i="1"/>
  <c r="AA57" i="1"/>
  <c r="AA26" i="1"/>
  <c r="AA10" i="1"/>
  <c r="AA35" i="1"/>
  <c r="AA27" i="1"/>
  <c r="AA16" i="1"/>
  <c r="AA51" i="1"/>
  <c r="AA28" i="1"/>
  <c r="W68" i="1"/>
  <c r="K68" i="1"/>
  <c r="Q12" i="1"/>
  <c r="M68" i="1" l="1"/>
  <c r="Y68" i="1" l="1"/>
  <c r="AA68" i="1" l="1"/>
  <c r="S68" i="1"/>
  <c r="O68" i="1" l="1"/>
  <c r="Q68" i="1"/>
</calcChain>
</file>

<file path=xl/sharedStrings.xml><?xml version="1.0" encoding="utf-8"?>
<sst xmlns="http://schemas.openxmlformats.org/spreadsheetml/2006/main" count="1285" uniqueCount="377">
  <si>
    <t>CONFIDENTIAL</t>
  </si>
  <si>
    <t>Total Annualized</t>
  </si>
  <si>
    <t>FICA</t>
  </si>
  <si>
    <t>FUTA</t>
  </si>
  <si>
    <t>SUTA</t>
  </si>
  <si>
    <t>Total</t>
  </si>
  <si>
    <t>Health</t>
  </si>
  <si>
    <t>Salary</t>
  </si>
  <si>
    <t>7.65%</t>
  </si>
  <si>
    <t>7,000 @ .8%</t>
  </si>
  <si>
    <t>Taxes</t>
  </si>
  <si>
    <t>Insurance</t>
  </si>
  <si>
    <t>Other</t>
  </si>
  <si>
    <t>Benefits</t>
  </si>
  <si>
    <t>Annual Salary</t>
  </si>
  <si>
    <t>Northbrook</t>
  </si>
  <si>
    <t xml:space="preserve"> </t>
  </si>
  <si>
    <t>Total Northbrook Salary</t>
  </si>
  <si>
    <t>401k</t>
  </si>
  <si>
    <t>Title</t>
  </si>
  <si>
    <t>Last</t>
  </si>
  <si>
    <t>First</t>
  </si>
  <si>
    <t>Barrett</t>
  </si>
  <si>
    <t>Jason</t>
  </si>
  <si>
    <t>Company</t>
  </si>
  <si>
    <t>Contribution</t>
  </si>
  <si>
    <t>Pitts</t>
  </si>
  <si>
    <t>Darrien</t>
  </si>
  <si>
    <t>Controller</t>
  </si>
  <si>
    <t>Payroll Administrator</t>
  </si>
  <si>
    <t>Sr. Regulatory Acct</t>
  </si>
  <si>
    <t>Regulatory Staff Acct I</t>
  </si>
  <si>
    <t>President &amp; CEO</t>
  </si>
  <si>
    <t>Sparrow</t>
  </si>
  <si>
    <t>Lisa</t>
  </si>
  <si>
    <t>Federico</t>
  </si>
  <si>
    <t>Antoinette</t>
  </si>
  <si>
    <t>A/P Supervisor</t>
  </si>
  <si>
    <t>Georgiev</t>
  </si>
  <si>
    <t>Lena</t>
  </si>
  <si>
    <t>Regulatory Acct Manager</t>
  </si>
  <si>
    <t>Neyzelman</t>
  </si>
  <si>
    <t>Dimitry</t>
  </si>
  <si>
    <t>Williams</t>
  </si>
  <si>
    <t>John</t>
  </si>
  <si>
    <t>Director of Govt Affairs</t>
  </si>
  <si>
    <t>COO</t>
  </si>
  <si>
    <t>Hoy</t>
  </si>
  <si>
    <t>Kersey</t>
  </si>
  <si>
    <t>Justin</t>
  </si>
  <si>
    <t>Sr. Corporate Acct</t>
  </si>
  <si>
    <t>Kim</t>
  </si>
  <si>
    <t>Christine</t>
  </si>
  <si>
    <t>Corporate Acct Manager</t>
  </si>
  <si>
    <t>Billing Manager</t>
  </si>
  <si>
    <t>Krugler</t>
  </si>
  <si>
    <t>Adrienne</t>
  </si>
  <si>
    <t>Japczyk</t>
  </si>
  <si>
    <t>Jim</t>
  </si>
  <si>
    <t>CFO</t>
  </si>
  <si>
    <t>Ostler</t>
  </si>
  <si>
    <t>Tom</t>
  </si>
  <si>
    <t>Ortega</t>
  </si>
  <si>
    <t>Jennifer</t>
  </si>
  <si>
    <t>HR Administrator</t>
  </si>
  <si>
    <t>Kulov</t>
  </si>
  <si>
    <t>Mike</t>
  </si>
  <si>
    <t>Regulatory Staff Acct II</t>
  </si>
  <si>
    <t>IT Manager</t>
  </si>
  <si>
    <t>Pietras</t>
  </si>
  <si>
    <t>Victoria</t>
  </si>
  <si>
    <t>Wiorek</t>
  </si>
  <si>
    <t>Sharon</t>
  </si>
  <si>
    <t>Shimkus</t>
  </si>
  <si>
    <t>Matthew</t>
  </si>
  <si>
    <t>Fin Pln &amp; Analysis Mgr</t>
  </si>
  <si>
    <t>Exec Assistant-Exec Adm</t>
  </si>
  <si>
    <t>Ring</t>
  </si>
  <si>
    <t>Deborah</t>
  </si>
  <si>
    <t>Friedman</t>
  </si>
  <si>
    <t>Avelina</t>
  </si>
  <si>
    <t>Tax Specialist</t>
  </si>
  <si>
    <t>Luppino</t>
  </si>
  <si>
    <t>Nancy</t>
  </si>
  <si>
    <t>Phyllis</t>
  </si>
  <si>
    <t>A/P Clerk</t>
  </si>
  <si>
    <t>Smutny</t>
  </si>
  <si>
    <t>Thomas</t>
  </si>
  <si>
    <t>Stover</t>
  </si>
  <si>
    <t>Network Administrator</t>
  </si>
  <si>
    <t>VP General Counsel</t>
  </si>
  <si>
    <t>Markwell</t>
  </si>
  <si>
    <t>Kirsten</t>
  </si>
  <si>
    <t>Yap</t>
  </si>
  <si>
    <t>Lowell</t>
  </si>
  <si>
    <t>Margarita</t>
  </si>
  <si>
    <t>Miranda</t>
  </si>
  <si>
    <t>Arnoux</t>
  </si>
  <si>
    <t>Diane</t>
  </si>
  <si>
    <t>Pannos</t>
  </si>
  <si>
    <t>Nicholas</t>
  </si>
  <si>
    <t>System Administrator</t>
  </si>
  <si>
    <t>Wojnicka</t>
  </si>
  <si>
    <t>Patrycja</t>
  </si>
  <si>
    <t>Sverida</t>
  </si>
  <si>
    <t>Agnes</t>
  </si>
  <si>
    <t>Assistant Manager Billing</t>
  </si>
  <si>
    <t>Regulatory Assistant</t>
  </si>
  <si>
    <t>Valrie</t>
  </si>
  <si>
    <t>Lawanda</t>
  </si>
  <si>
    <t>Paule</t>
  </si>
  <si>
    <t>Rose</t>
  </si>
  <si>
    <t>Kendra</t>
  </si>
  <si>
    <t>Receptionist</t>
  </si>
  <si>
    <t>Compl &amp; Safety Coord</t>
  </si>
  <si>
    <t>Dave</t>
  </si>
  <si>
    <t>Hardik</t>
  </si>
  <si>
    <t>Zavilla</t>
  </si>
  <si>
    <t>Annette</t>
  </si>
  <si>
    <t>Desktop Supp Analyst 2</t>
  </si>
  <si>
    <t>Sr. Financial Analyst</t>
  </si>
  <si>
    <t>Rajendran</t>
  </si>
  <si>
    <t>Saravanan</t>
  </si>
  <si>
    <t>Grant</t>
  </si>
  <si>
    <t>Michael</t>
  </si>
  <si>
    <t>Suddoth</t>
  </si>
  <si>
    <t>Don</t>
  </si>
  <si>
    <t>Capital Assets Manager</t>
  </si>
  <si>
    <t>VP Corporate Dev</t>
  </si>
  <si>
    <t>CRO</t>
  </si>
  <si>
    <t>Lubertozzi</t>
  </si>
  <si>
    <t>Steve</t>
  </si>
  <si>
    <t>Sowell</t>
  </si>
  <si>
    <t>George</t>
  </si>
  <si>
    <t>Corporate Services Mgr</t>
  </si>
  <si>
    <t>Norwoods</t>
  </si>
  <si>
    <t>Regence</t>
  </si>
  <si>
    <t>Devine</t>
  </si>
  <si>
    <t>James</t>
  </si>
  <si>
    <t>Director of HR</t>
  </si>
  <si>
    <t>Winans</t>
  </si>
  <si>
    <t>Nicole</t>
  </si>
  <si>
    <t>Andrejko</t>
  </si>
  <si>
    <t>Meyers</t>
  </si>
  <si>
    <t>Nathan</t>
  </si>
  <si>
    <t>HR Generalist</t>
  </si>
  <si>
    <t>Tax Rptg &amp; Compliance Mgr</t>
  </si>
  <si>
    <t>Ferguson</t>
  </si>
  <si>
    <t>Chris</t>
  </si>
  <si>
    <t>Plumb</t>
  </si>
  <si>
    <t>Debra</t>
  </si>
  <si>
    <t>Legal Asst &amp; Admin Svc Mgr</t>
  </si>
  <si>
    <t>Malecki</t>
  </si>
  <si>
    <t>Krzysztof</t>
  </si>
  <si>
    <t>Feathergill</t>
  </si>
  <si>
    <t>Adam</t>
  </si>
  <si>
    <t>Docket Clerk</t>
  </si>
  <si>
    <t>Oakley</t>
  </si>
  <si>
    <t>Business Process Analyst</t>
  </si>
  <si>
    <t>Halloran</t>
  </si>
  <si>
    <t>Brian</t>
  </si>
  <si>
    <t>Capital Assets Acct</t>
  </si>
  <si>
    <t>Sills</t>
  </si>
  <si>
    <t>Joseph</t>
  </si>
  <si>
    <t>Desktop Supp Analyst 1</t>
  </si>
  <si>
    <t>Rob</t>
  </si>
  <si>
    <t>Guttormsen</t>
  </si>
  <si>
    <t>Liskoff</t>
  </si>
  <si>
    <t>David</t>
  </si>
  <si>
    <t>Delmundo</t>
  </si>
  <si>
    <t>Anca</t>
  </si>
  <si>
    <t>Facilities &amp; Admin Svs Sup</t>
  </si>
  <si>
    <t>Novak</t>
  </si>
  <si>
    <t>Jordan</t>
  </si>
  <si>
    <t>12900 @ 8.95%</t>
  </si>
  <si>
    <t>Hourly</t>
  </si>
  <si>
    <t>WSC Salaries</t>
  </si>
  <si>
    <t>Name Conf</t>
  </si>
  <si>
    <t>Corp 1</t>
  </si>
  <si>
    <t>Corp 2</t>
  </si>
  <si>
    <t>Corp 3</t>
  </si>
  <si>
    <t>Corp 4</t>
  </si>
  <si>
    <t>Corp 5</t>
  </si>
  <si>
    <t>Corp 6</t>
  </si>
  <si>
    <t>Corp 7</t>
  </si>
  <si>
    <t>Corp 8</t>
  </si>
  <si>
    <t>Corp 9</t>
  </si>
  <si>
    <t>Corp 10</t>
  </si>
  <si>
    <t>Corp 11</t>
  </si>
  <si>
    <t>Corp 12</t>
  </si>
  <si>
    <t>Corp 13</t>
  </si>
  <si>
    <t>Corp 14</t>
  </si>
  <si>
    <t>Corp 15</t>
  </si>
  <si>
    <t>Corp 16</t>
  </si>
  <si>
    <t>Corp 17</t>
  </si>
  <si>
    <t>Corp 18</t>
  </si>
  <si>
    <t>Corp 19</t>
  </si>
  <si>
    <t>Corp 20</t>
  </si>
  <si>
    <t>Corp 21</t>
  </si>
  <si>
    <t>Corp 22</t>
  </si>
  <si>
    <t>Corp 23</t>
  </si>
  <si>
    <t>Corp 24</t>
  </si>
  <si>
    <t>Corp 25</t>
  </si>
  <si>
    <t>Corp 26</t>
  </si>
  <si>
    <t>Corp 27</t>
  </si>
  <si>
    <t>Corp 28</t>
  </si>
  <si>
    <t>Corp 29</t>
  </si>
  <si>
    <t>Corp 30</t>
  </si>
  <si>
    <t>Corp 31</t>
  </si>
  <si>
    <t>Corp 32</t>
  </si>
  <si>
    <t>Corp 33</t>
  </si>
  <si>
    <t>Corp 34</t>
  </si>
  <si>
    <t>Corp 35</t>
  </si>
  <si>
    <t>Corp 36</t>
  </si>
  <si>
    <t>Corp 37</t>
  </si>
  <si>
    <t>Corp 38</t>
  </si>
  <si>
    <t>Corp 39</t>
  </si>
  <si>
    <t>Corp 40</t>
  </si>
  <si>
    <t>Corp 41</t>
  </si>
  <si>
    <t>Corp 42</t>
  </si>
  <si>
    <t>Corp 43</t>
  </si>
  <si>
    <t>Corp 44</t>
  </si>
  <si>
    <t>Corp 45</t>
  </si>
  <si>
    <t>Corp 46</t>
  </si>
  <si>
    <t>Corp 47</t>
  </si>
  <si>
    <t>Corp 48</t>
  </si>
  <si>
    <t>Corp 49</t>
  </si>
  <si>
    <t>Corp 50</t>
  </si>
  <si>
    <t>Corp 51</t>
  </si>
  <si>
    <t>Corp 52</t>
  </si>
  <si>
    <t>Corp 53</t>
  </si>
  <si>
    <t>Corp 54</t>
  </si>
  <si>
    <t>Corp 55</t>
  </si>
  <si>
    <t>Corp 56</t>
  </si>
  <si>
    <t>Corp 57</t>
  </si>
  <si>
    <t>WATER SERVICE CORPORATION OF KENTUCKY</t>
  </si>
  <si>
    <t>w/p  [b]</t>
  </si>
  <si>
    <t>%</t>
  </si>
  <si>
    <t>KY</t>
  </si>
  <si>
    <t>Confidential</t>
  </si>
  <si>
    <t xml:space="preserve">Total </t>
  </si>
  <si>
    <t>Percentage</t>
  </si>
  <si>
    <t>Annualized</t>
  </si>
  <si>
    <t>401(k)</t>
  </si>
  <si>
    <t>Allocated</t>
  </si>
  <si>
    <t>Pay Period</t>
  </si>
  <si>
    <t xml:space="preserve">Overtime </t>
  </si>
  <si>
    <t>Position</t>
  </si>
  <si>
    <t>[1]</t>
  </si>
  <si>
    <t>9,300 @ 3.3%</t>
  </si>
  <si>
    <t>at 3%</t>
  </si>
  <si>
    <t>at 4%</t>
  </si>
  <si>
    <t>per Year</t>
  </si>
  <si>
    <t>Hours</t>
  </si>
  <si>
    <t>Overtime</t>
  </si>
  <si>
    <t>Maintenance</t>
  </si>
  <si>
    <t>Field Tech III</t>
  </si>
  <si>
    <t>Operator II</t>
  </si>
  <si>
    <t>Field Tech I</t>
  </si>
  <si>
    <t>Regional Manager</t>
  </si>
  <si>
    <t>Lead Operator</t>
  </si>
  <si>
    <t>Administrative Assistant</t>
  </si>
  <si>
    <t>Supervisory</t>
  </si>
  <si>
    <t>Regional Director</t>
  </si>
  <si>
    <t>Regional Vice President</t>
  </si>
  <si>
    <t>Executive Assistant</t>
  </si>
  <si>
    <t>Regional Finance Manager</t>
  </si>
  <si>
    <t>Regional Compliance &amp; Safety Manager</t>
  </si>
  <si>
    <t>Total Operator Salary</t>
  </si>
  <si>
    <t>Operator Allocation</t>
  </si>
  <si>
    <t>Total Operator Allocation</t>
  </si>
  <si>
    <t xml:space="preserve">    Salaries (operations)</t>
  </si>
  <si>
    <t>Salaries (non-operations)</t>
  </si>
  <si>
    <t>Payroll Taxes</t>
  </si>
  <si>
    <t>Oper. (see above)</t>
  </si>
  <si>
    <t>Office (see wp-b CSR)</t>
  </si>
  <si>
    <t xml:space="preserve">WSC - per WSC w/p </t>
  </si>
  <si>
    <t>Test Year</t>
  </si>
  <si>
    <t>Adjustments (Water/Sewer)</t>
  </si>
  <si>
    <t>W</t>
  </si>
  <si>
    <t>S</t>
  </si>
  <si>
    <t>Customers:</t>
  </si>
  <si>
    <t>w/p [b-3]</t>
  </si>
  <si>
    <t>Pay period</t>
  </si>
  <si>
    <t xml:space="preserve">Annual </t>
  </si>
  <si>
    <t>YE</t>
  </si>
  <si>
    <t>Employee</t>
  </si>
  <si>
    <t xml:space="preserve">Line </t>
  </si>
  <si>
    <t>Customer Service Personnel</t>
  </si>
  <si>
    <t>State</t>
  </si>
  <si>
    <t>[6]</t>
  </si>
  <si>
    <t>[4]</t>
  </si>
  <si>
    <t>[5]</t>
  </si>
  <si>
    <t>per stub</t>
  </si>
  <si>
    <t>W2</t>
  </si>
  <si>
    <t>ID</t>
  </si>
  <si>
    <t>[A]</t>
  </si>
  <si>
    <t>[B]</t>
  </si>
  <si>
    <t>[C]</t>
  </si>
  <si>
    <t>[D]</t>
  </si>
  <si>
    <t>[E]</t>
  </si>
  <si>
    <t>[F]</t>
  </si>
  <si>
    <t>[G]</t>
  </si>
  <si>
    <t>[H]</t>
  </si>
  <si>
    <t>[I]</t>
  </si>
  <si>
    <t>CSR II</t>
  </si>
  <si>
    <t>CSR I</t>
  </si>
  <si>
    <t>[2]</t>
  </si>
  <si>
    <t>Contact Center Supervisor</t>
  </si>
  <si>
    <t>Customer Relations Specialist</t>
  </si>
  <si>
    <t>[3]</t>
  </si>
  <si>
    <t>Collections Specialist</t>
  </si>
  <si>
    <t>Collections Supervisor</t>
  </si>
  <si>
    <t>Billing Specialist</t>
  </si>
  <si>
    <t>Assistant Manager - Billing</t>
  </si>
  <si>
    <t>Customer Service Supervisor</t>
  </si>
  <si>
    <t>Director of Billing and Regulatory Relations</t>
  </si>
  <si>
    <t>Customer Service Manager</t>
  </si>
  <si>
    <t>Customer Care Specialist</t>
  </si>
  <si>
    <t>WSC Allocation Percentage</t>
  </si>
  <si>
    <t>Total Kentucky Customer Service Allocation</t>
  </si>
  <si>
    <t>Clinton Sewer Allocation Percentage</t>
  </si>
  <si>
    <t>Clinton Sewer Office expense</t>
  </si>
  <si>
    <t>FL</t>
  </si>
  <si>
    <t>NC</t>
  </si>
  <si>
    <t>NV</t>
  </si>
  <si>
    <t>Salaries and Wages</t>
  </si>
  <si>
    <t>Case No. 2013-00237</t>
  </si>
  <si>
    <t>A</t>
  </si>
  <si>
    <t>B</t>
  </si>
  <si>
    <t>C</t>
  </si>
  <si>
    <t>D</t>
  </si>
  <si>
    <t>Salaries Annualized to include an estimated 3.0% raise effective 4/01/2013, as presented in Case No. 2013-00237</t>
  </si>
  <si>
    <t>E</t>
  </si>
  <si>
    <t>Case No. 2015-00382</t>
  </si>
  <si>
    <t>F</t>
  </si>
  <si>
    <t>April 2013</t>
  </si>
  <si>
    <t>April 2016</t>
  </si>
  <si>
    <t>WSKY Allocation Factors</t>
  </si>
  <si>
    <t>IN</t>
  </si>
  <si>
    <t>IL</t>
  </si>
  <si>
    <t xml:space="preserve">Regional </t>
  </si>
  <si>
    <t>VA</t>
  </si>
  <si>
    <t>PA</t>
  </si>
  <si>
    <t>MD</t>
  </si>
  <si>
    <t>NJ</t>
  </si>
  <si>
    <t>Leadership</t>
  </si>
  <si>
    <t>TN</t>
  </si>
  <si>
    <t>LA</t>
  </si>
  <si>
    <t>GA</t>
  </si>
  <si>
    <t>SC</t>
  </si>
  <si>
    <t>AZ</t>
  </si>
  <si>
    <t>UI</t>
  </si>
  <si>
    <t>Old RVP</t>
  </si>
  <si>
    <t>Old Region</t>
  </si>
  <si>
    <t>Salaries Annualized to include an estimated 3.0% raise effective 4/01/2016, based on org structure, salaries and allocation factors presented in Case No. 2015-00382</t>
  </si>
  <si>
    <t>April 2014</t>
  </si>
  <si>
    <t>April 2015</t>
  </si>
  <si>
    <t>Allocation Factors</t>
  </si>
  <si>
    <t>WSKY</t>
  </si>
  <si>
    <t>Calculation of Salaries</t>
  </si>
  <si>
    <t>Calculation of Customer Service Salaries</t>
  </si>
  <si>
    <t>Calculation of Operations Salaries</t>
  </si>
  <si>
    <t>D = C-B</t>
  </si>
  <si>
    <t>B = A +  an estimated 3.0% raise effective 4/01/2014, 4/01/2015 and 4/01/2016, based on org structure and salaries presented in Case No. 2013-00237 and allocation factors presented in Case No. 2015-00382</t>
  </si>
  <si>
    <t>JE Adjustment</t>
  </si>
  <si>
    <t>Captime Salary Adjustment</t>
  </si>
  <si>
    <t>Bonus Adjustment</t>
  </si>
  <si>
    <t>Per Books Salaries for test-year ending July 2015, as presented in response to Staff DR 2.9</t>
  </si>
  <si>
    <t>Test-year Bonuses, as presented in response to Staff DR 2.9 are removed from the per-books salary expense in Case No. 2015-00382</t>
  </si>
  <si>
    <t>Test-year Journal Entries, as presented in response to Staff DR 2.9 are removed from the per-books salary expense in Case No. 2015-00382</t>
  </si>
  <si>
    <t>Test-year Captime Salary Adjustments, as presented in response to Staff DR 2.9 are removed from the per-books salary expense in Case No. 2015-00382</t>
  </si>
  <si>
    <t>F = A+B+C+D-E</t>
  </si>
  <si>
    <t>Difference</t>
  </si>
  <si>
    <t>TY Salaries, no re-org</t>
  </si>
  <si>
    <t>PF Salaries, no re-org</t>
  </si>
  <si>
    <t>Salaries for test-year ending July 2015, assuming no org structure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</si>
</sst>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_(&quot;$&quot;* #,##0.0000_);_(&quot;$&quot;* \(#,##0.0000\);_(&quot;$&quot;* &quot;-&quot;??_);_(@_)"/>
    <numFmt numFmtId="166" formatCode="_(* #,##0_);_(* \(#,##0\);_(* &quot;-&quot;??_);_(@_)"/>
    <numFmt numFmtId="167" formatCode="#,##0.0000_);\(#,##0.0000\)"/>
    <numFmt numFmtId="171" formatCode="_(* #,##0.00000_);_(* \(#,##0.00000\);_(* &quot;-&quot;??_);_(@_)"/>
    <numFmt numFmtId="175" formatCode="_(* #,##0.00000000_);_(* \(#,##0.00000000\);_(* &quot;-&quot;??_);_(@_)"/>
    <numFmt numFmtId="176" formatCode="0.0%"/>
    <numFmt numFmtId="177" formatCode="0_);\(0\)"/>
    <numFmt numFmtId="178" formatCode="####.00;\(####.00\);0.00"/>
    <numFmt numFmtId="180" formatCode="[$-409]mmmm\-yy;@"/>
    <numFmt numFmtId="181" formatCode="#."/>
    <numFmt numFmtId="183" formatCode="_(&quot;$&quot;* #,##0_);_(&quot;$&quot;* \(#,##0\);_(&quot;$&quot;* &quot;-&quot;??_);_(@_)"/>
    <numFmt numFmtId="186" formatCode="[$-409]mmm\-yy;@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1"/>
      <name val="Arial"/>
      <family val="2"/>
    </font>
    <font>
      <sz val="10"/>
      <name val="Courier"/>
      <family val="3"/>
    </font>
    <font>
      <b/>
      <sz val="11"/>
      <name val="Arial"/>
      <family val="2"/>
    </font>
    <font>
      <u/>
      <sz val="11"/>
      <name val="Arial"/>
      <family val="2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u/>
      <sz val="11"/>
      <color indexed="39"/>
      <name val="Times New Roman"/>
      <family val="1"/>
    </font>
    <font>
      <sz val="10"/>
      <name val="Courier"/>
    </font>
    <font>
      <b/>
      <sz val="11"/>
      <color indexed="39"/>
      <name val="Times New Roman"/>
      <family val="1"/>
    </font>
    <font>
      <b/>
      <sz val="11"/>
      <color rgb="FFFF0000"/>
      <name val="Times New Roman"/>
      <family val="1"/>
    </font>
    <font>
      <u/>
      <sz val="11"/>
      <name val="Times New Roman"/>
      <family val="1"/>
    </font>
    <font>
      <sz val="11"/>
      <color indexed="10"/>
      <name val="Times New Roman"/>
      <family val="1"/>
    </font>
    <font>
      <sz val="11"/>
      <color indexed="8"/>
      <name val="Times New Roman"/>
      <family val="1"/>
    </font>
    <font>
      <sz val="11"/>
      <color indexed="39"/>
      <name val="Times New Roman"/>
      <family val="1"/>
    </font>
    <font>
      <sz val="11"/>
      <color indexed="2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sz val="11"/>
      <color rgb="FFFF0000"/>
      <name val="Arial"/>
      <family val="2"/>
    </font>
    <font>
      <sz val="11"/>
      <name val="Book Antiqua"/>
      <family val="1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3" fillId="0" borderId="0"/>
    <xf numFmtId="44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80" fontId="2" fillId="0" borderId="0"/>
    <xf numFmtId="180" fontId="4" fillId="0" borderId="0"/>
    <xf numFmtId="180" fontId="2" fillId="0" borderId="0"/>
    <xf numFmtId="18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80" fontId="4" fillId="0" borderId="0"/>
    <xf numFmtId="180" fontId="4" fillId="0" borderId="0"/>
  </cellStyleXfs>
  <cellXfs count="311">
    <xf numFmtId="0" fontId="0" fillId="0" borderId="0" xfId="0"/>
    <xf numFmtId="37" fontId="3" fillId="0" borderId="0" xfId="4" applyNumberFormat="1" applyFont="1" applyFill="1"/>
    <xf numFmtId="37" fontId="3" fillId="0" borderId="0" xfId="4" applyNumberFormat="1" applyFont="1" applyFill="1" applyAlignment="1">
      <alignment horizontal="left"/>
    </xf>
    <xf numFmtId="0" fontId="3" fillId="0" borderId="0" xfId="5" applyFont="1" applyFill="1"/>
    <xf numFmtId="37" fontId="3" fillId="0" borderId="0" xfId="6" applyNumberFormat="1" applyFont="1" applyFill="1" applyAlignment="1">
      <alignment horizontal="center"/>
    </xf>
    <xf numFmtId="37" fontId="3" fillId="0" borderId="0" xfId="4" applyNumberFormat="1" applyFont="1" applyFill="1" applyBorder="1" applyAlignment="1">
      <alignment horizontal="left"/>
    </xf>
    <xf numFmtId="0" fontId="3" fillId="0" borderId="0" xfId="0" applyFont="1" applyFill="1"/>
    <xf numFmtId="10" fontId="3" fillId="0" borderId="0" xfId="7" applyNumberFormat="1" applyFont="1" applyFill="1"/>
    <xf numFmtId="37" fontId="3" fillId="0" borderId="0" xfId="4" applyNumberFormat="1" applyFont="1" applyFill="1" applyBorder="1"/>
    <xf numFmtId="43" fontId="3" fillId="0" borderId="0" xfId="1" applyFont="1" applyFill="1"/>
    <xf numFmtId="9" fontId="3" fillId="0" borderId="0" xfId="7" applyFont="1" applyFill="1"/>
    <xf numFmtId="164" fontId="3" fillId="0" borderId="0" xfId="4" applyNumberFormat="1" applyFont="1" applyFill="1"/>
    <xf numFmtId="165" fontId="3" fillId="0" borderId="0" xfId="2" applyNumberFormat="1" applyFont="1" applyFill="1"/>
    <xf numFmtId="166" fontId="3" fillId="0" borderId="0" xfId="7" applyNumberFormat="1" applyFont="1" applyFill="1" applyBorder="1"/>
    <xf numFmtId="44" fontId="3" fillId="0" borderId="0" xfId="2" applyFont="1" applyFill="1"/>
    <xf numFmtId="37" fontId="3" fillId="0" borderId="0" xfId="8" applyNumberFormat="1" applyFont="1" applyFill="1" applyBorder="1" applyAlignment="1">
      <alignment horizontal="center"/>
    </xf>
    <xf numFmtId="167" fontId="3" fillId="0" borderId="0" xfId="4" applyNumberFormat="1" applyFont="1" applyFill="1"/>
    <xf numFmtId="14" fontId="3" fillId="0" borderId="0" xfId="4" quotePrefix="1" applyNumberFormat="1" applyFont="1" applyFill="1" applyBorder="1" applyAlignment="1">
      <alignment horizontal="center"/>
    </xf>
    <xf numFmtId="37" fontId="3" fillId="0" borderId="0" xfId="4" applyNumberFormat="1" applyFont="1" applyFill="1" applyBorder="1" applyAlignment="1">
      <alignment horizontal="center"/>
    </xf>
    <xf numFmtId="37" fontId="3" fillId="0" borderId="0" xfId="4" applyNumberFormat="1" applyFont="1" applyFill="1" applyAlignment="1">
      <alignment horizontal="center"/>
    </xf>
    <xf numFmtId="165" fontId="3" fillId="0" borderId="0" xfId="2" applyNumberFormat="1" applyFont="1" applyFill="1" applyAlignment="1">
      <alignment horizontal="center"/>
    </xf>
    <xf numFmtId="166" fontId="3" fillId="0" borderId="0" xfId="1" applyNumberFormat="1" applyFont="1" applyFill="1" applyBorder="1" applyAlignment="1">
      <alignment horizontal="center"/>
    </xf>
    <xf numFmtId="37" fontId="3" fillId="0" borderId="1" xfId="8" applyNumberFormat="1" applyFont="1" applyFill="1" applyBorder="1" applyAlignment="1">
      <alignment horizontal="center"/>
    </xf>
    <xf numFmtId="37" fontId="3" fillId="0" borderId="1" xfId="4" applyNumberFormat="1" applyFont="1" applyFill="1" applyBorder="1" applyAlignment="1">
      <alignment horizontal="center"/>
    </xf>
    <xf numFmtId="37" fontId="3" fillId="0" borderId="0" xfId="8" applyNumberFormat="1" applyFont="1" applyFill="1" applyAlignment="1">
      <alignment horizontal="center"/>
    </xf>
    <xf numFmtId="37" fontId="5" fillId="0" borderId="0" xfId="4" applyNumberFormat="1" applyFont="1" applyFill="1" applyBorder="1"/>
    <xf numFmtId="37" fontId="3" fillId="0" borderId="0" xfId="8" applyNumberFormat="1" applyFont="1" applyFill="1" applyBorder="1"/>
    <xf numFmtId="37" fontId="3" fillId="0" borderId="0" xfId="8" applyNumberFormat="1" applyFont="1" applyFill="1"/>
    <xf numFmtId="37" fontId="3" fillId="0" borderId="0" xfId="5" applyNumberFormat="1" applyFont="1" applyFill="1"/>
    <xf numFmtId="166" fontId="3" fillId="0" borderId="0" xfId="9" applyNumberFormat="1" applyFont="1" applyFill="1" applyBorder="1"/>
    <xf numFmtId="166" fontId="3" fillId="0" borderId="0" xfId="9" applyNumberFormat="1" applyFont="1" applyFill="1"/>
    <xf numFmtId="166" fontId="3" fillId="0" borderId="2" xfId="9" applyNumberFormat="1" applyFont="1" applyFill="1" applyBorder="1"/>
    <xf numFmtId="166" fontId="5" fillId="0" borderId="3" xfId="9" applyNumberFormat="1" applyFont="1" applyFill="1" applyBorder="1"/>
    <xf numFmtId="166" fontId="3" fillId="0" borderId="3" xfId="9" applyNumberFormat="1" applyFont="1" applyFill="1" applyBorder="1"/>
    <xf numFmtId="37" fontId="6" fillId="0" borderId="0" xfId="4" applyNumberFormat="1" applyFont="1" applyFill="1"/>
    <xf numFmtId="9" fontId="3" fillId="0" borderId="1" xfId="3" applyFont="1" applyFill="1" applyBorder="1" applyAlignment="1">
      <alignment horizontal="center"/>
    </xf>
    <xf numFmtId="166" fontId="3" fillId="0" borderId="0" xfId="1" applyNumberFormat="1" applyFont="1" applyFill="1"/>
    <xf numFmtId="171" fontId="3" fillId="0" borderId="0" xfId="1" applyNumberFormat="1" applyFont="1" applyFill="1"/>
    <xf numFmtId="175" fontId="3" fillId="0" borderId="0" xfId="1" applyNumberFormat="1" applyFont="1" applyFill="1"/>
    <xf numFmtId="37" fontId="9" fillId="0" borderId="0" xfId="4" applyNumberFormat="1" applyFont="1" applyFill="1" applyAlignment="1">
      <alignment horizontal="left"/>
    </xf>
    <xf numFmtId="37" fontId="10" fillId="0" borderId="0" xfId="4" applyNumberFormat="1" applyFont="1" applyFill="1"/>
    <xf numFmtId="0" fontId="10" fillId="0" borderId="0" xfId="5" applyFont="1" applyFill="1"/>
    <xf numFmtId="37" fontId="9" fillId="0" borderId="0" xfId="4" applyNumberFormat="1" applyFont="1" applyFill="1"/>
    <xf numFmtId="37" fontId="9" fillId="0" borderId="0" xfId="6" applyNumberFormat="1" applyFont="1" applyFill="1" applyAlignment="1">
      <alignment horizontal="center"/>
    </xf>
    <xf numFmtId="37" fontId="9" fillId="0" borderId="0" xfId="8" applyNumberFormat="1" applyFont="1" applyFill="1" applyAlignment="1">
      <alignment horizontal="right"/>
    </xf>
    <xf numFmtId="37" fontId="11" fillId="0" borderId="0" xfId="8" applyNumberFormat="1" applyFont="1" applyFill="1" applyBorder="1" applyAlignment="1">
      <alignment horizontal="center"/>
    </xf>
    <xf numFmtId="37" fontId="10" fillId="0" borderId="4" xfId="4" applyNumberFormat="1" applyFont="1" applyFill="1" applyBorder="1" applyAlignment="1">
      <alignment horizontal="center"/>
    </xf>
    <xf numFmtId="37" fontId="12" fillId="0" borderId="4" xfId="4" applyNumberFormat="1" applyFont="1" applyFill="1" applyBorder="1" applyAlignment="1">
      <alignment horizontal="right"/>
    </xf>
    <xf numFmtId="176" fontId="12" fillId="0" borderId="5" xfId="7" applyNumberFormat="1" applyFont="1" applyFill="1" applyBorder="1" applyAlignment="1">
      <alignment horizontal="right"/>
    </xf>
    <xf numFmtId="0" fontId="10" fillId="0" borderId="0" xfId="8" applyFont="1" applyFill="1"/>
    <xf numFmtId="0" fontId="13" fillId="0" borderId="0" xfId="11" applyFill="1"/>
    <xf numFmtId="44" fontId="10" fillId="0" borderId="0" xfId="12" applyFont="1" applyFill="1"/>
    <xf numFmtId="10" fontId="10" fillId="0" borderId="0" xfId="7" applyNumberFormat="1" applyFont="1" applyFill="1" applyBorder="1"/>
    <xf numFmtId="37" fontId="14" fillId="0" borderId="6" xfId="4" applyNumberFormat="1" applyFont="1" applyFill="1" applyBorder="1" applyAlignment="1">
      <alignment horizontal="center"/>
    </xf>
    <xf numFmtId="37" fontId="14" fillId="0" borderId="7" xfId="4" applyNumberFormat="1" applyFont="1" applyFill="1" applyBorder="1" applyAlignment="1">
      <alignment horizontal="right"/>
    </xf>
    <xf numFmtId="10" fontId="14" fillId="0" borderId="8" xfId="7" applyNumberFormat="1" applyFont="1" applyFill="1" applyBorder="1" applyAlignment="1">
      <alignment horizontal="right"/>
    </xf>
    <xf numFmtId="10" fontId="10" fillId="0" borderId="0" xfId="7" applyNumberFormat="1" applyFont="1" applyFill="1"/>
    <xf numFmtId="37" fontId="15" fillId="0" borderId="0" xfId="4" applyNumberFormat="1" applyFont="1" applyFill="1"/>
    <xf numFmtId="37" fontId="14" fillId="0" borderId="0" xfId="4" applyNumberFormat="1" applyFont="1" applyFill="1" applyBorder="1" applyAlignment="1">
      <alignment horizontal="center"/>
    </xf>
    <xf numFmtId="37" fontId="14" fillId="0" borderId="0" xfId="4" applyNumberFormat="1" applyFont="1" applyFill="1" applyBorder="1" applyAlignment="1">
      <alignment horizontal="right"/>
    </xf>
    <xf numFmtId="10" fontId="14" fillId="0" borderId="0" xfId="7" applyNumberFormat="1" applyFont="1" applyFill="1" applyBorder="1" applyAlignment="1">
      <alignment horizontal="right"/>
    </xf>
    <xf numFmtId="37" fontId="10" fillId="0" borderId="0" xfId="8" applyNumberFormat="1" applyFont="1" applyFill="1" applyBorder="1" applyAlignment="1">
      <alignment horizontal="center"/>
    </xf>
    <xf numFmtId="167" fontId="10" fillId="0" borderId="0" xfId="4" applyNumberFormat="1" applyFont="1" applyFill="1"/>
    <xf numFmtId="14" fontId="10" fillId="0" borderId="0" xfId="4" quotePrefix="1" applyNumberFormat="1" applyFont="1" applyFill="1" applyBorder="1" applyAlignment="1">
      <alignment horizontal="center"/>
    </xf>
    <xf numFmtId="37" fontId="10" fillId="0" borderId="0" xfId="4" applyNumberFormat="1" applyFont="1" applyFill="1" applyBorder="1"/>
    <xf numFmtId="37" fontId="10" fillId="0" borderId="0" xfId="4" applyNumberFormat="1" applyFont="1" applyFill="1" applyBorder="1" applyAlignment="1">
      <alignment horizontal="center"/>
    </xf>
    <xf numFmtId="37" fontId="10" fillId="0" borderId="0" xfId="4" applyNumberFormat="1" applyFont="1" applyFill="1" applyAlignment="1">
      <alignment horizontal="center"/>
    </xf>
    <xf numFmtId="37" fontId="10" fillId="0" borderId="0" xfId="8" applyNumberFormat="1" applyFont="1" applyFill="1" applyAlignment="1">
      <alignment horizontal="center"/>
    </xf>
    <xf numFmtId="0" fontId="10" fillId="0" borderId="0" xfId="8" applyFont="1" applyFill="1" applyBorder="1"/>
    <xf numFmtId="177" fontId="10" fillId="0" borderId="0" xfId="4" quotePrefix="1" applyNumberFormat="1" applyFont="1" applyFill="1" applyBorder="1" applyAlignment="1">
      <alignment horizontal="center"/>
    </xf>
    <xf numFmtId="176" fontId="14" fillId="0" borderId="0" xfId="7" applyNumberFormat="1" applyFont="1" applyFill="1" applyBorder="1" applyAlignment="1">
      <alignment horizontal="right"/>
    </xf>
    <xf numFmtId="37" fontId="10" fillId="0" borderId="0" xfId="8" quotePrefix="1" applyNumberFormat="1" applyFont="1" applyFill="1" applyBorder="1" applyAlignment="1">
      <alignment horizontal="center"/>
    </xf>
    <xf numFmtId="37" fontId="10" fillId="0" borderId="1" xfId="8" applyNumberFormat="1" applyFont="1" applyFill="1" applyBorder="1" applyAlignment="1">
      <alignment horizontal="center"/>
    </xf>
    <xf numFmtId="37" fontId="10" fillId="0" borderId="1" xfId="4" applyNumberFormat="1" applyFont="1" applyFill="1" applyBorder="1" applyAlignment="1">
      <alignment horizontal="center"/>
    </xf>
    <xf numFmtId="39" fontId="10" fillId="0" borderId="1" xfId="8" quotePrefix="1" applyNumberFormat="1" applyFont="1" applyFill="1" applyBorder="1" applyAlignment="1">
      <alignment horizontal="center"/>
    </xf>
    <xf numFmtId="37" fontId="16" fillId="0" borderId="0" xfId="8" applyNumberFormat="1" applyFont="1" applyFill="1" applyBorder="1" applyAlignment="1">
      <alignment horizontal="center"/>
    </xf>
    <xf numFmtId="37" fontId="9" fillId="0" borderId="0" xfId="4" applyNumberFormat="1" applyFont="1" applyFill="1" applyBorder="1"/>
    <xf numFmtId="37" fontId="10" fillId="0" borderId="0" xfId="8" applyNumberFormat="1" applyFont="1" applyFill="1" applyBorder="1"/>
    <xf numFmtId="37" fontId="17" fillId="0" borderId="0" xfId="4" applyNumberFormat="1" applyFont="1" applyFill="1"/>
    <xf numFmtId="39" fontId="10" fillId="0" borderId="0" xfId="8" applyNumberFormat="1" applyFont="1" applyFill="1"/>
    <xf numFmtId="37" fontId="10" fillId="0" borderId="0" xfId="8" applyNumberFormat="1" applyFont="1" applyFill="1"/>
    <xf numFmtId="37" fontId="10" fillId="0" borderId="0" xfId="5" applyNumberFormat="1" applyFont="1" applyFill="1"/>
    <xf numFmtId="37" fontId="10" fillId="0" borderId="0" xfId="5" applyNumberFormat="1" applyFont="1" applyFill="1" applyAlignment="1"/>
    <xf numFmtId="166" fontId="10" fillId="0" borderId="0" xfId="9" applyNumberFormat="1" applyFont="1" applyFill="1" applyBorder="1"/>
    <xf numFmtId="166" fontId="10" fillId="0" borderId="0" xfId="9" applyNumberFormat="1" applyFont="1" applyFill="1"/>
    <xf numFmtId="10" fontId="9" fillId="0" borderId="0" xfId="7" applyNumberFormat="1" applyFont="1" applyFill="1" applyBorder="1"/>
    <xf numFmtId="39" fontId="10" fillId="0" borderId="0" xfId="4" applyNumberFormat="1" applyFont="1" applyFill="1" applyBorder="1" applyAlignment="1">
      <alignment horizontal="right"/>
    </xf>
    <xf numFmtId="166" fontId="10" fillId="0" borderId="9" xfId="9" applyNumberFormat="1" applyFont="1" applyFill="1" applyBorder="1"/>
    <xf numFmtId="166" fontId="10" fillId="0" borderId="0" xfId="9" applyNumberFormat="1" applyFont="1" applyFill="1" applyAlignment="1">
      <alignment horizontal="right"/>
    </xf>
    <xf numFmtId="37" fontId="13" fillId="0" borderId="0" xfId="11" applyNumberFormat="1" applyAlignment="1" applyProtection="1">
      <alignment horizontal="left"/>
      <protection locked="0"/>
    </xf>
    <xf numFmtId="178" fontId="13" fillId="0" borderId="0" xfId="11" applyNumberFormat="1" applyAlignment="1" applyProtection="1">
      <alignment horizontal="left"/>
      <protection locked="0"/>
    </xf>
    <xf numFmtId="37" fontId="10" fillId="0" borderId="0" xfId="5" applyNumberFormat="1" applyFont="1" applyFill="1" applyBorder="1"/>
    <xf numFmtId="39" fontId="10" fillId="0" borderId="0" xfId="4" applyNumberFormat="1" applyFont="1" applyFill="1" applyAlignment="1">
      <alignment horizontal="right"/>
    </xf>
    <xf numFmtId="0" fontId="13" fillId="0" borderId="0" xfId="11" applyAlignment="1" applyProtection="1">
      <alignment horizontal="left"/>
      <protection locked="0"/>
    </xf>
    <xf numFmtId="39" fontId="10" fillId="0" borderId="0" xfId="4" applyNumberFormat="1" applyFont="1" applyFill="1"/>
    <xf numFmtId="166" fontId="10" fillId="0" borderId="1" xfId="9" applyNumberFormat="1" applyFont="1" applyFill="1" applyBorder="1" applyAlignment="1">
      <alignment horizontal="right"/>
    </xf>
    <xf numFmtId="166" fontId="10" fillId="0" borderId="1" xfId="9" applyNumberFormat="1" applyFont="1" applyFill="1" applyBorder="1"/>
    <xf numFmtId="166" fontId="10" fillId="0" borderId="2" xfId="9" applyNumberFormat="1" applyFont="1" applyFill="1" applyBorder="1"/>
    <xf numFmtId="166" fontId="10" fillId="0" borderId="3" xfId="9" applyNumberFormat="1" applyFont="1" applyFill="1" applyBorder="1"/>
    <xf numFmtId="166" fontId="18" fillId="0" borderId="0" xfId="9" applyNumberFormat="1" applyFont="1" applyFill="1"/>
    <xf numFmtId="37" fontId="19" fillId="0" borderId="0" xfId="4" applyNumberFormat="1" applyFont="1" applyFill="1"/>
    <xf numFmtId="41" fontId="20" fillId="0" borderId="0" xfId="5" applyNumberFormat="1" applyFont="1" applyFill="1"/>
    <xf numFmtId="0" fontId="10" fillId="0" borderId="0" xfId="5" quotePrefix="1" applyNumberFormat="1" applyFont="1" applyFill="1" applyAlignment="1">
      <alignment horizontal="right"/>
    </xf>
    <xf numFmtId="9" fontId="20" fillId="0" borderId="0" xfId="7" applyFont="1" applyFill="1" applyBorder="1"/>
    <xf numFmtId="166" fontId="20" fillId="0" borderId="0" xfId="9" applyNumberFormat="1" applyFont="1" applyFill="1"/>
    <xf numFmtId="37" fontId="20" fillId="0" borderId="0" xfId="4" applyNumberFormat="1" applyFont="1" applyFill="1" applyBorder="1"/>
    <xf numFmtId="166" fontId="20" fillId="0" borderId="0" xfId="9" applyNumberFormat="1" applyFont="1" applyFill="1" applyBorder="1"/>
    <xf numFmtId="37" fontId="10" fillId="0" borderId="0" xfId="4" applyNumberFormat="1" applyFont="1" applyFill="1" applyBorder="1" applyAlignment="1">
      <alignment horizontal="right"/>
    </xf>
    <xf numFmtId="10" fontId="9" fillId="0" borderId="0" xfId="4" applyNumberFormat="1" applyFont="1" applyFill="1" applyBorder="1"/>
    <xf numFmtId="0" fontId="10" fillId="0" borderId="0" xfId="11" applyNumberFormat="1" applyFont="1" applyFill="1"/>
    <xf numFmtId="166" fontId="10" fillId="0" borderId="10" xfId="9" applyNumberFormat="1" applyFont="1" applyFill="1" applyBorder="1"/>
    <xf numFmtId="37" fontId="20" fillId="0" borderId="0" xfId="4" applyNumberFormat="1" applyFont="1" applyFill="1"/>
    <xf numFmtId="9" fontId="20" fillId="0" borderId="0" xfId="7" applyFont="1" applyFill="1"/>
    <xf numFmtId="0" fontId="20" fillId="0" borderId="0" xfId="8" applyFont="1" applyFill="1"/>
    <xf numFmtId="41" fontId="10" fillId="0" borderId="0" xfId="5" quotePrefix="1" applyNumberFormat="1" applyFont="1" applyFill="1" applyAlignment="1">
      <alignment horizontal="right"/>
    </xf>
    <xf numFmtId="37" fontId="9" fillId="0" borderId="0" xfId="4" applyNumberFormat="1" applyFont="1" applyFill="1" applyBorder="1" applyAlignment="1">
      <alignment horizontal="left"/>
    </xf>
    <xf numFmtId="37" fontId="9" fillId="0" borderId="0" xfId="4" applyNumberFormat="1" applyFont="1" applyFill="1" applyBorder="1" applyAlignment="1">
      <alignment horizontal="center"/>
    </xf>
    <xf numFmtId="10" fontId="10" fillId="0" borderId="11" xfId="4" applyNumberFormat="1" applyFont="1" applyFill="1" applyBorder="1"/>
    <xf numFmtId="10" fontId="10" fillId="0" borderId="0" xfId="4" applyNumberFormat="1" applyFont="1" applyFill="1"/>
    <xf numFmtId="166" fontId="9" fillId="0" borderId="3" xfId="9" applyNumberFormat="1" applyFont="1" applyFill="1" applyBorder="1"/>
    <xf numFmtId="166" fontId="9" fillId="0" borderId="0" xfId="9" applyNumberFormat="1" applyFont="1" applyFill="1"/>
    <xf numFmtId="166" fontId="9" fillId="0" borderId="0" xfId="9" applyNumberFormat="1" applyFont="1" applyFill="1" applyBorder="1"/>
    <xf numFmtId="0" fontId="9" fillId="0" borderId="0" xfId="8" applyFont="1" applyFill="1"/>
    <xf numFmtId="0" fontId="10" fillId="0" borderId="0" xfId="5" applyFont="1" applyFill="1" applyAlignment="1">
      <alignment horizontal="center"/>
    </xf>
    <xf numFmtId="9" fontId="10" fillId="0" borderId="0" xfId="7" applyFont="1" applyFill="1" applyBorder="1"/>
    <xf numFmtId="39" fontId="10" fillId="0" borderId="12" xfId="8" applyNumberFormat="1" applyFont="1" applyFill="1" applyBorder="1"/>
    <xf numFmtId="37" fontId="9" fillId="0" borderId="2" xfId="4" applyNumberFormat="1" applyFont="1" applyFill="1" applyBorder="1"/>
    <xf numFmtId="37" fontId="10" fillId="0" borderId="2" xfId="4" applyNumberFormat="1" applyFont="1" applyFill="1" applyBorder="1"/>
    <xf numFmtId="10" fontId="10" fillId="0" borderId="13" xfId="4" applyNumberFormat="1" applyFont="1" applyFill="1" applyBorder="1"/>
    <xf numFmtId="39" fontId="10" fillId="0" borderId="14" xfId="8" applyNumberFormat="1" applyFont="1" applyFill="1" applyBorder="1"/>
    <xf numFmtId="43" fontId="10" fillId="0" borderId="0" xfId="9" applyFont="1" applyFill="1" applyBorder="1"/>
    <xf numFmtId="10" fontId="10" fillId="0" borderId="15" xfId="4" applyNumberFormat="1" applyFont="1" applyFill="1" applyBorder="1"/>
    <xf numFmtId="39" fontId="10" fillId="0" borderId="16" xfId="8" applyNumberFormat="1" applyFont="1" applyFill="1" applyBorder="1"/>
    <xf numFmtId="37" fontId="10" fillId="0" borderId="1" xfId="4" applyNumberFormat="1" applyFont="1" applyFill="1" applyBorder="1"/>
    <xf numFmtId="37" fontId="10" fillId="0" borderId="17" xfId="4" applyNumberFormat="1" applyFont="1" applyFill="1" applyBorder="1"/>
    <xf numFmtId="10" fontId="10" fillId="0" borderId="0" xfId="4" applyNumberFormat="1" applyFont="1" applyFill="1" applyBorder="1"/>
    <xf numFmtId="37" fontId="21" fillId="0" borderId="0" xfId="4" applyNumberFormat="1" applyFont="1" applyFill="1" applyAlignment="1">
      <alignment horizontal="right"/>
    </xf>
    <xf numFmtId="37" fontId="22" fillId="0" borderId="0" xfId="4" applyNumberFormat="1" applyFont="1" applyFill="1" applyBorder="1"/>
    <xf numFmtId="37" fontId="22" fillId="0" borderId="0" xfId="4" applyNumberFormat="1" applyFont="1" applyFill="1" applyBorder="1" applyAlignment="1">
      <alignment horizontal="center"/>
    </xf>
    <xf numFmtId="37" fontId="21" fillId="0" borderId="0" xfId="4" applyNumberFormat="1" applyFont="1" applyFill="1"/>
    <xf numFmtId="37" fontId="23" fillId="0" borderId="0" xfId="4" applyNumberFormat="1" applyFont="1" applyFill="1"/>
    <xf numFmtId="180" fontId="23" fillId="0" borderId="0" xfId="5" applyNumberFormat="1" applyFont="1" applyFill="1"/>
    <xf numFmtId="166" fontId="23" fillId="0" borderId="0" xfId="9" applyNumberFormat="1" applyFont="1" applyFill="1"/>
    <xf numFmtId="10" fontId="23" fillId="0" borderId="0" xfId="7" applyNumberFormat="1" applyFont="1" applyFill="1"/>
    <xf numFmtId="37" fontId="23" fillId="0" borderId="0" xfId="17" applyNumberFormat="1" applyFont="1" applyFill="1"/>
    <xf numFmtId="37" fontId="23" fillId="0" borderId="0" xfId="17" applyNumberFormat="1" applyFont="1" applyFill="1" applyBorder="1"/>
    <xf numFmtId="180" fontId="23" fillId="0" borderId="0" xfId="18" applyFont="1" applyFill="1"/>
    <xf numFmtId="0" fontId="23" fillId="0" borderId="0" xfId="11" applyFont="1" applyFill="1"/>
    <xf numFmtId="180" fontId="23" fillId="0" borderId="0" xfId="11" applyNumberFormat="1" applyFont="1" applyFill="1"/>
    <xf numFmtId="37" fontId="23" fillId="0" borderId="0" xfId="4" applyNumberFormat="1" applyFont="1" applyFill="1" applyBorder="1"/>
    <xf numFmtId="37" fontId="23" fillId="0" borderId="0" xfId="17" applyNumberFormat="1" applyFont="1" applyFill="1" applyAlignment="1">
      <alignment horizontal="center"/>
    </xf>
    <xf numFmtId="37" fontId="23" fillId="0" borderId="0" xfId="17" applyNumberFormat="1" applyFont="1" applyFill="1" applyBorder="1" applyAlignment="1">
      <alignment horizontal="center"/>
    </xf>
    <xf numFmtId="177" fontId="23" fillId="0" borderId="0" xfId="17" applyNumberFormat="1" applyFont="1" applyFill="1" applyBorder="1" applyAlignment="1">
      <alignment horizontal="center"/>
    </xf>
    <xf numFmtId="37" fontId="24" fillId="0" borderId="0" xfId="4" applyNumberFormat="1" applyFont="1" applyFill="1" applyAlignment="1">
      <alignment horizontal="centerContinuous"/>
    </xf>
    <xf numFmtId="180" fontId="23" fillId="0" borderId="0" xfId="5" applyNumberFormat="1" applyFont="1" applyFill="1" applyAlignment="1">
      <alignment horizontal="centerContinuous"/>
    </xf>
    <xf numFmtId="166" fontId="23" fillId="0" borderId="0" xfId="9" applyNumberFormat="1" applyFont="1" applyFill="1" applyBorder="1" applyAlignment="1">
      <alignment horizontal="centerContinuous"/>
    </xf>
    <xf numFmtId="37" fontId="23" fillId="0" borderId="0" xfId="4" applyNumberFormat="1" applyFont="1" applyFill="1" applyAlignment="1">
      <alignment horizontal="centerContinuous"/>
    </xf>
    <xf numFmtId="167" fontId="23" fillId="0" borderId="0" xfId="4" applyNumberFormat="1" applyFont="1" applyFill="1" applyAlignment="1">
      <alignment horizontal="centerContinuous"/>
    </xf>
    <xf numFmtId="14" fontId="23" fillId="0" borderId="0" xfId="4" quotePrefix="1" applyNumberFormat="1" applyFont="1" applyFill="1" applyBorder="1" applyAlignment="1">
      <alignment horizontal="centerContinuous"/>
    </xf>
    <xf numFmtId="37" fontId="23" fillId="0" borderId="0" xfId="4" applyNumberFormat="1" applyFont="1" applyFill="1" applyBorder="1" applyAlignment="1">
      <alignment horizontal="centerContinuous"/>
    </xf>
    <xf numFmtId="37" fontId="23" fillId="0" borderId="0" xfId="19" applyNumberFormat="1" applyFont="1" applyFill="1" applyBorder="1" applyAlignment="1">
      <alignment horizontal="center"/>
    </xf>
    <xf numFmtId="37" fontId="21" fillId="0" borderId="0" xfId="17" applyNumberFormat="1" applyFont="1" applyFill="1" applyAlignment="1">
      <alignment horizontal="left"/>
    </xf>
    <xf numFmtId="37" fontId="23" fillId="0" borderId="0" xfId="4" applyNumberFormat="1" applyFont="1" applyFill="1" applyAlignment="1">
      <alignment horizontal="center"/>
    </xf>
    <xf numFmtId="166" fontId="23" fillId="0" borderId="0" xfId="9" applyNumberFormat="1" applyFont="1" applyFill="1" applyBorder="1" applyAlignment="1">
      <alignment horizontal="center"/>
    </xf>
    <xf numFmtId="14" fontId="23" fillId="0" borderId="0" xfId="4" quotePrefix="1" applyNumberFormat="1" applyFont="1" applyFill="1" applyBorder="1" applyAlignment="1">
      <alignment horizontal="center"/>
    </xf>
    <xf numFmtId="37" fontId="21" fillId="0" borderId="0" xfId="17" applyNumberFormat="1" applyFont="1" applyFill="1" applyBorder="1" applyAlignment="1">
      <alignment horizontal="center"/>
    </xf>
    <xf numFmtId="37" fontId="21" fillId="0" borderId="0" xfId="19" applyNumberFormat="1" applyFont="1" applyFill="1" applyBorder="1" applyAlignment="1">
      <alignment horizontal="center"/>
    </xf>
    <xf numFmtId="180" fontId="21" fillId="0" borderId="0" xfId="18" applyFont="1" applyFill="1" applyAlignment="1">
      <alignment horizontal="center"/>
    </xf>
    <xf numFmtId="0" fontId="21" fillId="0" borderId="0" xfId="11" applyFont="1" applyFill="1" applyAlignment="1">
      <alignment horizontal="center"/>
    </xf>
    <xf numFmtId="166" fontId="23" fillId="0" borderId="0" xfId="16" applyNumberFormat="1" applyFont="1" applyFill="1" applyBorder="1" applyAlignment="1">
      <alignment horizontal="center"/>
    </xf>
    <xf numFmtId="180" fontId="23" fillId="0" borderId="0" xfId="20" applyFont="1" applyFill="1"/>
    <xf numFmtId="14" fontId="23" fillId="0" borderId="0" xfId="17" applyNumberFormat="1" applyFont="1" applyFill="1" applyAlignment="1">
      <alignment horizontal="center"/>
    </xf>
    <xf numFmtId="37" fontId="21" fillId="0" borderId="0" xfId="17" applyNumberFormat="1" applyFont="1" applyFill="1" applyAlignment="1">
      <alignment horizontal="center"/>
    </xf>
    <xf numFmtId="37" fontId="21" fillId="0" borderId="0" xfId="17" quotePrefix="1" applyNumberFormat="1" applyFont="1" applyFill="1" applyAlignment="1">
      <alignment horizontal="center"/>
    </xf>
    <xf numFmtId="37" fontId="21" fillId="0" borderId="0" xfId="19" applyNumberFormat="1" applyFont="1" applyFill="1" applyAlignment="1">
      <alignment horizontal="center"/>
    </xf>
    <xf numFmtId="14" fontId="21" fillId="0" borderId="0" xfId="17" applyNumberFormat="1" applyFont="1" applyFill="1" applyAlignment="1">
      <alignment horizontal="center"/>
    </xf>
    <xf numFmtId="180" fontId="21" fillId="0" borderId="0" xfId="18" applyFont="1" applyFill="1"/>
    <xf numFmtId="166" fontId="23" fillId="0" borderId="0" xfId="16" applyNumberFormat="1" applyFont="1" applyFill="1" applyAlignment="1">
      <alignment horizontal="center"/>
    </xf>
    <xf numFmtId="166" fontId="21" fillId="0" borderId="0" xfId="9" applyNumberFormat="1" applyFont="1" applyFill="1" applyBorder="1" applyAlignment="1">
      <alignment horizontal="center"/>
    </xf>
    <xf numFmtId="166" fontId="21" fillId="0" borderId="0" xfId="9" applyNumberFormat="1" applyFont="1" applyFill="1" applyAlignment="1">
      <alignment horizontal="center"/>
    </xf>
    <xf numFmtId="37" fontId="23" fillId="0" borderId="1" xfId="4" applyNumberFormat="1" applyFont="1" applyFill="1" applyBorder="1"/>
    <xf numFmtId="180" fontId="21" fillId="0" borderId="1" xfId="11" applyNumberFormat="1" applyFont="1" applyFill="1" applyBorder="1"/>
    <xf numFmtId="180" fontId="21" fillId="0" borderId="0" xfId="11" applyNumberFormat="1" applyFont="1" applyFill="1" applyBorder="1"/>
    <xf numFmtId="180" fontId="23" fillId="0" borderId="1" xfId="20" applyFont="1" applyFill="1" applyBorder="1"/>
    <xf numFmtId="180" fontId="23" fillId="0" borderId="0" xfId="20" applyFont="1" applyFill="1" applyBorder="1"/>
    <xf numFmtId="166" fontId="23" fillId="0" borderId="1" xfId="16" applyNumberFormat="1" applyFont="1" applyFill="1" applyBorder="1" applyAlignment="1">
      <alignment horizontal="center"/>
    </xf>
    <xf numFmtId="37" fontId="21" fillId="0" borderId="1" xfId="17" applyNumberFormat="1" applyFont="1" applyFill="1" applyBorder="1" applyAlignment="1">
      <alignment horizontal="center"/>
    </xf>
    <xf numFmtId="166" fontId="21" fillId="0" borderId="1" xfId="9" applyNumberFormat="1" applyFont="1" applyFill="1" applyBorder="1" applyAlignment="1">
      <alignment horizontal="center"/>
    </xf>
    <xf numFmtId="180" fontId="23" fillId="0" borderId="0" xfId="11" applyNumberFormat="1" applyFont="1" applyFill="1" applyBorder="1" applyAlignment="1">
      <alignment horizontal="center"/>
    </xf>
    <xf numFmtId="180" fontId="23" fillId="0" borderId="0" xfId="11" applyNumberFormat="1" applyFont="1" applyFill="1" applyBorder="1"/>
    <xf numFmtId="180" fontId="23" fillId="0" borderId="0" xfId="11" applyNumberFormat="1" applyFont="1" applyFill="1" applyAlignment="1">
      <alignment horizontal="center"/>
    </xf>
    <xf numFmtId="166" fontId="23" fillId="0" borderId="0" xfId="9" applyNumberFormat="1" applyFont="1" applyFill="1" applyBorder="1"/>
    <xf numFmtId="180" fontId="23" fillId="0" borderId="0" xfId="18" applyFont="1" applyFill="1" applyBorder="1"/>
    <xf numFmtId="181" fontId="23" fillId="0" borderId="0" xfId="17" quotePrefix="1" applyNumberFormat="1" applyFont="1" applyFill="1"/>
    <xf numFmtId="180" fontId="23" fillId="0" borderId="0" xfId="18" applyNumberFormat="1" applyFont="1" applyFill="1" applyBorder="1"/>
    <xf numFmtId="166" fontId="23" fillId="0" borderId="0" xfId="16" applyNumberFormat="1" applyFont="1" applyFill="1" applyBorder="1"/>
    <xf numFmtId="43" fontId="23" fillId="0" borderId="0" xfId="21" applyFont="1" applyFill="1" applyBorder="1"/>
    <xf numFmtId="166" fontId="23" fillId="0" borderId="0" xfId="21" applyNumberFormat="1" applyFont="1" applyFill="1" applyBorder="1"/>
    <xf numFmtId="166" fontId="23" fillId="0" borderId="0" xfId="9" applyNumberFormat="1" applyFont="1" applyFill="1" applyBorder="1" applyAlignment="1">
      <alignment horizontal="right"/>
    </xf>
    <xf numFmtId="14" fontId="23" fillId="0" borderId="0" xfId="18" applyNumberFormat="1" applyFont="1" applyFill="1" applyBorder="1"/>
    <xf numFmtId="43" fontId="25" fillId="0" borderId="0" xfId="22" applyNumberFormat="1" applyFont="1" applyFill="1"/>
    <xf numFmtId="1" fontId="26" fillId="0" borderId="0" xfId="23" applyNumberFormat="1" applyFont="1" applyFill="1"/>
    <xf numFmtId="0" fontId="23" fillId="0" borderId="0" xfId="11" applyNumberFormat="1" applyFont="1" applyFill="1"/>
    <xf numFmtId="181" fontId="23" fillId="0" borderId="0" xfId="17" quotePrefix="1" applyNumberFormat="1" applyFont="1" applyFill="1" applyBorder="1"/>
    <xf numFmtId="1" fontId="25" fillId="0" borderId="0" xfId="24" applyNumberFormat="1" applyFont="1" applyFill="1" applyBorder="1"/>
    <xf numFmtId="1" fontId="25" fillId="0" borderId="0" xfId="25" applyNumberFormat="1" applyFont="1" applyFill="1" applyBorder="1"/>
    <xf numFmtId="1" fontId="25" fillId="0" borderId="0" xfId="26" applyNumberFormat="1" applyFont="1" applyFill="1"/>
    <xf numFmtId="166" fontId="23" fillId="0" borderId="3" xfId="16" applyNumberFormat="1" applyFont="1" applyFill="1" applyBorder="1"/>
    <xf numFmtId="181" fontId="23" fillId="0" borderId="0" xfId="18" quotePrefix="1" applyNumberFormat="1" applyFont="1" applyFill="1" applyAlignment="1">
      <alignment horizontal="left"/>
    </xf>
    <xf numFmtId="43" fontId="23" fillId="0" borderId="0" xfId="21" applyFont="1" applyFill="1"/>
    <xf numFmtId="166" fontId="23" fillId="0" borderId="18" xfId="9" applyNumberFormat="1" applyFont="1" applyFill="1" applyBorder="1"/>
    <xf numFmtId="10" fontId="23" fillId="0" borderId="0" xfId="7" applyNumberFormat="1" applyFont="1" applyFill="1" applyBorder="1"/>
    <xf numFmtId="180" fontId="23" fillId="0" borderId="0" xfId="11" applyNumberFormat="1" applyFont="1" applyFill="1" applyAlignment="1">
      <alignment horizontal="right"/>
    </xf>
    <xf numFmtId="183" fontId="0" fillId="0" borderId="0" xfId="2" applyNumberFormat="1" applyFont="1"/>
    <xf numFmtId="183" fontId="0" fillId="0" borderId="18" xfId="2" applyNumberFormat="1" applyFont="1" applyBorder="1"/>
    <xf numFmtId="44" fontId="0" fillId="0" borderId="0" xfId="0" applyNumberFormat="1"/>
    <xf numFmtId="0" fontId="8" fillId="0" borderId="0" xfId="0" applyFont="1" applyAlignment="1">
      <alignment horizontal="center"/>
    </xf>
    <xf numFmtId="0" fontId="3" fillId="0" borderId="0" xfId="8" quotePrefix="1" applyNumberFormat="1" applyFont="1" applyFill="1" applyBorder="1" applyAlignment="1">
      <alignment horizontal="center"/>
    </xf>
    <xf numFmtId="37" fontId="27" fillId="0" borderId="0" xfId="4" applyNumberFormat="1" applyFont="1" applyFill="1"/>
    <xf numFmtId="0" fontId="7" fillId="0" borderId="0" xfId="10"/>
    <xf numFmtId="186" fontId="0" fillId="0" borderId="1" xfId="0" applyNumberFormat="1" applyBorder="1"/>
    <xf numFmtId="166" fontId="0" fillId="0" borderId="0" xfId="1" applyNumberFormat="1" applyFont="1"/>
    <xf numFmtId="166" fontId="0" fillId="0" borderId="0" xfId="0" applyNumberFormat="1"/>
    <xf numFmtId="0" fontId="0" fillId="0" borderId="19" xfId="0" applyBorder="1" applyAlignment="1">
      <alignment horizontal="left"/>
    </xf>
    <xf numFmtId="10" fontId="0" fillId="0" borderId="2" xfId="3" applyNumberFormat="1" applyFont="1" applyBorder="1"/>
    <xf numFmtId="10" fontId="0" fillId="0" borderId="13" xfId="3" applyNumberFormat="1" applyFont="1" applyBorder="1"/>
    <xf numFmtId="0" fontId="0" fillId="0" borderId="20" xfId="0" applyBorder="1" applyAlignment="1">
      <alignment horizontal="left"/>
    </xf>
    <xf numFmtId="10" fontId="0" fillId="0" borderId="0" xfId="3" applyNumberFormat="1" applyFont="1" applyBorder="1"/>
    <xf numFmtId="10" fontId="0" fillId="0" borderId="15" xfId="3" applyNumberFormat="1" applyFont="1" applyBorder="1"/>
    <xf numFmtId="0" fontId="0" fillId="0" borderId="21" xfId="0" applyBorder="1" applyAlignment="1">
      <alignment horizontal="left"/>
    </xf>
    <xf numFmtId="10" fontId="0" fillId="0" borderId="1" xfId="3" applyNumberFormat="1" applyFont="1" applyBorder="1"/>
    <xf numFmtId="10" fontId="0" fillId="0" borderId="17" xfId="3" applyNumberFormat="1" applyFont="1" applyBorder="1"/>
    <xf numFmtId="10" fontId="10" fillId="0" borderId="0" xfId="3" applyNumberFormat="1" applyFont="1" applyFill="1" applyBorder="1"/>
    <xf numFmtId="9" fontId="10" fillId="0" borderId="0" xfId="3" applyNumberFormat="1" applyFont="1" applyFill="1" applyBorder="1"/>
    <xf numFmtId="10" fontId="0" fillId="0" borderId="10" xfId="3" applyNumberFormat="1" applyFont="1" applyBorder="1"/>
    <xf numFmtId="10" fontId="0" fillId="0" borderId="23" xfId="3" applyNumberFormat="1" applyFont="1" applyBorder="1"/>
    <xf numFmtId="0" fontId="0" fillId="0" borderId="11" xfId="0" applyBorder="1"/>
    <xf numFmtId="10" fontId="0" fillId="0" borderId="22" xfId="3" applyNumberFormat="1" applyFont="1" applyBorder="1"/>
    <xf numFmtId="186" fontId="3" fillId="0" borderId="0" xfId="4" applyNumberFormat="1" applyFont="1" applyFill="1" applyAlignment="1">
      <alignment horizontal="center"/>
    </xf>
    <xf numFmtId="166" fontId="10" fillId="0" borderId="0" xfId="1" applyNumberFormat="1" applyFont="1" applyFill="1" applyBorder="1"/>
    <xf numFmtId="10" fontId="10" fillId="0" borderId="0" xfId="3" applyNumberFormat="1" applyFont="1" applyFill="1"/>
    <xf numFmtId="180" fontId="10" fillId="0" borderId="0" xfId="5" applyNumberFormat="1" applyFont="1" applyFill="1"/>
    <xf numFmtId="37" fontId="9" fillId="0" borderId="0" xfId="4" applyNumberFormat="1" applyFont="1" applyFill="1" applyAlignment="1">
      <alignment horizontal="right"/>
    </xf>
    <xf numFmtId="37" fontId="10" fillId="0" borderId="0" xfId="17" applyNumberFormat="1" applyFont="1" applyFill="1"/>
    <xf numFmtId="37" fontId="10" fillId="0" borderId="0" xfId="17" applyNumberFormat="1" applyFont="1" applyFill="1" applyBorder="1"/>
    <xf numFmtId="180" fontId="10" fillId="0" borderId="0" xfId="18" applyFont="1" applyFill="1"/>
    <xf numFmtId="0" fontId="10" fillId="0" borderId="0" xfId="11" applyFont="1" applyFill="1"/>
    <xf numFmtId="180" fontId="10" fillId="0" borderId="0" xfId="11" applyNumberFormat="1" applyFont="1" applyFill="1"/>
    <xf numFmtId="37" fontId="10" fillId="0" borderId="0" xfId="17" applyNumberFormat="1" applyFont="1" applyFill="1" applyAlignment="1">
      <alignment horizontal="center"/>
    </xf>
    <xf numFmtId="37" fontId="10" fillId="0" borderId="0" xfId="17" applyNumberFormat="1" applyFont="1" applyFill="1" applyBorder="1" applyAlignment="1">
      <alignment horizontal="center"/>
    </xf>
    <xf numFmtId="177" fontId="10" fillId="0" borderId="0" xfId="17" applyNumberFormat="1" applyFont="1" applyFill="1" applyBorder="1" applyAlignment="1">
      <alignment horizontal="center"/>
    </xf>
    <xf numFmtId="37" fontId="15" fillId="0" borderId="0" xfId="4" applyNumberFormat="1" applyFont="1" applyFill="1" applyAlignment="1">
      <alignment horizontal="centerContinuous"/>
    </xf>
    <xf numFmtId="180" fontId="10" fillId="0" borderId="0" xfId="5" applyNumberFormat="1" applyFont="1" applyFill="1" applyAlignment="1">
      <alignment horizontal="centerContinuous"/>
    </xf>
    <xf numFmtId="166" fontId="10" fillId="0" borderId="0" xfId="9" applyNumberFormat="1" applyFont="1" applyFill="1" applyBorder="1" applyAlignment="1">
      <alignment horizontal="centerContinuous"/>
    </xf>
    <xf numFmtId="37" fontId="10" fillId="0" borderId="0" xfId="4" applyNumberFormat="1" applyFont="1" applyFill="1" applyAlignment="1">
      <alignment horizontal="centerContinuous"/>
    </xf>
    <xf numFmtId="167" fontId="10" fillId="0" borderId="0" xfId="4" applyNumberFormat="1" applyFont="1" applyFill="1" applyAlignment="1">
      <alignment horizontal="centerContinuous"/>
    </xf>
    <xf numFmtId="14" fontId="10" fillId="0" borderId="0" xfId="4" quotePrefix="1" applyNumberFormat="1" applyFont="1" applyFill="1" applyBorder="1" applyAlignment="1">
      <alignment horizontal="centerContinuous"/>
    </xf>
    <xf numFmtId="37" fontId="10" fillId="0" borderId="0" xfId="4" applyNumberFormat="1" applyFont="1" applyFill="1" applyBorder="1" applyAlignment="1">
      <alignment horizontal="centerContinuous"/>
    </xf>
    <xf numFmtId="37" fontId="10" fillId="0" borderId="0" xfId="19" applyNumberFormat="1" applyFont="1" applyFill="1" applyBorder="1" applyAlignment="1">
      <alignment horizontal="center"/>
    </xf>
    <xf numFmtId="37" fontId="9" fillId="0" borderId="0" xfId="17" applyNumberFormat="1" applyFont="1" applyFill="1" applyAlignment="1">
      <alignment horizontal="left"/>
    </xf>
    <xf numFmtId="166" fontId="10" fillId="0" borderId="0" xfId="9" applyNumberFormat="1" applyFont="1" applyFill="1" applyBorder="1" applyAlignment="1">
      <alignment horizontal="center"/>
    </xf>
    <xf numFmtId="37" fontId="9" fillId="0" borderId="0" xfId="17" applyNumberFormat="1" applyFont="1" applyFill="1" applyBorder="1" applyAlignment="1">
      <alignment horizontal="center"/>
    </xf>
    <xf numFmtId="37" fontId="9" fillId="0" borderId="0" xfId="19" applyNumberFormat="1" applyFont="1" applyFill="1" applyBorder="1" applyAlignment="1">
      <alignment horizontal="center"/>
    </xf>
    <xf numFmtId="180" fontId="9" fillId="0" borderId="0" xfId="18" applyFont="1" applyFill="1" applyAlignment="1">
      <alignment horizontal="center"/>
    </xf>
    <xf numFmtId="0" fontId="9" fillId="0" borderId="0" xfId="11" applyFont="1" applyFill="1" applyAlignment="1">
      <alignment horizontal="center"/>
    </xf>
    <xf numFmtId="166" fontId="10" fillId="0" borderId="0" xfId="16" applyNumberFormat="1" applyFont="1" applyFill="1" applyBorder="1" applyAlignment="1">
      <alignment horizontal="center"/>
    </xf>
    <xf numFmtId="180" fontId="10" fillId="0" borderId="0" xfId="20" applyFont="1" applyFill="1"/>
    <xf numFmtId="14" fontId="10" fillId="0" borderId="0" xfId="17" applyNumberFormat="1" applyFont="1" applyFill="1" applyAlignment="1">
      <alignment horizontal="center"/>
    </xf>
    <xf numFmtId="37" fontId="9" fillId="0" borderId="0" xfId="17" applyNumberFormat="1" applyFont="1" applyFill="1" applyAlignment="1">
      <alignment horizontal="center"/>
    </xf>
    <xf numFmtId="37" fontId="9" fillId="0" borderId="0" xfId="17" quotePrefix="1" applyNumberFormat="1" applyFont="1" applyFill="1" applyAlignment="1">
      <alignment horizontal="center"/>
    </xf>
    <xf numFmtId="37" fontId="9" fillId="0" borderId="0" xfId="19" applyNumberFormat="1" applyFont="1" applyFill="1" applyAlignment="1">
      <alignment horizontal="center"/>
    </xf>
    <xf numFmtId="14" fontId="9" fillId="0" borderId="0" xfId="17" applyNumberFormat="1" applyFont="1" applyFill="1" applyAlignment="1">
      <alignment horizontal="center"/>
    </xf>
    <xf numFmtId="180" fontId="9" fillId="0" borderId="0" xfId="18" applyFont="1" applyFill="1"/>
    <xf numFmtId="166" fontId="10" fillId="0" borderId="0" xfId="16" applyNumberFormat="1" applyFont="1" applyFill="1" applyAlignment="1">
      <alignment horizontal="center"/>
    </xf>
    <xf numFmtId="166" fontId="9" fillId="0" borderId="0" xfId="9" applyNumberFormat="1" applyFont="1" applyFill="1" applyBorder="1" applyAlignment="1">
      <alignment horizontal="center"/>
    </xf>
    <xf numFmtId="166" fontId="9" fillId="0" borderId="0" xfId="9" applyNumberFormat="1" applyFont="1" applyFill="1" applyAlignment="1">
      <alignment horizontal="center"/>
    </xf>
    <xf numFmtId="180" fontId="9" fillId="0" borderId="1" xfId="11" applyNumberFormat="1" applyFont="1" applyFill="1" applyBorder="1"/>
    <xf numFmtId="180" fontId="9" fillId="0" borderId="0" xfId="11" applyNumberFormat="1" applyFont="1" applyFill="1" applyBorder="1"/>
    <xf numFmtId="180" fontId="10" fillId="0" borderId="1" xfId="20" applyFont="1" applyFill="1" applyBorder="1"/>
    <xf numFmtId="180" fontId="10" fillId="0" borderId="0" xfId="20" applyFont="1" applyFill="1" applyBorder="1"/>
    <xf numFmtId="166" fontId="10" fillId="0" borderId="1" xfId="16" applyNumberFormat="1" applyFont="1" applyFill="1" applyBorder="1" applyAlignment="1">
      <alignment horizontal="center"/>
    </xf>
    <xf numFmtId="37" fontId="9" fillId="0" borderId="1" xfId="17" applyNumberFormat="1" applyFont="1" applyFill="1" applyBorder="1" applyAlignment="1">
      <alignment horizontal="center"/>
    </xf>
    <xf numFmtId="166" fontId="9" fillId="0" borderId="1" xfId="9" applyNumberFormat="1" applyFont="1" applyFill="1" applyBorder="1" applyAlignment="1">
      <alignment horizontal="center"/>
    </xf>
    <xf numFmtId="180" fontId="10" fillId="0" borderId="0" xfId="11" applyNumberFormat="1" applyFont="1" applyFill="1" applyBorder="1" applyAlignment="1">
      <alignment horizontal="center"/>
    </xf>
    <xf numFmtId="180" fontId="10" fillId="0" borderId="0" xfId="11" applyNumberFormat="1" applyFont="1" applyFill="1" applyBorder="1"/>
    <xf numFmtId="180" fontId="10" fillId="0" borderId="0" xfId="11" applyNumberFormat="1" applyFont="1" applyFill="1" applyAlignment="1">
      <alignment horizontal="center"/>
    </xf>
    <xf numFmtId="180" fontId="10" fillId="0" borderId="0" xfId="18" applyFont="1" applyFill="1" applyBorder="1"/>
    <xf numFmtId="181" fontId="10" fillId="0" borderId="0" xfId="17" quotePrefix="1" applyNumberFormat="1" applyFont="1" applyFill="1"/>
    <xf numFmtId="180" fontId="10" fillId="0" borderId="0" xfId="18" applyNumberFormat="1" applyFont="1" applyFill="1" applyBorder="1"/>
    <xf numFmtId="166" fontId="10" fillId="0" borderId="0" xfId="16" applyNumberFormat="1" applyFont="1" applyFill="1" applyBorder="1"/>
    <xf numFmtId="43" fontId="10" fillId="0" borderId="0" xfId="21" applyFont="1" applyFill="1" applyBorder="1"/>
    <xf numFmtId="166" fontId="10" fillId="0" borderId="0" xfId="21" applyNumberFormat="1" applyFont="1" applyFill="1" applyBorder="1"/>
    <xf numFmtId="166" fontId="10" fillId="0" borderId="0" xfId="9" applyNumberFormat="1" applyFont="1" applyFill="1" applyBorder="1" applyAlignment="1">
      <alignment horizontal="right"/>
    </xf>
    <xf numFmtId="14" fontId="10" fillId="0" borderId="0" xfId="18" applyNumberFormat="1" applyFont="1" applyFill="1" applyBorder="1"/>
    <xf numFmtId="43" fontId="28" fillId="0" borderId="0" xfId="22" applyNumberFormat="1" applyFont="1" applyFill="1"/>
    <xf numFmtId="1" fontId="29" fillId="0" borderId="0" xfId="23" applyNumberFormat="1" applyFont="1" applyFill="1"/>
    <xf numFmtId="181" fontId="10" fillId="0" borderId="0" xfId="17" quotePrefix="1" applyNumberFormat="1" applyFont="1" applyFill="1" applyBorder="1"/>
    <xf numFmtId="1" fontId="28" fillId="0" borderId="0" xfId="24" applyNumberFormat="1" applyFont="1" applyFill="1" applyBorder="1"/>
    <xf numFmtId="1" fontId="28" fillId="0" borderId="0" xfId="25" applyNumberFormat="1" applyFont="1" applyFill="1" applyBorder="1"/>
    <xf numFmtId="1" fontId="28" fillId="0" borderId="0" xfId="26" applyNumberFormat="1" applyFont="1" applyFill="1"/>
    <xf numFmtId="166" fontId="10" fillId="0" borderId="3" xfId="16" applyNumberFormat="1" applyFont="1" applyFill="1" applyBorder="1"/>
    <xf numFmtId="181" fontId="10" fillId="0" borderId="0" xfId="18" quotePrefix="1" applyNumberFormat="1" applyFont="1" applyFill="1" applyAlignment="1">
      <alignment horizontal="left"/>
    </xf>
    <xf numFmtId="43" fontId="10" fillId="0" borderId="0" xfId="21" applyFont="1" applyFill="1"/>
    <xf numFmtId="166" fontId="10" fillId="0" borderId="18" xfId="9" applyNumberFormat="1" applyFont="1" applyFill="1" applyBorder="1"/>
    <xf numFmtId="180" fontId="10" fillId="0" borderId="0" xfId="11" applyNumberFormat="1" applyFont="1" applyFill="1" applyAlignment="1">
      <alignment horizontal="right"/>
    </xf>
    <xf numFmtId="186" fontId="3" fillId="0" borderId="1" xfId="4" applyNumberFormat="1" applyFont="1" applyFill="1" applyBorder="1" applyAlignment="1">
      <alignment horizontal="center"/>
    </xf>
    <xf numFmtId="166" fontId="3" fillId="2" borderId="0" xfId="1" applyNumberFormat="1" applyFont="1" applyFill="1"/>
    <xf numFmtId="10" fontId="3" fillId="0" borderId="0" xfId="3" applyNumberFormat="1" applyFont="1" applyFill="1"/>
    <xf numFmtId="37" fontId="3" fillId="0" borderId="18" xfId="4" applyNumberFormat="1" applyFont="1" applyFill="1" applyBorder="1"/>
    <xf numFmtId="0" fontId="8" fillId="0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27">
    <cellStyle name="Comma" xfId="1" builtinId="3"/>
    <cellStyle name="Comma 13" xfId="21"/>
    <cellStyle name="Comma 13 3 2" xfId="24"/>
    <cellStyle name="Comma 2" xfId="9"/>
    <cellStyle name="Comma 2 3" xfId="16"/>
    <cellStyle name="Comma 2 5" xfId="22"/>
    <cellStyle name="Currency" xfId="2" builtinId="4"/>
    <cellStyle name="Currency 2" xfId="12"/>
    <cellStyle name="Currency 5" xfId="14"/>
    <cellStyle name="Normal" xfId="0" builtinId="0"/>
    <cellStyle name="Normal 2" xfId="5"/>
    <cellStyle name="Normal 2 3" xfId="15"/>
    <cellStyle name="Normal 2 4 2" xfId="20"/>
    <cellStyle name="Normal 24" xfId="13"/>
    <cellStyle name="Normal 27 2" xfId="18"/>
    <cellStyle name="Normal 27 2 3" xfId="25"/>
    <cellStyle name="Normal 27 3" xfId="26"/>
    <cellStyle name="Normal 3" xfId="11"/>
    <cellStyle name="Normal 49 2" xfId="23"/>
    <cellStyle name="Normal_monthly.bill.wp" xfId="6"/>
    <cellStyle name="Normal_salary.wp" xfId="8"/>
    <cellStyle name="Normal_salary.wp 2" xfId="19"/>
    <cellStyle name="Normal_TRANS.RC.94.W/P.SAL" xfId="4"/>
    <cellStyle name="Normal_TRANS.RC.94.W/P.SAL 2" xfId="17"/>
    <cellStyle name="Percent" xfId="3" builtinId="5"/>
    <cellStyle name="Percent 2" xfId="7"/>
    <cellStyle name="Title" xfId="10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showGridLines="0" tabSelected="1" workbookViewId="0">
      <selection activeCell="C19" sqref="C19"/>
    </sheetView>
  </sheetViews>
  <sheetFormatPr defaultRowHeight="15"/>
  <cols>
    <col min="4" max="4" width="2.7109375" customWidth="1"/>
    <col min="5" max="5" width="19.7109375" customWidth="1"/>
    <col min="6" max="6" width="2.7109375" customWidth="1"/>
    <col min="7" max="7" width="19.85546875" customWidth="1"/>
    <col min="8" max="8" width="2.7109375" customWidth="1"/>
    <col min="9" max="9" width="13" customWidth="1"/>
    <col min="10" max="10" width="2.7109375" customWidth="1"/>
    <col min="11" max="11" width="25.5703125" bestFit="1" customWidth="1"/>
    <col min="12" max="12" width="2.7109375" customWidth="1"/>
    <col min="13" max="13" width="19.7109375" bestFit="1" customWidth="1"/>
    <col min="14" max="14" width="2.7109375" customWidth="1"/>
    <col min="15" max="15" width="10.42578125" bestFit="1" customWidth="1"/>
    <col min="16" max="16" width="2.7109375" customWidth="1"/>
  </cols>
  <sheetData>
    <row r="2" spans="1:15">
      <c r="E2" s="216" t="s">
        <v>328</v>
      </c>
      <c r="G2" s="216" t="s">
        <v>329</v>
      </c>
      <c r="I2" s="216" t="s">
        <v>330</v>
      </c>
      <c r="K2" s="216" t="s">
        <v>331</v>
      </c>
      <c r="M2" s="216" t="s">
        <v>333</v>
      </c>
      <c r="O2" s="216" t="s">
        <v>335</v>
      </c>
    </row>
    <row r="3" spans="1:15">
      <c r="A3" t="s">
        <v>326</v>
      </c>
      <c r="E3" s="310" t="s">
        <v>334</v>
      </c>
      <c r="F3" s="310"/>
      <c r="G3" s="310" t="s">
        <v>367</v>
      </c>
      <c r="H3" s="310"/>
      <c r="I3" s="310" t="s">
        <v>365</v>
      </c>
      <c r="J3" s="310"/>
      <c r="K3" s="310" t="s">
        <v>366</v>
      </c>
      <c r="L3" s="310"/>
      <c r="M3" s="310" t="s">
        <v>374</v>
      </c>
      <c r="N3" s="310"/>
      <c r="O3" s="310" t="s">
        <v>373</v>
      </c>
    </row>
    <row r="4" spans="1:15">
      <c r="E4" s="213"/>
    </row>
    <row r="5" spans="1:15" ht="15.75" thickBot="1">
      <c r="B5" t="s">
        <v>5</v>
      </c>
      <c r="E5" s="214">
        <f>510822+165731</f>
        <v>676553</v>
      </c>
      <c r="G5" s="214">
        <v>-14447</v>
      </c>
      <c r="I5" s="214">
        <v>-1305</v>
      </c>
      <c r="K5" s="214">
        <v>43971</v>
      </c>
      <c r="M5" s="214">
        <f>SUM('WSC Salaries TY'!L75:W75)+SUM('Wp b - salary TY'!K53:V53)+SUM('wp b3 - CSR TY'!L55:W55)</f>
        <v>708959.62795264192</v>
      </c>
      <c r="O5" s="214">
        <f>SUM(E5:K5)-M5</f>
        <v>-4187.6279526419239</v>
      </c>
    </row>
    <row r="6" spans="1:15" ht="15.75" thickTop="1"/>
    <row r="7" spans="1:15">
      <c r="O7" s="215"/>
    </row>
    <row r="8" spans="1:15">
      <c r="B8" s="40" t="s">
        <v>328</v>
      </c>
      <c r="C8" s="40" t="s">
        <v>368</v>
      </c>
    </row>
    <row r="10" spans="1:15">
      <c r="B10" t="s">
        <v>329</v>
      </c>
      <c r="C10" t="s">
        <v>369</v>
      </c>
    </row>
    <row r="12" spans="1:15">
      <c r="B12" t="s">
        <v>330</v>
      </c>
      <c r="C12" t="s">
        <v>370</v>
      </c>
    </row>
    <row r="14" spans="1:15">
      <c r="B14" t="s">
        <v>331</v>
      </c>
      <c r="C14" t="s">
        <v>371</v>
      </c>
    </row>
    <row r="16" spans="1:15">
      <c r="B16" s="40" t="s">
        <v>333</v>
      </c>
      <c r="C16" s="40" t="s">
        <v>376</v>
      </c>
    </row>
    <row r="18" spans="2:3">
      <c r="B18" s="40" t="s">
        <v>335</v>
      </c>
      <c r="C18" s="40" t="s">
        <v>372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M30" sqref="M30"/>
    </sheetView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opLeftCell="A2" workbookViewId="0">
      <selection activeCell="N25" sqref="N25"/>
    </sheetView>
  </sheetViews>
  <sheetFormatPr defaultRowHeight="15"/>
  <cols>
    <col min="1" max="1" width="11.42578125" customWidth="1"/>
    <col min="2" max="2" width="11.7109375" bestFit="1" customWidth="1"/>
    <col min="3" max="7" width="11.5703125" bestFit="1" customWidth="1"/>
    <col min="8" max="8" width="11.7109375" bestFit="1" customWidth="1"/>
    <col min="9" max="13" width="11.5703125" bestFit="1" customWidth="1"/>
  </cols>
  <sheetData>
    <row r="1" spans="1:13" ht="22.5">
      <c r="A1" s="219" t="s">
        <v>338</v>
      </c>
    </row>
    <row r="3" spans="1:13">
      <c r="B3" s="220">
        <v>41821</v>
      </c>
      <c r="C3" s="220">
        <v>41852</v>
      </c>
      <c r="D3" s="220">
        <v>41883</v>
      </c>
      <c r="E3" s="220">
        <v>41913</v>
      </c>
      <c r="F3" s="220">
        <v>41944</v>
      </c>
      <c r="G3" s="220">
        <v>41974</v>
      </c>
      <c r="H3" s="220">
        <v>42005</v>
      </c>
      <c r="I3" s="220">
        <v>42036</v>
      </c>
      <c r="J3" s="220">
        <v>42064</v>
      </c>
      <c r="K3" s="220">
        <v>42095</v>
      </c>
      <c r="L3" s="220">
        <v>42125</v>
      </c>
      <c r="M3" s="220">
        <v>42156</v>
      </c>
    </row>
    <row r="4" spans="1:13">
      <c r="A4" t="s">
        <v>238</v>
      </c>
      <c r="B4" s="221">
        <v>7342.3</v>
      </c>
      <c r="C4" s="221">
        <v>7349.2</v>
      </c>
      <c r="D4" s="221">
        <v>7337.1</v>
      </c>
      <c r="E4" s="221">
        <v>7313.7</v>
      </c>
      <c r="F4" s="221">
        <v>7284.9</v>
      </c>
      <c r="G4" s="221">
        <v>7276.5</v>
      </c>
      <c r="H4" s="221">
        <v>7273.6</v>
      </c>
      <c r="I4" s="221">
        <v>7216.8</v>
      </c>
      <c r="J4" s="221">
        <v>7198.4</v>
      </c>
      <c r="K4" s="221">
        <v>7205.8</v>
      </c>
      <c r="L4" s="221">
        <v>7196.7</v>
      </c>
      <c r="M4" s="221">
        <v>7204.4</v>
      </c>
    </row>
    <row r="6" spans="1:13">
      <c r="A6" t="s">
        <v>339</v>
      </c>
      <c r="B6" s="221">
        <v>8416.1</v>
      </c>
      <c r="C6" s="221">
        <v>8424.5</v>
      </c>
      <c r="D6" s="221">
        <v>8422.5</v>
      </c>
      <c r="E6" s="221">
        <v>8424.9</v>
      </c>
      <c r="F6" s="221">
        <v>8417.9</v>
      </c>
      <c r="G6" s="221">
        <v>8416.0999999999985</v>
      </c>
      <c r="H6" s="221">
        <v>8414.6999999999989</v>
      </c>
      <c r="I6" s="221">
        <v>8420.2999999999993</v>
      </c>
      <c r="J6" s="221">
        <v>8413.2999999999993</v>
      </c>
      <c r="K6" s="221">
        <v>8424.2999999999993</v>
      </c>
      <c r="L6" s="221">
        <v>8436.0999999999985</v>
      </c>
      <c r="M6" s="221">
        <v>8439.9</v>
      </c>
    </row>
    <row r="7" spans="1:13">
      <c r="A7" t="s">
        <v>340</v>
      </c>
      <c r="B7" s="221">
        <v>19016</v>
      </c>
      <c r="C7" s="221">
        <v>19050</v>
      </c>
      <c r="D7" s="221">
        <v>19049.100000000002</v>
      </c>
      <c r="E7" s="221">
        <v>19031.100000000002</v>
      </c>
      <c r="F7" s="221">
        <v>19013.100000000002</v>
      </c>
      <c r="G7" s="221">
        <v>19007.100000000002</v>
      </c>
      <c r="H7" s="221">
        <v>19010.7</v>
      </c>
      <c r="I7" s="221">
        <v>19018.2</v>
      </c>
      <c r="J7" s="221">
        <v>19033.2</v>
      </c>
      <c r="K7" s="221">
        <v>19046.2</v>
      </c>
      <c r="L7" s="221">
        <v>19058.2</v>
      </c>
      <c r="M7" s="221">
        <v>19048.2</v>
      </c>
    </row>
    <row r="9" spans="1:13">
      <c r="A9" t="s">
        <v>341</v>
      </c>
      <c r="B9" s="222">
        <f>SUM(B4:B7)</f>
        <v>34774.400000000001</v>
      </c>
      <c r="C9" s="222">
        <f t="shared" ref="C9:M9" si="0">SUM(C4:C7)</f>
        <v>34823.699999999997</v>
      </c>
      <c r="D9" s="222">
        <f t="shared" si="0"/>
        <v>34808.700000000004</v>
      </c>
      <c r="E9" s="222">
        <f t="shared" si="0"/>
        <v>34769.699999999997</v>
      </c>
      <c r="F9" s="222">
        <f t="shared" si="0"/>
        <v>34715.9</v>
      </c>
      <c r="G9" s="222">
        <f t="shared" si="0"/>
        <v>34699.699999999997</v>
      </c>
      <c r="H9" s="222">
        <f t="shared" si="0"/>
        <v>34699</v>
      </c>
      <c r="I9" s="222">
        <f t="shared" si="0"/>
        <v>34655.300000000003</v>
      </c>
      <c r="J9" s="222">
        <f t="shared" si="0"/>
        <v>34644.9</v>
      </c>
      <c r="K9" s="222">
        <f t="shared" si="0"/>
        <v>34676.300000000003</v>
      </c>
      <c r="L9" s="222">
        <f t="shared" si="0"/>
        <v>34691</v>
      </c>
      <c r="M9" s="222">
        <f t="shared" si="0"/>
        <v>34692.5</v>
      </c>
    </row>
    <row r="11" spans="1:13">
      <c r="A11" t="s">
        <v>342</v>
      </c>
      <c r="B11" s="221">
        <v>6030.5</v>
      </c>
      <c r="C11" s="221">
        <v>6043.5</v>
      </c>
      <c r="D11" s="221">
        <v>6033.5</v>
      </c>
      <c r="E11" s="221">
        <v>6028.5</v>
      </c>
      <c r="F11" s="221">
        <v>6032.5</v>
      </c>
      <c r="G11" s="221">
        <v>6028.5</v>
      </c>
      <c r="H11" s="221">
        <v>6021.5</v>
      </c>
      <c r="I11" s="221">
        <v>6025.5</v>
      </c>
      <c r="J11" s="221">
        <v>6020.5</v>
      </c>
      <c r="K11" s="221">
        <v>6042.5</v>
      </c>
      <c r="L11" s="221">
        <v>6035.5</v>
      </c>
      <c r="M11" s="221">
        <v>5855.9</v>
      </c>
    </row>
    <row r="12" spans="1:13">
      <c r="A12" t="s">
        <v>343</v>
      </c>
      <c r="B12" s="221">
        <v>6453</v>
      </c>
      <c r="C12" s="221">
        <v>6485</v>
      </c>
      <c r="D12" s="221">
        <v>6510</v>
      </c>
      <c r="E12" s="221">
        <v>6520</v>
      </c>
      <c r="F12" s="221">
        <v>6501</v>
      </c>
      <c r="G12" s="221">
        <v>6487</v>
      </c>
      <c r="H12" s="221">
        <v>6485</v>
      </c>
      <c r="I12" s="221">
        <v>6533</v>
      </c>
      <c r="J12" s="221">
        <v>6530</v>
      </c>
      <c r="K12" s="221">
        <v>5494.2</v>
      </c>
      <c r="L12" s="221">
        <v>5514.2</v>
      </c>
      <c r="M12" s="221">
        <v>5527.2</v>
      </c>
    </row>
    <row r="13" spans="1:13">
      <c r="A13" t="s">
        <v>344</v>
      </c>
      <c r="B13" s="221">
        <v>4589.3</v>
      </c>
      <c r="C13" s="221">
        <v>4592.3</v>
      </c>
      <c r="D13" s="221">
        <v>4594.3</v>
      </c>
      <c r="E13" s="221">
        <v>4585.7000000000007</v>
      </c>
      <c r="F13" s="221">
        <v>4587.7000000000007</v>
      </c>
      <c r="G13" s="221">
        <v>4589.7000000000007</v>
      </c>
      <c r="H13" s="221">
        <v>4596.7000000000007</v>
      </c>
      <c r="I13" s="221">
        <v>4597.7000000000007</v>
      </c>
      <c r="J13" s="221">
        <v>4600.7000000000007</v>
      </c>
      <c r="K13" s="221">
        <v>4597.1000000000004</v>
      </c>
      <c r="L13" s="221">
        <v>4600.7000000000007</v>
      </c>
      <c r="M13" s="221">
        <v>4595.7000000000007</v>
      </c>
    </row>
    <row r="14" spans="1:13">
      <c r="A14" t="s">
        <v>345</v>
      </c>
      <c r="B14" s="221">
        <v>1013.6</v>
      </c>
      <c r="C14" s="221">
        <v>1014.6</v>
      </c>
      <c r="D14" s="221">
        <v>1014.6</v>
      </c>
      <c r="E14" s="221">
        <v>1012.8</v>
      </c>
      <c r="F14" s="221">
        <v>1014.6</v>
      </c>
      <c r="G14" s="221">
        <v>1009.6</v>
      </c>
      <c r="H14" s="221">
        <v>1009.6</v>
      </c>
      <c r="I14" s="221">
        <v>1007.6</v>
      </c>
      <c r="J14" s="221">
        <v>1011.6</v>
      </c>
      <c r="K14" s="221">
        <v>1015.6</v>
      </c>
      <c r="L14" s="221">
        <v>1019.6</v>
      </c>
      <c r="M14" s="221">
        <v>1015.6</v>
      </c>
    </row>
    <row r="16" spans="1:13">
      <c r="A16" t="s">
        <v>346</v>
      </c>
      <c r="B16" s="222">
        <f>SUM(B9:B14)</f>
        <v>52860.800000000003</v>
      </c>
      <c r="C16" s="222">
        <f t="shared" ref="C16:M16" si="1">SUM(C9:C14)</f>
        <v>52959.1</v>
      </c>
      <c r="D16" s="222">
        <f t="shared" si="1"/>
        <v>52961.100000000006</v>
      </c>
      <c r="E16" s="222">
        <f t="shared" si="1"/>
        <v>52916.7</v>
      </c>
      <c r="F16" s="222">
        <f t="shared" si="1"/>
        <v>52851.700000000004</v>
      </c>
      <c r="G16" s="222">
        <f t="shared" si="1"/>
        <v>52814.499999999993</v>
      </c>
      <c r="H16" s="222">
        <f t="shared" si="1"/>
        <v>52811.799999999996</v>
      </c>
      <c r="I16" s="222">
        <f t="shared" si="1"/>
        <v>52819.1</v>
      </c>
      <c r="J16" s="222">
        <f t="shared" si="1"/>
        <v>52807.700000000004</v>
      </c>
      <c r="K16" s="222">
        <f t="shared" si="1"/>
        <v>51825.7</v>
      </c>
      <c r="L16" s="222">
        <f t="shared" si="1"/>
        <v>51860.999999999993</v>
      </c>
      <c r="M16" s="222">
        <f t="shared" si="1"/>
        <v>51686.9</v>
      </c>
    </row>
    <row r="18" spans="1:13">
      <c r="A18" t="s">
        <v>347</v>
      </c>
      <c r="B18" s="221">
        <v>564</v>
      </c>
      <c r="C18" s="221">
        <v>565</v>
      </c>
      <c r="D18" s="221">
        <v>563</v>
      </c>
      <c r="E18" s="221">
        <v>562</v>
      </c>
      <c r="F18" s="221">
        <v>562</v>
      </c>
      <c r="G18" s="221">
        <v>563</v>
      </c>
      <c r="H18" s="221">
        <v>562</v>
      </c>
      <c r="I18" s="221">
        <v>562</v>
      </c>
      <c r="J18" s="221">
        <v>564</v>
      </c>
      <c r="K18" s="221">
        <v>564</v>
      </c>
      <c r="L18" s="221">
        <v>566</v>
      </c>
      <c r="M18" s="221">
        <v>566</v>
      </c>
    </row>
    <row r="19" spans="1:13">
      <c r="A19" t="s">
        <v>324</v>
      </c>
      <c r="B19" s="221">
        <v>54640.29</v>
      </c>
      <c r="C19" s="221">
        <v>54659.69</v>
      </c>
      <c r="D19" s="221">
        <v>54625.89</v>
      </c>
      <c r="E19" s="221">
        <v>54812.79</v>
      </c>
      <c r="F19" s="221">
        <v>54798.49</v>
      </c>
      <c r="G19" s="221">
        <v>54789.39</v>
      </c>
      <c r="H19" s="221">
        <v>54763.79</v>
      </c>
      <c r="I19" s="221">
        <v>54832.79</v>
      </c>
      <c r="J19" s="221">
        <v>54860.69</v>
      </c>
      <c r="K19" s="221">
        <v>54909.69</v>
      </c>
      <c r="L19" s="221">
        <v>54944.490000000013</v>
      </c>
      <c r="M19" s="221">
        <v>54902.290000000008</v>
      </c>
    </row>
    <row r="20" spans="1:13">
      <c r="A20" t="s">
        <v>323</v>
      </c>
      <c r="B20" s="221">
        <v>63577</v>
      </c>
      <c r="C20" s="221">
        <v>63613.700000000004</v>
      </c>
      <c r="D20" s="221">
        <v>63687.1</v>
      </c>
      <c r="E20" s="221">
        <v>63782.3</v>
      </c>
      <c r="F20" s="221">
        <v>63903.7</v>
      </c>
      <c r="G20" s="221">
        <v>63826.6</v>
      </c>
      <c r="H20" s="221">
        <v>63879.399999999994</v>
      </c>
      <c r="I20" s="221">
        <v>63976.5</v>
      </c>
      <c r="J20" s="221">
        <v>64222.1</v>
      </c>
      <c r="K20" s="221">
        <v>64277.9</v>
      </c>
      <c r="L20" s="221">
        <v>64378.19999999999</v>
      </c>
      <c r="M20" s="221">
        <v>64429.7</v>
      </c>
    </row>
    <row r="21" spans="1:13">
      <c r="A21" t="s">
        <v>348</v>
      </c>
      <c r="B21" s="221">
        <v>24005</v>
      </c>
      <c r="C21" s="221">
        <v>24858.2</v>
      </c>
      <c r="D21" s="221">
        <v>25111</v>
      </c>
      <c r="E21" s="221">
        <v>25224.9</v>
      </c>
      <c r="F21" s="221">
        <v>25219.199999999997</v>
      </c>
      <c r="G21" s="221">
        <v>25209.4</v>
      </c>
      <c r="H21" s="221">
        <v>25210.400000000001</v>
      </c>
      <c r="I21" s="221">
        <v>27707.05</v>
      </c>
      <c r="J21" s="221">
        <v>27747.32</v>
      </c>
      <c r="K21" s="221">
        <v>27784.019999999997</v>
      </c>
      <c r="L21" s="221">
        <v>27843.42</v>
      </c>
      <c r="M21" s="221">
        <v>27839.620000000003</v>
      </c>
    </row>
    <row r="22" spans="1:13">
      <c r="A22" t="s">
        <v>349</v>
      </c>
      <c r="B22" s="221">
        <v>12525.7</v>
      </c>
      <c r="C22" s="221">
        <v>12517.1</v>
      </c>
      <c r="D22" s="221">
        <v>12737.1</v>
      </c>
      <c r="E22" s="221">
        <v>12768.7</v>
      </c>
      <c r="F22" s="221">
        <v>12781.7</v>
      </c>
      <c r="G22" s="221">
        <v>12783.3</v>
      </c>
      <c r="H22" s="221">
        <v>12825.3</v>
      </c>
      <c r="I22" s="221">
        <v>12826.9</v>
      </c>
      <c r="J22" s="221">
        <v>12919.9</v>
      </c>
      <c r="K22" s="221">
        <v>12935.3</v>
      </c>
      <c r="L22" s="221">
        <v>12935.9</v>
      </c>
      <c r="M22" s="221">
        <v>12914.9</v>
      </c>
    </row>
    <row r="23" spans="1:13">
      <c r="A23" t="s">
        <v>350</v>
      </c>
      <c r="B23" s="221">
        <v>29539</v>
      </c>
      <c r="C23" s="221">
        <v>29531.8</v>
      </c>
      <c r="D23" s="221">
        <v>29647.600000000002</v>
      </c>
      <c r="E23" s="221">
        <v>29709.700000000004</v>
      </c>
      <c r="F23" s="221">
        <v>29757.8</v>
      </c>
      <c r="G23" s="221">
        <v>29901.4</v>
      </c>
      <c r="H23" s="221">
        <v>29971.100000000002</v>
      </c>
      <c r="I23" s="221">
        <v>29998.499999999996</v>
      </c>
      <c r="J23" s="221">
        <v>29987.300000000003</v>
      </c>
      <c r="K23" s="221">
        <v>30039.899999999998</v>
      </c>
      <c r="L23" s="221">
        <v>30114.400000000001</v>
      </c>
      <c r="M23" s="221">
        <v>30184.399999999998</v>
      </c>
    </row>
    <row r="24" spans="1:13">
      <c r="A24" t="s">
        <v>351</v>
      </c>
      <c r="B24" s="221">
        <v>8640.9</v>
      </c>
      <c r="C24" s="221">
        <v>8689.4</v>
      </c>
      <c r="D24" s="221">
        <v>8661.4</v>
      </c>
      <c r="E24" s="221">
        <v>8679.4</v>
      </c>
      <c r="F24" s="221">
        <v>8730.4</v>
      </c>
      <c r="G24" s="221">
        <v>8738.4</v>
      </c>
      <c r="H24" s="221">
        <v>8740.9</v>
      </c>
      <c r="I24" s="221">
        <v>8756.9</v>
      </c>
      <c r="J24" s="221">
        <v>8769.4</v>
      </c>
      <c r="K24" s="221">
        <v>8746.4</v>
      </c>
      <c r="L24" s="221">
        <v>8747.9</v>
      </c>
      <c r="M24" s="221">
        <v>8764.4</v>
      </c>
    </row>
    <row r="25" spans="1:13">
      <c r="A25" t="s">
        <v>325</v>
      </c>
      <c r="B25" s="221">
        <v>21298.9</v>
      </c>
      <c r="C25" s="221">
        <v>21357.7</v>
      </c>
      <c r="D25" s="221">
        <v>21409.800000000003</v>
      </c>
      <c r="E25" s="221">
        <v>21402.2</v>
      </c>
      <c r="F25" s="221">
        <v>21412.9</v>
      </c>
      <c r="G25" s="221">
        <v>21449.7</v>
      </c>
      <c r="H25" s="221">
        <v>21439.300000000003</v>
      </c>
      <c r="I25" s="221">
        <v>21478.5</v>
      </c>
      <c r="J25" s="221">
        <v>21551.7</v>
      </c>
      <c r="K25" s="221">
        <v>21572.2</v>
      </c>
      <c r="L25" s="221">
        <v>21607.5</v>
      </c>
      <c r="M25" s="221">
        <v>21675.599999999999</v>
      </c>
    </row>
    <row r="27" spans="1:13">
      <c r="A27" t="s">
        <v>352</v>
      </c>
      <c r="B27" s="221">
        <v>267651.59000000003</v>
      </c>
      <c r="C27" s="221">
        <v>268751.69</v>
      </c>
      <c r="D27" s="221">
        <v>269403.99000000005</v>
      </c>
      <c r="E27" s="221">
        <v>269858.69</v>
      </c>
      <c r="F27" s="221">
        <v>270017.89</v>
      </c>
      <c r="G27" s="221">
        <v>270075.69000000006</v>
      </c>
      <c r="H27" s="221">
        <v>270203.99</v>
      </c>
      <c r="I27" s="221">
        <v>272958.24</v>
      </c>
      <c r="J27" s="221">
        <v>273430.11</v>
      </c>
      <c r="K27" s="221">
        <v>272655.10999999993</v>
      </c>
      <c r="L27" s="221">
        <v>272998.81000000006</v>
      </c>
      <c r="M27" s="221">
        <v>272963.81</v>
      </c>
    </row>
    <row r="28" spans="1:13">
      <c r="B28" s="222">
        <f>SUM(B16:B25)-B27</f>
        <v>0</v>
      </c>
      <c r="C28" s="222">
        <f t="shared" ref="C28:M28" si="2">SUM(C16:C25)-C27</f>
        <v>0</v>
      </c>
      <c r="D28" s="222">
        <f t="shared" si="2"/>
        <v>0</v>
      </c>
      <c r="E28" s="222">
        <f t="shared" si="2"/>
        <v>0</v>
      </c>
      <c r="F28" s="222">
        <f t="shared" si="2"/>
        <v>0</v>
      </c>
      <c r="G28" s="222">
        <f t="shared" si="2"/>
        <v>0</v>
      </c>
      <c r="H28" s="222">
        <f t="shared" si="2"/>
        <v>0</v>
      </c>
      <c r="I28" s="222">
        <f t="shared" si="2"/>
        <v>0</v>
      </c>
      <c r="J28" s="222">
        <f t="shared" si="2"/>
        <v>0</v>
      </c>
      <c r="K28" s="222">
        <f t="shared" si="2"/>
        <v>0</v>
      </c>
      <c r="L28" s="222">
        <f t="shared" si="2"/>
        <v>0</v>
      </c>
      <c r="M28" s="222">
        <f t="shared" si="2"/>
        <v>0</v>
      </c>
    </row>
    <row r="31" spans="1:13">
      <c r="A31" s="223">
        <v>345</v>
      </c>
      <c r="B31" s="224">
        <f>B4/B4</f>
        <v>1</v>
      </c>
      <c r="C31" s="224">
        <f t="shared" ref="C31:M31" si="3">C4/C4</f>
        <v>1</v>
      </c>
      <c r="D31" s="224">
        <f t="shared" si="3"/>
        <v>1</v>
      </c>
      <c r="E31" s="224">
        <f t="shared" si="3"/>
        <v>1</v>
      </c>
      <c r="F31" s="224">
        <f t="shared" si="3"/>
        <v>1</v>
      </c>
      <c r="G31" s="224">
        <f t="shared" si="3"/>
        <v>1</v>
      </c>
      <c r="H31" s="224">
        <f t="shared" si="3"/>
        <v>1</v>
      </c>
      <c r="I31" s="224">
        <f t="shared" si="3"/>
        <v>1</v>
      </c>
      <c r="J31" s="224">
        <f t="shared" si="3"/>
        <v>1</v>
      </c>
      <c r="K31" s="224">
        <f t="shared" si="3"/>
        <v>1</v>
      </c>
      <c r="L31" s="224">
        <f t="shared" si="3"/>
        <v>1</v>
      </c>
      <c r="M31" s="225">
        <f t="shared" si="3"/>
        <v>1</v>
      </c>
    </row>
    <row r="32" spans="1:13">
      <c r="A32" s="226">
        <v>800</v>
      </c>
      <c r="B32" s="227">
        <f>B4/B9</f>
        <v>0.2111409542652066</v>
      </c>
      <c r="C32" s="227">
        <f t="shared" ref="C32:M32" si="4">C4/C9</f>
        <v>0.21104018240451189</v>
      </c>
      <c r="D32" s="227">
        <f t="shared" si="4"/>
        <v>0.210783511018797</v>
      </c>
      <c r="E32" s="227">
        <f t="shared" si="4"/>
        <v>0.21034694000811052</v>
      </c>
      <c r="F32" s="227">
        <f t="shared" si="4"/>
        <v>0.20984332827321198</v>
      </c>
      <c r="G32" s="227">
        <f t="shared" si="4"/>
        <v>0.20969921930160781</v>
      </c>
      <c r="H32" s="227">
        <f t="shared" si="4"/>
        <v>0.20961987377157845</v>
      </c>
      <c r="I32" s="227">
        <f t="shared" si="4"/>
        <v>0.20824520347537029</v>
      </c>
      <c r="J32" s="227">
        <f t="shared" si="4"/>
        <v>0.20777661358526073</v>
      </c>
      <c r="K32" s="227">
        <f t="shared" si="4"/>
        <v>0.20780187044177145</v>
      </c>
      <c r="L32" s="227">
        <f t="shared" si="4"/>
        <v>0.20745150038914992</v>
      </c>
      <c r="M32" s="228">
        <f t="shared" si="4"/>
        <v>0.20766448079556099</v>
      </c>
    </row>
    <row r="33" spans="1:13">
      <c r="A33" s="226">
        <v>700</v>
      </c>
      <c r="B33" s="227">
        <f>B4/B16</f>
        <v>0.13889876808523519</v>
      </c>
      <c r="C33" s="227">
        <f t="shared" ref="C33:M33" si="5">C4/C16</f>
        <v>0.13877124044781727</v>
      </c>
      <c r="D33" s="227">
        <f t="shared" si="5"/>
        <v>0.13853753037606847</v>
      </c>
      <c r="E33" s="227">
        <f t="shared" si="5"/>
        <v>0.13821156648090302</v>
      </c>
      <c r="F33" s="227">
        <f t="shared" si="5"/>
        <v>0.13783662587958379</v>
      </c>
      <c r="G33" s="227">
        <f t="shared" si="5"/>
        <v>0.13777466415473025</v>
      </c>
      <c r="H33" s="227">
        <f t="shared" si="5"/>
        <v>0.13772679590546055</v>
      </c>
      <c r="I33" s="227">
        <f t="shared" si="5"/>
        <v>0.13663239244894368</v>
      </c>
      <c r="J33" s="227">
        <f t="shared" si="5"/>
        <v>0.13631345428791633</v>
      </c>
      <c r="K33" s="227">
        <f t="shared" si="5"/>
        <v>0.13903912537602001</v>
      </c>
      <c r="L33" s="227">
        <f t="shared" si="5"/>
        <v>0.1387690171805403</v>
      </c>
      <c r="M33" s="228">
        <f t="shared" si="5"/>
        <v>0.13938541487301423</v>
      </c>
    </row>
    <row r="34" spans="1:13">
      <c r="A34" s="229">
        <v>102</v>
      </c>
      <c r="B34" s="230">
        <f>B4/B27</f>
        <v>2.7432304810892396E-2</v>
      </c>
      <c r="C34" s="230">
        <f t="shared" ref="C34:M34" si="6">C4/C27</f>
        <v>2.7345688505251816E-2</v>
      </c>
      <c r="D34" s="230">
        <f t="shared" si="6"/>
        <v>2.7234563229742808E-2</v>
      </c>
      <c r="E34" s="230">
        <f t="shared" si="6"/>
        <v>2.7101962141741664E-2</v>
      </c>
      <c r="F34" s="230">
        <f t="shared" si="6"/>
        <v>2.6979323481121933E-2</v>
      </c>
      <c r="G34" s="230">
        <f t="shared" si="6"/>
        <v>2.6942447133986767E-2</v>
      </c>
      <c r="H34" s="230">
        <f t="shared" si="6"/>
        <v>2.6918921515555711E-2</v>
      </c>
      <c r="I34" s="230">
        <f t="shared" si="6"/>
        <v>2.6439209162544428E-2</v>
      </c>
      <c r="J34" s="230">
        <f t="shared" si="6"/>
        <v>2.6326288644655849E-2</v>
      </c>
      <c r="K34" s="230">
        <f t="shared" si="6"/>
        <v>2.6428259496035125E-2</v>
      </c>
      <c r="L34" s="230">
        <f t="shared" si="6"/>
        <v>2.6361653371309562E-2</v>
      </c>
      <c r="M34" s="231">
        <f t="shared" si="6"/>
        <v>2.6393242386234278E-2</v>
      </c>
    </row>
    <row r="35" spans="1:13">
      <c r="A35" s="236" t="s">
        <v>353</v>
      </c>
      <c r="B35" s="234">
        <f>B4/(B16+B18+B19)</f>
        <v>6.7943310832388151E-2</v>
      </c>
      <c r="C35" s="234">
        <f t="shared" ref="C35:M35" si="7">C4/(C16+C18+C19)</f>
        <v>6.793254331355926E-2</v>
      </c>
      <c r="D35" s="234">
        <f t="shared" si="7"/>
        <v>6.7841892542015031E-2</v>
      </c>
      <c r="E35" s="234">
        <f t="shared" si="7"/>
        <v>6.7537162892485833E-2</v>
      </c>
      <c r="F35" s="234">
        <f t="shared" si="7"/>
        <v>6.7320511672483471E-2</v>
      </c>
      <c r="G35" s="234">
        <f t="shared" si="7"/>
        <v>6.7271047545140669E-2</v>
      </c>
      <c r="H35" s="234">
        <f t="shared" si="7"/>
        <v>6.7262457023501268E-2</v>
      </c>
      <c r="I35" s="234">
        <f t="shared" si="7"/>
        <v>6.6690144860331702E-2</v>
      </c>
      <c r="J35" s="234">
        <f t="shared" si="7"/>
        <v>6.650874105247051E-2</v>
      </c>
      <c r="K35" s="234">
        <f t="shared" si="7"/>
        <v>6.7156020178679485E-2</v>
      </c>
      <c r="L35" s="234">
        <f t="shared" si="7"/>
        <v>6.7026172403866241E-2</v>
      </c>
      <c r="M35" s="235">
        <f t="shared" si="7"/>
        <v>6.7233327662430536E-2</v>
      </c>
    </row>
    <row r="36" spans="1:13">
      <c r="A36" s="236" t="s">
        <v>354</v>
      </c>
      <c r="B36" s="237">
        <f>B4/(B9+B18)</f>
        <v>0.20777114979738753</v>
      </c>
      <c r="C36" s="234">
        <f t="shared" ref="C36:M36" si="8">C4/(C9+C18)</f>
        <v>0.20767081017386907</v>
      </c>
      <c r="D36" s="234">
        <f t="shared" si="8"/>
        <v>0.20742853750314516</v>
      </c>
      <c r="E36" s="234">
        <f t="shared" si="8"/>
        <v>0.20700107835173515</v>
      </c>
      <c r="F36" s="234">
        <f t="shared" si="8"/>
        <v>0.20650038692779329</v>
      </c>
      <c r="G36" s="234">
        <f t="shared" si="8"/>
        <v>0.20635118694824844</v>
      </c>
      <c r="H36" s="234">
        <f t="shared" si="8"/>
        <v>0.2062788916933723</v>
      </c>
      <c r="I36" s="234">
        <f t="shared" si="8"/>
        <v>0.20492201276077382</v>
      </c>
      <c r="J36" s="234">
        <f t="shared" si="8"/>
        <v>0.20444830710416967</v>
      </c>
      <c r="K36" s="234">
        <f t="shared" si="8"/>
        <v>0.20447612534513043</v>
      </c>
      <c r="L36" s="234">
        <f t="shared" si="8"/>
        <v>0.20412116742774483</v>
      </c>
      <c r="M36" s="235">
        <f t="shared" si="8"/>
        <v>0.20433087057021709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showGridLines="0" workbookViewId="0">
      <selection activeCell="B2" sqref="B2"/>
    </sheetView>
  </sheetViews>
  <sheetFormatPr defaultRowHeight="15"/>
  <cols>
    <col min="4" max="4" width="2.7109375" customWidth="1"/>
    <col min="5" max="5" width="19.7109375" customWidth="1"/>
    <col min="6" max="6" width="2.7109375" customWidth="1"/>
    <col min="7" max="7" width="19.85546875" bestFit="1" customWidth="1"/>
    <col min="8" max="8" width="2.7109375" customWidth="1"/>
    <col min="9" max="9" width="19.140625" bestFit="1" customWidth="1"/>
    <col min="10" max="10" width="3.7109375" customWidth="1"/>
    <col min="11" max="11" width="19.140625" bestFit="1" customWidth="1"/>
  </cols>
  <sheetData>
    <row r="2" spans="1:11">
      <c r="E2" s="216" t="s">
        <v>328</v>
      </c>
      <c r="G2" s="309" t="s">
        <v>329</v>
      </c>
      <c r="I2" s="216" t="s">
        <v>330</v>
      </c>
      <c r="K2" s="216" t="s">
        <v>331</v>
      </c>
    </row>
    <row r="3" spans="1:11">
      <c r="A3" t="s">
        <v>326</v>
      </c>
      <c r="E3" s="310" t="s">
        <v>327</v>
      </c>
      <c r="F3" s="310"/>
      <c r="G3" s="310" t="s">
        <v>375</v>
      </c>
      <c r="H3" s="310"/>
      <c r="I3" s="310" t="s">
        <v>334</v>
      </c>
      <c r="J3" s="310"/>
      <c r="K3" s="310" t="s">
        <v>373</v>
      </c>
    </row>
    <row r="4" spans="1:11">
      <c r="E4" s="213"/>
    </row>
    <row r="5" spans="1:11" ht="15.75" thickBot="1">
      <c r="B5" t="s">
        <v>5</v>
      </c>
      <c r="E5" s="214">
        <f>'WSC Salaries PF'!G75+'Wp b - salary PF'!F53+'wp b3 - CSR PF'!G55</f>
        <v>690983.69531832077</v>
      </c>
      <c r="G5" s="214">
        <f>'WSC Salaries PF'!I75+'Wp b - salary PF'!H53+'wp b3 - CSR PF'!I55</f>
        <v>743075.1891088133</v>
      </c>
      <c r="I5" s="214">
        <f>538161+205061</f>
        <v>743222</v>
      </c>
      <c r="K5" s="214">
        <f>I5-G5</f>
        <v>146.81089118670207</v>
      </c>
    </row>
    <row r="6" spans="1:11" ht="15.75" thickTop="1"/>
    <row r="8" spans="1:11">
      <c r="B8" s="40" t="s">
        <v>328</v>
      </c>
      <c r="C8" s="40" t="s">
        <v>332</v>
      </c>
    </row>
    <row r="10" spans="1:11">
      <c r="B10" s="40" t="s">
        <v>329</v>
      </c>
      <c r="C10" s="40" t="s">
        <v>364</v>
      </c>
    </row>
    <row r="12" spans="1:11">
      <c r="B12" s="40" t="s">
        <v>330</v>
      </c>
      <c r="C12" s="40" t="s">
        <v>355</v>
      </c>
    </row>
    <row r="14" spans="1:11">
      <c r="B14" s="40" t="s">
        <v>331</v>
      </c>
      <c r="C14" t="s">
        <v>363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showGridLines="0" workbookViewId="0">
      <selection activeCell="F21" sqref="F21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76"/>
  <sheetViews>
    <sheetView view="pageBreakPreview" zoomScale="85" zoomScaleNormal="85" zoomScaleSheetLayoutView="85" workbookViewId="0">
      <pane xSplit="3" ySplit="9" topLeftCell="D13" activePane="bottomRight" state="frozen"/>
      <selection pane="topRight" activeCell="D1" sqref="D1"/>
      <selection pane="bottomLeft" activeCell="A10" sqref="A10"/>
      <selection pane="bottomRight" activeCell="E10" sqref="E10:E66"/>
    </sheetView>
  </sheetViews>
  <sheetFormatPr defaultColWidth="10.140625" defaultRowHeight="14.25"/>
  <cols>
    <col min="1" max="1" width="3.85546875" style="1" customWidth="1"/>
    <col min="2" max="2" width="4.140625" style="1" customWidth="1"/>
    <col min="3" max="4" width="11.5703125" style="1" bestFit="1" customWidth="1"/>
    <col min="5" max="5" width="27.85546875" style="1" bestFit="1" customWidth="1"/>
    <col min="6" max="6" width="27.85546875" style="1" customWidth="1"/>
    <col min="7" max="7" width="16.42578125" style="1" bestFit="1" customWidth="1"/>
    <col min="8" max="8" width="3" style="1" customWidth="1"/>
    <col min="9" max="9" width="20" style="1" customWidth="1"/>
    <col min="10" max="10" width="3" style="1" customWidth="1"/>
    <col min="11" max="11" width="16.7109375" style="1" hidden="1" customWidth="1"/>
    <col min="12" max="12" width="3" style="1" hidden="1" customWidth="1"/>
    <col min="13" max="13" width="12.28515625" style="1" hidden="1" customWidth="1"/>
    <col min="14" max="14" width="3" style="1" hidden="1" customWidth="1"/>
    <col min="15" max="15" width="13.28515625" style="1" hidden="1" customWidth="1"/>
    <col min="16" max="16" width="3" style="1" hidden="1" customWidth="1"/>
    <col min="17" max="17" width="14" style="1" hidden="1" customWidth="1"/>
    <col min="18" max="18" width="3" style="1" hidden="1" customWidth="1"/>
    <col min="19" max="19" width="11.42578125" style="1" hidden="1" customWidth="1"/>
    <col min="20" max="20" width="3" style="1" hidden="1" customWidth="1"/>
    <col min="21" max="21" width="11.28515625" style="1" hidden="1" customWidth="1"/>
    <col min="22" max="22" width="3" style="1" hidden="1" customWidth="1"/>
    <col min="23" max="23" width="12.42578125" style="1" hidden="1" customWidth="1"/>
    <col min="24" max="24" width="3" style="1" hidden="1" customWidth="1"/>
    <col min="25" max="25" width="11.42578125" style="1" hidden="1" customWidth="1"/>
    <col min="26" max="26" width="3" style="1" hidden="1" customWidth="1"/>
    <col min="27" max="27" width="11" style="1" hidden="1" customWidth="1"/>
    <col min="28" max="28" width="3" style="1" hidden="1" customWidth="1"/>
    <col min="29" max="29" width="14" style="8" hidden="1" customWidth="1"/>
    <col min="30" max="31" width="3" style="1" customWidth="1"/>
    <col min="32" max="16384" width="10.140625" style="1"/>
  </cols>
  <sheetData>
    <row r="1" spans="1:201">
      <c r="A1" s="1" t="s">
        <v>176</v>
      </c>
      <c r="C1" s="2"/>
      <c r="D1" s="2"/>
      <c r="E1" s="2"/>
      <c r="F1" s="2"/>
      <c r="AA1" s="4"/>
      <c r="AC1" s="5"/>
      <c r="AD1" s="2"/>
    </row>
    <row r="2" spans="1:201">
      <c r="A2" s="1" t="s">
        <v>360</v>
      </c>
      <c r="C2" s="2"/>
      <c r="D2" s="2"/>
      <c r="E2" s="2"/>
      <c r="F2" s="2"/>
      <c r="M2" s="7"/>
    </row>
    <row r="3" spans="1:201">
      <c r="F3" s="218" t="s">
        <v>0</v>
      </c>
      <c r="G3" s="9"/>
      <c r="M3" s="7"/>
      <c r="U3" s="10"/>
    </row>
    <row r="4" spans="1:201">
      <c r="A4" s="11"/>
      <c r="I4" s="37"/>
      <c r="M4" s="7"/>
      <c r="U4" s="10"/>
      <c r="AA4" s="7"/>
    </row>
    <row r="5" spans="1:201">
      <c r="C5" s="11"/>
      <c r="D5" s="11"/>
      <c r="E5" s="11"/>
      <c r="F5" s="11"/>
      <c r="I5" s="38"/>
      <c r="M5" s="12"/>
      <c r="U5" s="7"/>
      <c r="W5" s="7"/>
      <c r="AC5" s="13"/>
    </row>
    <row r="6" spans="1:201">
      <c r="C6" s="14"/>
      <c r="D6" s="14"/>
      <c r="E6" s="14"/>
      <c r="F6" s="14"/>
      <c r="G6" s="217" t="s">
        <v>336</v>
      </c>
      <c r="I6" s="217" t="s">
        <v>337</v>
      </c>
      <c r="O6" s="16"/>
      <c r="S6" s="17"/>
      <c r="T6" s="8"/>
      <c r="U6" s="8"/>
      <c r="V6" s="18"/>
      <c r="W6" s="18" t="s">
        <v>24</v>
      </c>
      <c r="X6" s="8"/>
      <c r="Y6" s="8"/>
      <c r="Z6" s="8"/>
      <c r="AC6" s="15"/>
      <c r="AD6" s="15"/>
    </row>
    <row r="7" spans="1:201" ht="15">
      <c r="A7" s="19"/>
      <c r="B7" s="25" t="s">
        <v>15</v>
      </c>
      <c r="C7" s="20"/>
      <c r="D7" s="20"/>
      <c r="E7" s="20"/>
      <c r="F7" s="20"/>
      <c r="G7" s="15" t="s">
        <v>1</v>
      </c>
      <c r="H7" s="19"/>
      <c r="I7" s="15" t="s">
        <v>1</v>
      </c>
      <c r="J7" s="19"/>
      <c r="K7" s="19" t="s">
        <v>2</v>
      </c>
      <c r="L7" s="19"/>
      <c r="M7" s="19" t="s">
        <v>3</v>
      </c>
      <c r="N7" s="19"/>
      <c r="O7" s="19" t="s">
        <v>4</v>
      </c>
      <c r="P7" s="19"/>
      <c r="Q7" s="19" t="s">
        <v>5</v>
      </c>
      <c r="R7" s="19"/>
      <c r="S7" s="19" t="s">
        <v>6</v>
      </c>
      <c r="T7" s="19"/>
      <c r="U7" s="19" t="s">
        <v>18</v>
      </c>
      <c r="V7" s="19"/>
      <c r="W7" s="19" t="s">
        <v>25</v>
      </c>
      <c r="X7" s="19"/>
      <c r="Y7" s="17"/>
      <c r="Z7" s="19"/>
      <c r="AA7" s="19" t="s">
        <v>5</v>
      </c>
      <c r="AB7" s="19"/>
      <c r="AC7" s="21"/>
      <c r="AD7" s="18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</row>
    <row r="8" spans="1:201">
      <c r="A8" s="19"/>
      <c r="B8" s="19"/>
      <c r="C8" s="22" t="s">
        <v>20</v>
      </c>
      <c r="D8" s="22" t="s">
        <v>21</v>
      </c>
      <c r="E8" s="22" t="s">
        <v>19</v>
      </c>
      <c r="F8" s="22" t="s">
        <v>177</v>
      </c>
      <c r="G8" s="22" t="s">
        <v>7</v>
      </c>
      <c r="H8" s="19"/>
      <c r="I8" s="22" t="s">
        <v>7</v>
      </c>
      <c r="J8" s="19"/>
      <c r="K8" s="23" t="s">
        <v>8</v>
      </c>
      <c r="L8" s="19"/>
      <c r="M8" s="23" t="s">
        <v>9</v>
      </c>
      <c r="N8" s="19"/>
      <c r="O8" s="23" t="s">
        <v>174</v>
      </c>
      <c r="P8" s="19"/>
      <c r="Q8" s="23" t="s">
        <v>10</v>
      </c>
      <c r="R8" s="19"/>
      <c r="S8" s="23" t="s">
        <v>11</v>
      </c>
      <c r="T8" s="19"/>
      <c r="U8" s="35">
        <v>0.03</v>
      </c>
      <c r="V8" s="19"/>
      <c r="W8" s="35">
        <v>0.04</v>
      </c>
      <c r="X8" s="19"/>
      <c r="Y8" s="23" t="s">
        <v>12</v>
      </c>
      <c r="Z8" s="19"/>
      <c r="AA8" s="23" t="s">
        <v>13</v>
      </c>
      <c r="AB8" s="18"/>
      <c r="AC8" s="22" t="s">
        <v>14</v>
      </c>
      <c r="AD8" s="24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</row>
    <row r="9" spans="1:201">
      <c r="G9" s="26"/>
      <c r="AC9" s="26"/>
      <c r="AD9" s="27"/>
    </row>
    <row r="10" spans="1:201" ht="13.5" customHeight="1">
      <c r="B10" s="28">
        <v>1</v>
      </c>
      <c r="C10" s="3" t="s">
        <v>142</v>
      </c>
      <c r="D10" s="3" t="s">
        <v>58</v>
      </c>
      <c r="E10" s="3" t="s">
        <v>28</v>
      </c>
      <c r="F10" s="3" t="s">
        <v>178</v>
      </c>
      <c r="G10" s="29">
        <f t="shared" ref="G10:G41" si="0">AC10</f>
        <v>172995.59999999998</v>
      </c>
      <c r="H10" s="30"/>
      <c r="I10" s="30">
        <f>G10*(1.03^3)</f>
        <v>189036.96300119997</v>
      </c>
      <c r="J10" s="30"/>
      <c r="K10" s="30">
        <f t="shared" ref="K10:K41" si="1">IF(G10&lt;110100, G10*7.65%, 110100*6.2%+G10*1.45%)</f>
        <v>9334.636199999999</v>
      </c>
      <c r="L10" s="30"/>
      <c r="M10" s="30">
        <f t="shared" ref="M10:M41" si="2">7000*0.008</f>
        <v>56</v>
      </c>
      <c r="N10" s="30"/>
      <c r="O10" s="29">
        <f t="shared" ref="O10:O41" si="3">12900*8.95%</f>
        <v>1154.55</v>
      </c>
      <c r="P10" s="30"/>
      <c r="Q10" s="30">
        <f t="shared" ref="Q10:Q41" si="4">+K10+M10+O10</f>
        <v>10545.186199999998</v>
      </c>
      <c r="R10" s="30"/>
      <c r="S10" s="30">
        <v>7482</v>
      </c>
      <c r="T10" s="30"/>
      <c r="U10" s="30">
        <f t="shared" ref="U10:U41" si="5">+G10*$U$8</f>
        <v>5189.8679999999995</v>
      </c>
      <c r="V10" s="30"/>
      <c r="W10" s="30">
        <f t="shared" ref="W10:W41" si="6">+G10*W$8</f>
        <v>6919.8239999999996</v>
      </c>
      <c r="X10" s="30"/>
      <c r="Y10" s="30">
        <v>454</v>
      </c>
      <c r="Z10" s="30"/>
      <c r="AA10" s="30">
        <f t="shared" ref="AA10:AA41" si="7">+S10+U10+W10+Y10</f>
        <v>20045.691999999999</v>
      </c>
      <c r="AC10" s="29">
        <f>7208.15*24</f>
        <v>172995.59999999998</v>
      </c>
      <c r="AD10" s="30"/>
      <c r="AF10" s="1" t="s">
        <v>7</v>
      </c>
    </row>
    <row r="11" spans="1:201">
      <c r="B11" s="28">
        <v>2</v>
      </c>
      <c r="C11" s="3" t="s">
        <v>97</v>
      </c>
      <c r="D11" s="3" t="s">
        <v>98</v>
      </c>
      <c r="E11" s="3" t="s">
        <v>29</v>
      </c>
      <c r="F11" s="3" t="s">
        <v>179</v>
      </c>
      <c r="G11" s="29">
        <f t="shared" si="0"/>
        <v>52520</v>
      </c>
      <c r="H11" s="30"/>
      <c r="I11" s="30">
        <f t="shared" ref="I11:I66" si="8">G11*(1.03^3)</f>
        <v>57390.022040000003</v>
      </c>
      <c r="J11" s="30"/>
      <c r="K11" s="30">
        <f t="shared" si="1"/>
        <v>4017.7799999999997</v>
      </c>
      <c r="L11" s="30"/>
      <c r="M11" s="30">
        <f t="shared" si="2"/>
        <v>56</v>
      </c>
      <c r="N11" s="30"/>
      <c r="O11" s="29">
        <f t="shared" si="3"/>
        <v>1154.55</v>
      </c>
      <c r="P11" s="30"/>
      <c r="Q11" s="30">
        <f t="shared" si="4"/>
        <v>5228.33</v>
      </c>
      <c r="R11" s="30"/>
      <c r="S11" s="30">
        <v>7482</v>
      </c>
      <c r="T11" s="30"/>
      <c r="U11" s="30">
        <f t="shared" si="5"/>
        <v>1575.6</v>
      </c>
      <c r="V11" s="30"/>
      <c r="W11" s="30">
        <f t="shared" si="6"/>
        <v>2100.8000000000002</v>
      </c>
      <c r="X11" s="30"/>
      <c r="Y11" s="30">
        <v>454</v>
      </c>
      <c r="Z11" s="30"/>
      <c r="AA11" s="30">
        <f t="shared" si="7"/>
        <v>11612.400000000001</v>
      </c>
      <c r="AC11" s="29">
        <f>25.25*2080</f>
        <v>52520</v>
      </c>
      <c r="AD11" s="29"/>
      <c r="AF11" s="1" t="s">
        <v>175</v>
      </c>
    </row>
    <row r="12" spans="1:201">
      <c r="B12" s="28">
        <v>3</v>
      </c>
      <c r="C12" s="6" t="s">
        <v>22</v>
      </c>
      <c r="D12" s="6" t="s">
        <v>23</v>
      </c>
      <c r="E12" s="6" t="s">
        <v>30</v>
      </c>
      <c r="F12" s="6" t="s">
        <v>180</v>
      </c>
      <c r="G12" s="29">
        <f t="shared" si="0"/>
        <v>62999.28</v>
      </c>
      <c r="H12" s="30"/>
      <c r="I12" s="30">
        <f t="shared" si="8"/>
        <v>68841.014236560004</v>
      </c>
      <c r="J12" s="30"/>
      <c r="K12" s="30">
        <f t="shared" si="1"/>
        <v>4819.4449199999999</v>
      </c>
      <c r="L12" s="30"/>
      <c r="M12" s="30">
        <f t="shared" si="2"/>
        <v>56</v>
      </c>
      <c r="N12" s="30"/>
      <c r="O12" s="29">
        <f t="shared" si="3"/>
        <v>1154.55</v>
      </c>
      <c r="P12" s="30"/>
      <c r="Q12" s="30">
        <f t="shared" si="4"/>
        <v>6029.9949200000001</v>
      </c>
      <c r="R12" s="30"/>
      <c r="S12" s="30">
        <v>7482</v>
      </c>
      <c r="T12" s="30"/>
      <c r="U12" s="30">
        <f t="shared" si="5"/>
        <v>1889.9784</v>
      </c>
      <c r="V12" s="30"/>
      <c r="W12" s="30">
        <f t="shared" si="6"/>
        <v>2519.9712</v>
      </c>
      <c r="X12" s="30"/>
      <c r="Y12" s="30">
        <v>454</v>
      </c>
      <c r="Z12" s="30"/>
      <c r="AA12" s="30">
        <f t="shared" si="7"/>
        <v>12345.9496</v>
      </c>
      <c r="AC12" s="29">
        <f>2624.97*24</f>
        <v>62999.28</v>
      </c>
      <c r="AD12" s="30"/>
      <c r="AF12" s="7" t="s">
        <v>7</v>
      </c>
    </row>
    <row r="13" spans="1:201">
      <c r="B13" s="28">
        <v>4</v>
      </c>
      <c r="C13" s="3" t="s">
        <v>115</v>
      </c>
      <c r="D13" s="3" t="s">
        <v>116</v>
      </c>
      <c r="E13" s="3" t="s">
        <v>119</v>
      </c>
      <c r="F13" s="3" t="s">
        <v>181</v>
      </c>
      <c r="G13" s="29">
        <f t="shared" si="0"/>
        <v>52644.799999999996</v>
      </c>
      <c r="H13" s="30"/>
      <c r="I13" s="30">
        <f t="shared" si="8"/>
        <v>57526.394369599999</v>
      </c>
      <c r="J13" s="30"/>
      <c r="K13" s="30">
        <f t="shared" si="1"/>
        <v>4027.3271999999997</v>
      </c>
      <c r="L13" s="30"/>
      <c r="M13" s="30">
        <f t="shared" si="2"/>
        <v>56</v>
      </c>
      <c r="N13" s="30"/>
      <c r="O13" s="29">
        <f t="shared" si="3"/>
        <v>1154.55</v>
      </c>
      <c r="P13" s="30"/>
      <c r="Q13" s="30">
        <f t="shared" si="4"/>
        <v>5237.8771999999999</v>
      </c>
      <c r="R13" s="30"/>
      <c r="S13" s="30">
        <v>7482</v>
      </c>
      <c r="T13" s="30"/>
      <c r="U13" s="30">
        <f t="shared" si="5"/>
        <v>1579.3439999999998</v>
      </c>
      <c r="V13" s="30"/>
      <c r="W13" s="30">
        <f t="shared" si="6"/>
        <v>2105.7919999999999</v>
      </c>
      <c r="X13" s="30"/>
      <c r="Y13" s="30">
        <v>454</v>
      </c>
      <c r="Z13" s="30"/>
      <c r="AA13" s="30">
        <f t="shared" si="7"/>
        <v>11621.135999999999</v>
      </c>
      <c r="AC13" s="29">
        <f>25.31*2080</f>
        <v>52644.799999999996</v>
      </c>
      <c r="AD13" s="29"/>
      <c r="AF13" s="1" t="s">
        <v>175</v>
      </c>
    </row>
    <row r="14" spans="1:201">
      <c r="B14" s="28">
        <v>5</v>
      </c>
      <c r="C14" s="1" t="s">
        <v>169</v>
      </c>
      <c r="D14" s="1" t="s">
        <v>170</v>
      </c>
      <c r="E14" s="6" t="s">
        <v>85</v>
      </c>
      <c r="F14" s="6" t="s">
        <v>182</v>
      </c>
      <c r="G14" s="29">
        <f t="shared" si="0"/>
        <v>37502.400000000001</v>
      </c>
      <c r="I14" s="30">
        <f t="shared" si="8"/>
        <v>40979.885044800001</v>
      </c>
      <c r="K14" s="30">
        <f t="shared" si="1"/>
        <v>2868.9335999999998</v>
      </c>
      <c r="L14" s="30"/>
      <c r="M14" s="30">
        <f t="shared" si="2"/>
        <v>56</v>
      </c>
      <c r="N14" s="30"/>
      <c r="O14" s="29">
        <f t="shared" si="3"/>
        <v>1154.55</v>
      </c>
      <c r="P14" s="30"/>
      <c r="Q14" s="30">
        <f t="shared" si="4"/>
        <v>4079.4835999999996</v>
      </c>
      <c r="R14" s="30"/>
      <c r="S14" s="30">
        <v>7482</v>
      </c>
      <c r="T14" s="30"/>
      <c r="U14" s="30">
        <f t="shared" si="5"/>
        <v>1125.0719999999999</v>
      </c>
      <c r="V14" s="30"/>
      <c r="W14" s="30">
        <f t="shared" si="6"/>
        <v>1500.096</v>
      </c>
      <c r="X14" s="30"/>
      <c r="Y14" s="30">
        <v>454</v>
      </c>
      <c r="Z14" s="30"/>
      <c r="AA14" s="30">
        <f t="shared" si="7"/>
        <v>10561.168</v>
      </c>
      <c r="AC14" s="29">
        <f>18.03*2080</f>
        <v>37502.400000000001</v>
      </c>
      <c r="AF14" s="1" t="s">
        <v>175</v>
      </c>
    </row>
    <row r="15" spans="1:201">
      <c r="B15" s="28">
        <v>6</v>
      </c>
      <c r="C15" s="3" t="s">
        <v>137</v>
      </c>
      <c r="D15" s="3" t="s">
        <v>138</v>
      </c>
      <c r="E15" s="3" t="s">
        <v>139</v>
      </c>
      <c r="F15" s="3" t="s">
        <v>183</v>
      </c>
      <c r="G15" s="29">
        <f t="shared" si="0"/>
        <v>100000.08</v>
      </c>
      <c r="H15" s="30"/>
      <c r="I15" s="30">
        <f t="shared" si="8"/>
        <v>109272.78741816001</v>
      </c>
      <c r="J15" s="30"/>
      <c r="K15" s="30">
        <f t="shared" si="1"/>
        <v>7650.00612</v>
      </c>
      <c r="L15" s="30"/>
      <c r="M15" s="30">
        <f t="shared" si="2"/>
        <v>56</v>
      </c>
      <c r="N15" s="30"/>
      <c r="O15" s="29">
        <f t="shared" si="3"/>
        <v>1154.55</v>
      </c>
      <c r="P15" s="30"/>
      <c r="Q15" s="30">
        <f t="shared" si="4"/>
        <v>8860.5561199999993</v>
      </c>
      <c r="R15" s="30"/>
      <c r="S15" s="30">
        <v>7482</v>
      </c>
      <c r="T15" s="30"/>
      <c r="U15" s="30">
        <f t="shared" si="5"/>
        <v>3000.0023999999999</v>
      </c>
      <c r="V15" s="30"/>
      <c r="W15" s="30">
        <f t="shared" si="6"/>
        <v>4000.0032000000001</v>
      </c>
      <c r="X15" s="30"/>
      <c r="Y15" s="30">
        <v>454</v>
      </c>
      <c r="Z15" s="30"/>
      <c r="AA15" s="30">
        <f t="shared" si="7"/>
        <v>14936.0056</v>
      </c>
      <c r="AC15" s="29">
        <f>4166.67*24</f>
        <v>100000.08</v>
      </c>
      <c r="AD15" s="30"/>
      <c r="AF15" s="1" t="s">
        <v>7</v>
      </c>
    </row>
    <row r="16" spans="1:201">
      <c r="B16" s="28">
        <v>7</v>
      </c>
      <c r="C16" s="3" t="s">
        <v>154</v>
      </c>
      <c r="D16" s="3" t="s">
        <v>155</v>
      </c>
      <c r="E16" s="3" t="s">
        <v>156</v>
      </c>
      <c r="F16" s="3" t="s">
        <v>184</v>
      </c>
      <c r="G16" s="29">
        <f t="shared" si="0"/>
        <v>31824</v>
      </c>
      <c r="H16" s="30"/>
      <c r="I16" s="30">
        <f t="shared" si="8"/>
        <v>34774.944047999998</v>
      </c>
      <c r="J16" s="30"/>
      <c r="K16" s="30">
        <f t="shared" si="1"/>
        <v>2434.5360000000001</v>
      </c>
      <c r="L16" s="30"/>
      <c r="M16" s="30">
        <f t="shared" si="2"/>
        <v>56</v>
      </c>
      <c r="N16" s="30"/>
      <c r="O16" s="29">
        <f t="shared" si="3"/>
        <v>1154.55</v>
      </c>
      <c r="P16" s="30"/>
      <c r="Q16" s="30">
        <f t="shared" si="4"/>
        <v>3645.0860000000002</v>
      </c>
      <c r="R16" s="30"/>
      <c r="S16" s="30">
        <v>7482</v>
      </c>
      <c r="T16" s="30"/>
      <c r="U16" s="30">
        <f t="shared" si="5"/>
        <v>954.71999999999991</v>
      </c>
      <c r="V16" s="30"/>
      <c r="W16" s="30">
        <f t="shared" si="6"/>
        <v>1272.96</v>
      </c>
      <c r="X16" s="30"/>
      <c r="Y16" s="30">
        <v>454</v>
      </c>
      <c r="Z16" s="30"/>
      <c r="AA16" s="30">
        <f t="shared" si="7"/>
        <v>10163.68</v>
      </c>
      <c r="AC16" s="29">
        <f>15.3*2080</f>
        <v>31824</v>
      </c>
      <c r="AD16" s="30"/>
      <c r="AF16" s="1" t="s">
        <v>175</v>
      </c>
    </row>
    <row r="17" spans="1:201">
      <c r="B17" s="28">
        <v>8</v>
      </c>
      <c r="C17" s="6" t="s">
        <v>35</v>
      </c>
      <c r="D17" s="6" t="s">
        <v>36</v>
      </c>
      <c r="E17" s="6" t="s">
        <v>37</v>
      </c>
      <c r="F17" s="6" t="s">
        <v>185</v>
      </c>
      <c r="G17" s="29">
        <f t="shared" si="0"/>
        <v>65298.240000000005</v>
      </c>
      <c r="H17" s="30"/>
      <c r="I17" s="30">
        <f t="shared" si="8"/>
        <v>71353.149900479999</v>
      </c>
      <c r="J17" s="30"/>
      <c r="K17" s="30">
        <f t="shared" si="1"/>
        <v>4995.3153600000005</v>
      </c>
      <c r="L17" s="30"/>
      <c r="M17" s="30">
        <f t="shared" si="2"/>
        <v>56</v>
      </c>
      <c r="N17" s="30"/>
      <c r="O17" s="29">
        <f t="shared" si="3"/>
        <v>1154.55</v>
      </c>
      <c r="P17" s="30"/>
      <c r="Q17" s="30">
        <f t="shared" si="4"/>
        <v>6205.8653600000007</v>
      </c>
      <c r="R17" s="30"/>
      <c r="S17" s="30">
        <v>7482</v>
      </c>
      <c r="T17" s="30"/>
      <c r="U17" s="30">
        <f t="shared" si="5"/>
        <v>1958.9472000000001</v>
      </c>
      <c r="V17" s="30"/>
      <c r="W17" s="30">
        <f t="shared" si="6"/>
        <v>2611.9296000000004</v>
      </c>
      <c r="X17" s="30"/>
      <c r="Y17" s="30">
        <v>454</v>
      </c>
      <c r="Z17" s="30"/>
      <c r="AA17" s="30">
        <f t="shared" si="7"/>
        <v>12506.876800000002</v>
      </c>
      <c r="AC17" s="29">
        <f>2720.76*24</f>
        <v>65298.240000000005</v>
      </c>
      <c r="AD17" s="30"/>
      <c r="AF17" s="7" t="s">
        <v>7</v>
      </c>
    </row>
    <row r="18" spans="1:201">
      <c r="B18" s="28">
        <v>9</v>
      </c>
      <c r="C18" s="3" t="s">
        <v>147</v>
      </c>
      <c r="D18" s="3" t="s">
        <v>148</v>
      </c>
      <c r="E18" s="3" t="s">
        <v>146</v>
      </c>
      <c r="F18" s="3" t="s">
        <v>186</v>
      </c>
      <c r="G18" s="29">
        <f t="shared" si="0"/>
        <v>122590.08</v>
      </c>
      <c r="H18" s="30"/>
      <c r="I18" s="30">
        <f t="shared" si="8"/>
        <v>133957.49034816</v>
      </c>
      <c r="J18" s="30"/>
      <c r="K18" s="30">
        <f t="shared" si="1"/>
        <v>8603.756159999999</v>
      </c>
      <c r="L18" s="30"/>
      <c r="M18" s="30">
        <f t="shared" si="2"/>
        <v>56</v>
      </c>
      <c r="N18" s="30"/>
      <c r="O18" s="29">
        <f t="shared" si="3"/>
        <v>1154.55</v>
      </c>
      <c r="P18" s="30"/>
      <c r="Q18" s="30">
        <f t="shared" si="4"/>
        <v>9814.3061599999983</v>
      </c>
      <c r="R18" s="30"/>
      <c r="S18" s="30">
        <v>7482</v>
      </c>
      <c r="T18" s="30"/>
      <c r="U18" s="30">
        <f t="shared" si="5"/>
        <v>3677.7024000000001</v>
      </c>
      <c r="V18" s="30"/>
      <c r="W18" s="30">
        <f t="shared" si="6"/>
        <v>4903.6032000000005</v>
      </c>
      <c r="X18" s="30"/>
      <c r="Y18" s="30">
        <v>454</v>
      </c>
      <c r="Z18" s="30"/>
      <c r="AA18" s="30">
        <f t="shared" si="7"/>
        <v>16517.3056</v>
      </c>
      <c r="AC18" s="29">
        <f>5107.92*24</f>
        <v>122590.08</v>
      </c>
      <c r="AD18" s="30"/>
      <c r="AF18" s="1" t="s">
        <v>7</v>
      </c>
    </row>
    <row r="19" spans="1:201">
      <c r="B19" s="28">
        <v>10</v>
      </c>
      <c r="C19" s="3" t="s">
        <v>79</v>
      </c>
      <c r="D19" s="3" t="s">
        <v>80</v>
      </c>
      <c r="E19" s="3" t="s">
        <v>81</v>
      </c>
      <c r="F19" s="3" t="s">
        <v>187</v>
      </c>
      <c r="G19" s="29">
        <f t="shared" si="0"/>
        <v>59051.200000000004</v>
      </c>
      <c r="H19" s="30"/>
      <c r="I19" s="30">
        <f t="shared" si="8"/>
        <v>64526.840622400006</v>
      </c>
      <c r="J19" s="30"/>
      <c r="K19" s="30">
        <f t="shared" si="1"/>
        <v>4517.4168</v>
      </c>
      <c r="L19" s="30"/>
      <c r="M19" s="30">
        <f t="shared" si="2"/>
        <v>56</v>
      </c>
      <c r="N19" s="30"/>
      <c r="O19" s="29">
        <f t="shared" si="3"/>
        <v>1154.55</v>
      </c>
      <c r="P19" s="30"/>
      <c r="Q19" s="30">
        <f t="shared" si="4"/>
        <v>5727.9668000000001</v>
      </c>
      <c r="R19" s="30"/>
      <c r="S19" s="30">
        <v>7482</v>
      </c>
      <c r="T19" s="30"/>
      <c r="U19" s="30">
        <f t="shared" si="5"/>
        <v>1771.5360000000001</v>
      </c>
      <c r="V19" s="30"/>
      <c r="W19" s="30">
        <f t="shared" si="6"/>
        <v>2362.0480000000002</v>
      </c>
      <c r="X19" s="30"/>
      <c r="Y19" s="30">
        <v>454</v>
      </c>
      <c r="Z19" s="30"/>
      <c r="AA19" s="30">
        <f t="shared" si="7"/>
        <v>12069.584000000001</v>
      </c>
      <c r="AC19" s="29">
        <f>28.39*2080</f>
        <v>59051.200000000004</v>
      </c>
      <c r="AD19" s="29"/>
      <c r="AF19" s="7" t="s">
        <v>175</v>
      </c>
      <c r="AG19" s="1" t="s">
        <v>16</v>
      </c>
    </row>
    <row r="20" spans="1:201">
      <c r="B20" s="28">
        <v>11</v>
      </c>
      <c r="C20" s="6" t="s">
        <v>38</v>
      </c>
      <c r="D20" s="6" t="s">
        <v>39</v>
      </c>
      <c r="E20" s="6" t="s">
        <v>40</v>
      </c>
      <c r="F20" s="6" t="s">
        <v>188</v>
      </c>
      <c r="G20" s="29">
        <f t="shared" si="0"/>
        <v>94950.959999999992</v>
      </c>
      <c r="H20" s="30"/>
      <c r="I20" s="30">
        <f t="shared" si="8"/>
        <v>103755.47766791999</v>
      </c>
      <c r="J20" s="30"/>
      <c r="K20" s="30">
        <f t="shared" si="1"/>
        <v>7263.7484399999994</v>
      </c>
      <c r="L20" s="30"/>
      <c r="M20" s="30">
        <f t="shared" si="2"/>
        <v>56</v>
      </c>
      <c r="N20" s="30"/>
      <c r="O20" s="29">
        <f t="shared" si="3"/>
        <v>1154.55</v>
      </c>
      <c r="P20" s="30"/>
      <c r="Q20" s="30">
        <f t="shared" si="4"/>
        <v>8474.2984399999987</v>
      </c>
      <c r="R20" s="30"/>
      <c r="S20" s="30">
        <v>7482</v>
      </c>
      <c r="T20" s="30"/>
      <c r="U20" s="30">
        <f t="shared" si="5"/>
        <v>2848.5287999999996</v>
      </c>
      <c r="V20" s="30"/>
      <c r="W20" s="30">
        <f t="shared" si="6"/>
        <v>3798.0383999999999</v>
      </c>
      <c r="X20" s="30"/>
      <c r="Y20" s="30">
        <v>454</v>
      </c>
      <c r="Z20" s="30"/>
      <c r="AA20" s="30">
        <f t="shared" si="7"/>
        <v>14582.5672</v>
      </c>
      <c r="AC20" s="29">
        <f>3956.29*24</f>
        <v>94950.959999999992</v>
      </c>
      <c r="AD20" s="30"/>
      <c r="AF20" s="7" t="s">
        <v>7</v>
      </c>
    </row>
    <row r="21" spans="1:201" ht="15" customHeight="1">
      <c r="B21" s="28">
        <v>12</v>
      </c>
      <c r="C21" s="3" t="s">
        <v>123</v>
      </c>
      <c r="D21" s="3" t="s">
        <v>124</v>
      </c>
      <c r="E21" s="3" t="s">
        <v>127</v>
      </c>
      <c r="F21" s="3" t="s">
        <v>189</v>
      </c>
      <c r="G21" s="29">
        <f t="shared" si="0"/>
        <v>70000.08</v>
      </c>
      <c r="H21" s="30"/>
      <c r="I21" s="30">
        <f t="shared" si="8"/>
        <v>76490.977418160008</v>
      </c>
      <c r="J21" s="30"/>
      <c r="K21" s="30">
        <f t="shared" si="1"/>
        <v>5355.00612</v>
      </c>
      <c r="L21" s="30"/>
      <c r="M21" s="30">
        <f t="shared" si="2"/>
        <v>56</v>
      </c>
      <c r="N21" s="30"/>
      <c r="O21" s="29">
        <f t="shared" si="3"/>
        <v>1154.55</v>
      </c>
      <c r="P21" s="30"/>
      <c r="Q21" s="30">
        <f t="shared" si="4"/>
        <v>6565.5561200000002</v>
      </c>
      <c r="R21" s="30"/>
      <c r="S21" s="30">
        <v>7482</v>
      </c>
      <c r="T21" s="30"/>
      <c r="U21" s="30">
        <f t="shared" si="5"/>
        <v>2100.0023999999999</v>
      </c>
      <c r="V21" s="30"/>
      <c r="W21" s="30">
        <f t="shared" si="6"/>
        <v>2800.0032000000001</v>
      </c>
      <c r="X21" s="30"/>
      <c r="Y21" s="30">
        <v>454</v>
      </c>
      <c r="Z21" s="30"/>
      <c r="AA21" s="30">
        <f t="shared" si="7"/>
        <v>12836.0056</v>
      </c>
      <c r="AC21" s="29">
        <f>2916.67*24</f>
        <v>70000.08</v>
      </c>
      <c r="AD21" s="30"/>
      <c r="AF21" s="1" t="s">
        <v>7</v>
      </c>
    </row>
    <row r="22" spans="1:201">
      <c r="B22" s="28">
        <v>13</v>
      </c>
      <c r="C22" s="1" t="s">
        <v>166</v>
      </c>
      <c r="D22" s="1" t="s">
        <v>165</v>
      </c>
      <c r="E22" s="1" t="s">
        <v>31</v>
      </c>
      <c r="F22" s="1" t="s">
        <v>190</v>
      </c>
      <c r="G22" s="29">
        <f t="shared" si="0"/>
        <v>47313.36</v>
      </c>
      <c r="I22" s="30">
        <f t="shared" si="8"/>
        <v>51700.585932720001</v>
      </c>
      <c r="K22" s="30">
        <f t="shared" si="1"/>
        <v>3619.4720400000001</v>
      </c>
      <c r="L22" s="30"/>
      <c r="M22" s="30">
        <f t="shared" si="2"/>
        <v>56</v>
      </c>
      <c r="N22" s="30"/>
      <c r="O22" s="29">
        <f t="shared" si="3"/>
        <v>1154.55</v>
      </c>
      <c r="P22" s="30"/>
      <c r="Q22" s="30">
        <f t="shared" si="4"/>
        <v>4830.0220399999998</v>
      </c>
      <c r="R22" s="30"/>
      <c r="S22" s="30">
        <v>7482</v>
      </c>
      <c r="T22" s="30"/>
      <c r="U22" s="30">
        <f t="shared" si="5"/>
        <v>1419.4007999999999</v>
      </c>
      <c r="V22" s="30"/>
      <c r="W22" s="30">
        <f t="shared" si="6"/>
        <v>1892.5344</v>
      </c>
      <c r="X22" s="30"/>
      <c r="Y22" s="30">
        <v>454</v>
      </c>
      <c r="Z22" s="30"/>
      <c r="AA22" s="30">
        <f t="shared" si="7"/>
        <v>11247.9352</v>
      </c>
      <c r="AC22" s="29">
        <f>1971.39*24</f>
        <v>47313.36</v>
      </c>
      <c r="AF22" s="1" t="s">
        <v>7</v>
      </c>
    </row>
    <row r="23" spans="1:201">
      <c r="B23" s="28">
        <v>14</v>
      </c>
      <c r="C23" s="3" t="s">
        <v>159</v>
      </c>
      <c r="D23" s="3" t="s">
        <v>160</v>
      </c>
      <c r="E23" s="3" t="s">
        <v>161</v>
      </c>
      <c r="F23" s="3" t="s">
        <v>191</v>
      </c>
      <c r="G23" s="29">
        <f t="shared" si="0"/>
        <v>45999.840000000004</v>
      </c>
      <c r="H23" s="30"/>
      <c r="I23" s="30">
        <f t="shared" si="8"/>
        <v>50265.267163680008</v>
      </c>
      <c r="J23" s="30"/>
      <c r="K23" s="30">
        <f t="shared" si="1"/>
        <v>3518.9877600000004</v>
      </c>
      <c r="L23" s="30"/>
      <c r="M23" s="30">
        <f t="shared" si="2"/>
        <v>56</v>
      </c>
      <c r="N23" s="30"/>
      <c r="O23" s="29">
        <f t="shared" si="3"/>
        <v>1154.55</v>
      </c>
      <c r="P23" s="30"/>
      <c r="Q23" s="30">
        <f t="shared" si="4"/>
        <v>4729.5377600000002</v>
      </c>
      <c r="R23" s="30"/>
      <c r="S23" s="30">
        <v>7482</v>
      </c>
      <c r="T23" s="30"/>
      <c r="U23" s="30">
        <f t="shared" si="5"/>
        <v>1379.9952000000001</v>
      </c>
      <c r="V23" s="30"/>
      <c r="W23" s="30">
        <f t="shared" si="6"/>
        <v>1839.9936000000002</v>
      </c>
      <c r="X23" s="30"/>
      <c r="Y23" s="30">
        <v>454</v>
      </c>
      <c r="Z23" s="30"/>
      <c r="AA23" s="30">
        <f t="shared" si="7"/>
        <v>11155.988799999999</v>
      </c>
      <c r="AC23" s="29">
        <f>1916.66*24</f>
        <v>45999.840000000004</v>
      </c>
      <c r="AD23" s="30"/>
      <c r="AF23" s="1" t="s">
        <v>7</v>
      </c>
    </row>
    <row r="24" spans="1:201">
      <c r="B24" s="28">
        <v>15</v>
      </c>
      <c r="C24" s="6" t="s">
        <v>47</v>
      </c>
      <c r="D24" s="6" t="s">
        <v>44</v>
      </c>
      <c r="E24" s="6" t="s">
        <v>46</v>
      </c>
      <c r="F24" s="6" t="s">
        <v>192</v>
      </c>
      <c r="G24" s="29">
        <f t="shared" si="0"/>
        <v>240000</v>
      </c>
      <c r="H24" s="30"/>
      <c r="I24" s="30">
        <f t="shared" si="8"/>
        <v>262254.48</v>
      </c>
      <c r="J24" s="30"/>
      <c r="K24" s="30">
        <f t="shared" si="1"/>
        <v>10306.199999999999</v>
      </c>
      <c r="L24" s="30"/>
      <c r="M24" s="30">
        <f t="shared" si="2"/>
        <v>56</v>
      </c>
      <c r="N24" s="30"/>
      <c r="O24" s="29">
        <f t="shared" si="3"/>
        <v>1154.55</v>
      </c>
      <c r="P24" s="30"/>
      <c r="Q24" s="30">
        <f t="shared" si="4"/>
        <v>11516.749999999998</v>
      </c>
      <c r="R24" s="30"/>
      <c r="S24" s="30">
        <v>7482</v>
      </c>
      <c r="T24" s="30"/>
      <c r="U24" s="30">
        <f t="shared" si="5"/>
        <v>7200</v>
      </c>
      <c r="V24" s="30"/>
      <c r="W24" s="30">
        <f t="shared" si="6"/>
        <v>9600</v>
      </c>
      <c r="X24" s="30"/>
      <c r="Y24" s="30">
        <v>454</v>
      </c>
      <c r="Z24" s="30"/>
      <c r="AA24" s="30">
        <f t="shared" si="7"/>
        <v>24736</v>
      </c>
      <c r="AC24" s="29">
        <f>10000*24</f>
        <v>240000</v>
      </c>
      <c r="AD24" s="30"/>
      <c r="AF24" s="7" t="s">
        <v>7</v>
      </c>
    </row>
    <row r="25" spans="1:201">
      <c r="B25" s="28">
        <v>16</v>
      </c>
      <c r="C25" s="3" t="s">
        <v>57</v>
      </c>
      <c r="D25" s="3" t="s">
        <v>58</v>
      </c>
      <c r="E25" s="3" t="s">
        <v>59</v>
      </c>
      <c r="F25" s="3" t="s">
        <v>193</v>
      </c>
      <c r="G25" s="29">
        <f t="shared" si="0"/>
        <v>235000.56</v>
      </c>
      <c r="H25" s="30"/>
      <c r="I25" s="30">
        <f t="shared" si="8"/>
        <v>256791.45692711999</v>
      </c>
      <c r="J25" s="30"/>
      <c r="K25" s="30">
        <f t="shared" si="1"/>
        <v>10233.708119999999</v>
      </c>
      <c r="L25" s="30"/>
      <c r="M25" s="30">
        <f t="shared" si="2"/>
        <v>56</v>
      </c>
      <c r="N25" s="30"/>
      <c r="O25" s="29">
        <f t="shared" si="3"/>
        <v>1154.55</v>
      </c>
      <c r="P25" s="30"/>
      <c r="Q25" s="30">
        <f t="shared" si="4"/>
        <v>11444.258119999999</v>
      </c>
      <c r="R25" s="30"/>
      <c r="S25" s="30">
        <v>7482</v>
      </c>
      <c r="T25" s="30"/>
      <c r="U25" s="30">
        <f t="shared" si="5"/>
        <v>7050.0167999999994</v>
      </c>
      <c r="V25" s="30"/>
      <c r="W25" s="30">
        <f t="shared" si="6"/>
        <v>9400.0223999999998</v>
      </c>
      <c r="X25" s="30"/>
      <c r="Y25" s="30">
        <v>454</v>
      </c>
      <c r="Z25" s="30"/>
      <c r="AA25" s="30">
        <f t="shared" si="7"/>
        <v>24386.039199999999</v>
      </c>
      <c r="AC25" s="29">
        <f>9791.69*24</f>
        <v>235000.56</v>
      </c>
      <c r="AD25" s="30"/>
      <c r="AF25" s="7" t="s">
        <v>7</v>
      </c>
    </row>
    <row r="26" spans="1:201">
      <c r="A26" s="8"/>
      <c r="B26" s="28">
        <v>17</v>
      </c>
      <c r="C26" s="6" t="s">
        <v>48</v>
      </c>
      <c r="D26" s="6" t="s">
        <v>49</v>
      </c>
      <c r="E26" s="3" t="s">
        <v>50</v>
      </c>
      <c r="F26" s="3" t="s">
        <v>194</v>
      </c>
      <c r="G26" s="29">
        <f t="shared" si="0"/>
        <v>57925.680000000008</v>
      </c>
      <c r="H26" s="30"/>
      <c r="I26" s="30">
        <f t="shared" si="8"/>
        <v>63296.954529360009</v>
      </c>
      <c r="J26" s="30"/>
      <c r="K26" s="30">
        <f t="shared" si="1"/>
        <v>4431.3145200000008</v>
      </c>
      <c r="L26" s="30"/>
      <c r="M26" s="30">
        <f t="shared" si="2"/>
        <v>56</v>
      </c>
      <c r="N26" s="30"/>
      <c r="O26" s="29">
        <f t="shared" si="3"/>
        <v>1154.55</v>
      </c>
      <c r="P26" s="30"/>
      <c r="Q26" s="30">
        <f t="shared" si="4"/>
        <v>5641.864520000001</v>
      </c>
      <c r="R26" s="30"/>
      <c r="S26" s="30">
        <v>7482</v>
      </c>
      <c r="T26" s="30"/>
      <c r="U26" s="30">
        <f t="shared" si="5"/>
        <v>1737.7704000000001</v>
      </c>
      <c r="V26" s="30"/>
      <c r="W26" s="30">
        <f t="shared" si="6"/>
        <v>2317.0272000000004</v>
      </c>
      <c r="X26" s="30"/>
      <c r="Y26" s="30">
        <v>454</v>
      </c>
      <c r="Z26" s="30"/>
      <c r="AA26" s="30">
        <f t="shared" si="7"/>
        <v>11990.7976</v>
      </c>
      <c r="AC26" s="29">
        <f>2413.57*24</f>
        <v>57925.680000000008</v>
      </c>
      <c r="AD26" s="30"/>
      <c r="AE26" s="8"/>
      <c r="AF26" s="7" t="s">
        <v>7</v>
      </c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</row>
    <row r="27" spans="1:201">
      <c r="B27" s="28">
        <v>18</v>
      </c>
      <c r="C27" s="6" t="s">
        <v>51</v>
      </c>
      <c r="D27" s="6" t="s">
        <v>52</v>
      </c>
      <c r="E27" s="6" t="s">
        <v>53</v>
      </c>
      <c r="F27" s="6" t="s">
        <v>195</v>
      </c>
      <c r="G27" s="29">
        <f t="shared" si="0"/>
        <v>107493.84</v>
      </c>
      <c r="H27" s="30"/>
      <c r="I27" s="30">
        <f t="shared" si="8"/>
        <v>117461.42130167999</v>
      </c>
      <c r="J27" s="30"/>
      <c r="K27" s="30">
        <f t="shared" si="1"/>
        <v>8223.2787599999992</v>
      </c>
      <c r="L27" s="30"/>
      <c r="M27" s="30">
        <f t="shared" si="2"/>
        <v>56</v>
      </c>
      <c r="N27" s="30"/>
      <c r="O27" s="29">
        <f t="shared" si="3"/>
        <v>1154.55</v>
      </c>
      <c r="P27" s="30"/>
      <c r="Q27" s="30">
        <f t="shared" si="4"/>
        <v>9433.8287599999985</v>
      </c>
      <c r="R27" s="30"/>
      <c r="S27" s="30">
        <v>7482</v>
      </c>
      <c r="T27" s="30"/>
      <c r="U27" s="30">
        <f t="shared" si="5"/>
        <v>3224.8151999999995</v>
      </c>
      <c r="V27" s="30"/>
      <c r="W27" s="30">
        <f t="shared" si="6"/>
        <v>4299.7536</v>
      </c>
      <c r="X27" s="30"/>
      <c r="Y27" s="30">
        <v>454</v>
      </c>
      <c r="Z27" s="30"/>
      <c r="AA27" s="30">
        <f t="shared" si="7"/>
        <v>15460.568799999999</v>
      </c>
      <c r="AC27" s="29">
        <f>4478.91*24</f>
        <v>107493.84</v>
      </c>
      <c r="AD27" s="30"/>
      <c r="AF27" s="7" t="s">
        <v>7</v>
      </c>
    </row>
    <row r="28" spans="1:201">
      <c r="B28" s="28">
        <v>19</v>
      </c>
      <c r="C28" s="6" t="s">
        <v>55</v>
      </c>
      <c r="D28" s="6" t="s">
        <v>56</v>
      </c>
      <c r="E28" s="6" t="s">
        <v>54</v>
      </c>
      <c r="F28" s="6" t="s">
        <v>196</v>
      </c>
      <c r="G28" s="29">
        <f t="shared" si="0"/>
        <v>76246.319999999992</v>
      </c>
      <c r="H28" s="30"/>
      <c r="I28" s="30">
        <f t="shared" si="8"/>
        <v>83316.412514639989</v>
      </c>
      <c r="J28" s="30"/>
      <c r="K28" s="30">
        <f t="shared" si="1"/>
        <v>5832.8434799999995</v>
      </c>
      <c r="L28" s="30"/>
      <c r="M28" s="30">
        <f t="shared" si="2"/>
        <v>56</v>
      </c>
      <c r="N28" s="30"/>
      <c r="O28" s="29">
        <f t="shared" si="3"/>
        <v>1154.55</v>
      </c>
      <c r="P28" s="30"/>
      <c r="Q28" s="30">
        <f t="shared" si="4"/>
        <v>7043.3934799999997</v>
      </c>
      <c r="R28" s="30"/>
      <c r="S28" s="30">
        <v>7482</v>
      </c>
      <c r="T28" s="30"/>
      <c r="U28" s="30">
        <f t="shared" si="5"/>
        <v>2287.3895999999995</v>
      </c>
      <c r="V28" s="30"/>
      <c r="W28" s="30">
        <f t="shared" si="6"/>
        <v>3049.8527999999997</v>
      </c>
      <c r="X28" s="30"/>
      <c r="Y28" s="30">
        <v>454</v>
      </c>
      <c r="Z28" s="30"/>
      <c r="AA28" s="30">
        <f t="shared" si="7"/>
        <v>13273.242399999999</v>
      </c>
      <c r="AC28" s="29">
        <f>3176.93*24</f>
        <v>76246.319999999992</v>
      </c>
      <c r="AD28" s="30"/>
      <c r="AF28" s="7" t="s">
        <v>7</v>
      </c>
    </row>
    <row r="29" spans="1:201">
      <c r="B29" s="28">
        <v>20</v>
      </c>
      <c r="C29" s="3" t="s">
        <v>65</v>
      </c>
      <c r="D29" s="3" t="s">
        <v>66</v>
      </c>
      <c r="E29" s="6" t="s">
        <v>67</v>
      </c>
      <c r="F29" s="6" t="s">
        <v>197</v>
      </c>
      <c r="G29" s="29">
        <f t="shared" si="0"/>
        <v>57855.600000000006</v>
      </c>
      <c r="H29" s="30"/>
      <c r="I29" s="30">
        <f t="shared" si="8"/>
        <v>63220.376221200007</v>
      </c>
      <c r="J29" s="30"/>
      <c r="K29" s="30">
        <f t="shared" si="1"/>
        <v>4425.9534000000003</v>
      </c>
      <c r="L29" s="30"/>
      <c r="M29" s="30">
        <f t="shared" si="2"/>
        <v>56</v>
      </c>
      <c r="N29" s="30"/>
      <c r="O29" s="29">
        <f t="shared" si="3"/>
        <v>1154.55</v>
      </c>
      <c r="P29" s="30"/>
      <c r="Q29" s="30">
        <f t="shared" si="4"/>
        <v>5636.5034000000005</v>
      </c>
      <c r="R29" s="30"/>
      <c r="S29" s="30">
        <v>7482</v>
      </c>
      <c r="T29" s="30"/>
      <c r="U29" s="30">
        <f t="shared" si="5"/>
        <v>1735.6680000000001</v>
      </c>
      <c r="V29" s="30"/>
      <c r="W29" s="30">
        <f t="shared" si="6"/>
        <v>2314.2240000000002</v>
      </c>
      <c r="X29" s="30"/>
      <c r="Y29" s="30">
        <v>454</v>
      </c>
      <c r="Z29" s="30"/>
      <c r="AA29" s="30">
        <f t="shared" si="7"/>
        <v>11985.892</v>
      </c>
      <c r="AC29" s="29">
        <f>2410.65*24</f>
        <v>57855.600000000006</v>
      </c>
      <c r="AD29" s="30"/>
      <c r="AF29" s="7" t="s">
        <v>7</v>
      </c>
    </row>
    <row r="30" spans="1:201">
      <c r="B30" s="28">
        <v>21</v>
      </c>
      <c r="C30" s="3" t="s">
        <v>167</v>
      </c>
      <c r="D30" s="3" t="s">
        <v>168</v>
      </c>
      <c r="E30" s="6" t="s">
        <v>67</v>
      </c>
      <c r="F30" s="6" t="s">
        <v>198</v>
      </c>
      <c r="G30" s="29">
        <f t="shared" si="0"/>
        <v>70000.08</v>
      </c>
      <c r="H30" s="30"/>
      <c r="I30" s="30">
        <f t="shared" si="8"/>
        <v>76490.977418160008</v>
      </c>
      <c r="J30" s="30"/>
      <c r="K30" s="30">
        <f t="shared" si="1"/>
        <v>5355.00612</v>
      </c>
      <c r="L30" s="30"/>
      <c r="M30" s="30">
        <f t="shared" si="2"/>
        <v>56</v>
      </c>
      <c r="N30" s="30"/>
      <c r="O30" s="29">
        <f t="shared" si="3"/>
        <v>1154.55</v>
      </c>
      <c r="P30" s="30"/>
      <c r="Q30" s="30">
        <f t="shared" si="4"/>
        <v>6565.5561200000002</v>
      </c>
      <c r="R30" s="30"/>
      <c r="S30" s="30">
        <v>7482</v>
      </c>
      <c r="T30" s="30"/>
      <c r="U30" s="30">
        <f t="shared" si="5"/>
        <v>2100.0023999999999</v>
      </c>
      <c r="V30" s="30"/>
      <c r="W30" s="30">
        <f t="shared" si="6"/>
        <v>2800.0032000000001</v>
      </c>
      <c r="X30" s="30"/>
      <c r="Y30" s="30">
        <v>454</v>
      </c>
      <c r="Z30" s="30"/>
      <c r="AA30" s="30">
        <f t="shared" si="7"/>
        <v>12836.0056</v>
      </c>
      <c r="AC30" s="29">
        <f>2916.67*24</f>
        <v>70000.08</v>
      </c>
      <c r="AD30" s="30"/>
      <c r="AF30" s="1" t="s">
        <v>7</v>
      </c>
    </row>
    <row r="31" spans="1:201">
      <c r="B31" s="28">
        <v>22</v>
      </c>
      <c r="C31" s="3" t="s">
        <v>130</v>
      </c>
      <c r="D31" s="3" t="s">
        <v>131</v>
      </c>
      <c r="E31" s="3" t="s">
        <v>129</v>
      </c>
      <c r="F31" s="3" t="s">
        <v>199</v>
      </c>
      <c r="G31" s="29">
        <f t="shared" si="0"/>
        <v>175048.56</v>
      </c>
      <c r="H31" s="30"/>
      <c r="I31" s="30">
        <f t="shared" si="8"/>
        <v>191280.28782311999</v>
      </c>
      <c r="J31" s="30"/>
      <c r="K31" s="30">
        <f t="shared" si="1"/>
        <v>9364.4041199999992</v>
      </c>
      <c r="L31" s="30"/>
      <c r="M31" s="30">
        <f t="shared" si="2"/>
        <v>56</v>
      </c>
      <c r="N31" s="30"/>
      <c r="O31" s="29">
        <f t="shared" si="3"/>
        <v>1154.55</v>
      </c>
      <c r="P31" s="30"/>
      <c r="Q31" s="30">
        <f t="shared" si="4"/>
        <v>10574.954119999999</v>
      </c>
      <c r="R31" s="30"/>
      <c r="S31" s="30">
        <v>7482</v>
      </c>
      <c r="T31" s="30"/>
      <c r="U31" s="30">
        <f t="shared" si="5"/>
        <v>5251.4567999999999</v>
      </c>
      <c r="V31" s="30"/>
      <c r="W31" s="30">
        <f t="shared" si="6"/>
        <v>7001.9423999999999</v>
      </c>
      <c r="X31" s="30"/>
      <c r="Y31" s="30">
        <v>454</v>
      </c>
      <c r="Z31" s="30"/>
      <c r="AA31" s="30">
        <f t="shared" si="7"/>
        <v>20189.3992</v>
      </c>
      <c r="AC31" s="29">
        <f>7293.69*24</f>
        <v>175048.56</v>
      </c>
      <c r="AD31" s="30"/>
      <c r="AF31" s="1" t="s">
        <v>7</v>
      </c>
    </row>
    <row r="32" spans="1:201">
      <c r="B32" s="28">
        <v>23</v>
      </c>
      <c r="C32" s="3" t="s">
        <v>82</v>
      </c>
      <c r="D32" s="3" t="s">
        <v>83</v>
      </c>
      <c r="E32" s="6" t="s">
        <v>85</v>
      </c>
      <c r="F32" s="6" t="s">
        <v>200</v>
      </c>
      <c r="G32" s="29">
        <f t="shared" si="0"/>
        <v>53268.799999999996</v>
      </c>
      <c r="H32" s="30"/>
      <c r="I32" s="30">
        <f t="shared" si="8"/>
        <v>58208.256017599997</v>
      </c>
      <c r="J32" s="30"/>
      <c r="K32" s="30">
        <f t="shared" si="1"/>
        <v>4075.0631999999996</v>
      </c>
      <c r="L32" s="30"/>
      <c r="M32" s="30">
        <f t="shared" si="2"/>
        <v>56</v>
      </c>
      <c r="N32" s="30"/>
      <c r="O32" s="29">
        <f t="shared" si="3"/>
        <v>1154.55</v>
      </c>
      <c r="P32" s="30"/>
      <c r="Q32" s="30">
        <f t="shared" si="4"/>
        <v>5285.6131999999998</v>
      </c>
      <c r="R32" s="30"/>
      <c r="S32" s="30">
        <v>7482</v>
      </c>
      <c r="T32" s="30"/>
      <c r="U32" s="30">
        <f t="shared" si="5"/>
        <v>1598.0639999999999</v>
      </c>
      <c r="V32" s="30"/>
      <c r="W32" s="30">
        <f t="shared" si="6"/>
        <v>2130.752</v>
      </c>
      <c r="X32" s="30"/>
      <c r="Y32" s="30">
        <v>454</v>
      </c>
      <c r="Z32" s="30"/>
      <c r="AA32" s="30">
        <f t="shared" si="7"/>
        <v>11664.816000000001</v>
      </c>
      <c r="AC32" s="29">
        <f>25.61*2080</f>
        <v>53268.799999999996</v>
      </c>
      <c r="AD32" s="29"/>
      <c r="AF32" s="7" t="s">
        <v>175</v>
      </c>
    </row>
    <row r="33" spans="2:32">
      <c r="B33" s="28">
        <v>24</v>
      </c>
      <c r="C33" s="3" t="s">
        <v>82</v>
      </c>
      <c r="D33" s="3" t="s">
        <v>84</v>
      </c>
      <c r="E33" s="6" t="s">
        <v>85</v>
      </c>
      <c r="F33" s="6" t="s">
        <v>201</v>
      </c>
      <c r="G33" s="29">
        <f t="shared" si="0"/>
        <v>46529.599999999999</v>
      </c>
      <c r="H33" s="30"/>
      <c r="I33" s="30">
        <f t="shared" si="8"/>
        <v>50844.150219199997</v>
      </c>
      <c r="J33" s="30"/>
      <c r="K33" s="30">
        <f t="shared" si="1"/>
        <v>3559.5144</v>
      </c>
      <c r="L33" s="30"/>
      <c r="M33" s="30">
        <f t="shared" si="2"/>
        <v>56</v>
      </c>
      <c r="N33" s="30"/>
      <c r="O33" s="29">
        <f t="shared" si="3"/>
        <v>1154.55</v>
      </c>
      <c r="P33" s="30"/>
      <c r="Q33" s="30">
        <f t="shared" si="4"/>
        <v>4770.0644000000002</v>
      </c>
      <c r="R33" s="30"/>
      <c r="S33" s="30">
        <v>7482</v>
      </c>
      <c r="T33" s="30"/>
      <c r="U33" s="30">
        <f t="shared" si="5"/>
        <v>1395.8879999999999</v>
      </c>
      <c r="V33" s="30"/>
      <c r="W33" s="30">
        <f t="shared" si="6"/>
        <v>1861.184</v>
      </c>
      <c r="X33" s="30"/>
      <c r="Y33" s="30">
        <v>454</v>
      </c>
      <c r="Z33" s="30"/>
      <c r="AA33" s="30">
        <f t="shared" si="7"/>
        <v>11193.071999999998</v>
      </c>
      <c r="AC33" s="29">
        <f>22.37*2080</f>
        <v>46529.599999999999</v>
      </c>
      <c r="AD33" s="29"/>
      <c r="AF33" s="7" t="s">
        <v>175</v>
      </c>
    </row>
    <row r="34" spans="2:32">
      <c r="B34" s="28">
        <v>25</v>
      </c>
      <c r="C34" s="3" t="s">
        <v>152</v>
      </c>
      <c r="D34" s="3" t="s">
        <v>153</v>
      </c>
      <c r="E34" s="3" t="s">
        <v>145</v>
      </c>
      <c r="F34" s="3" t="s">
        <v>202</v>
      </c>
      <c r="G34" s="29">
        <f t="shared" si="0"/>
        <v>48000</v>
      </c>
      <c r="H34" s="30"/>
      <c r="I34" s="30">
        <f t="shared" si="8"/>
        <v>52450.896000000001</v>
      </c>
      <c r="J34" s="30"/>
      <c r="K34" s="30">
        <f t="shared" si="1"/>
        <v>3672</v>
      </c>
      <c r="L34" s="30"/>
      <c r="M34" s="30">
        <f t="shared" si="2"/>
        <v>56</v>
      </c>
      <c r="N34" s="30"/>
      <c r="O34" s="29">
        <f t="shared" si="3"/>
        <v>1154.55</v>
      </c>
      <c r="P34" s="30"/>
      <c r="Q34" s="30">
        <f t="shared" si="4"/>
        <v>4882.55</v>
      </c>
      <c r="R34" s="30"/>
      <c r="S34" s="30">
        <v>7482</v>
      </c>
      <c r="T34" s="30"/>
      <c r="U34" s="30">
        <f t="shared" si="5"/>
        <v>1440</v>
      </c>
      <c r="V34" s="30"/>
      <c r="W34" s="30">
        <f t="shared" si="6"/>
        <v>1920</v>
      </c>
      <c r="X34" s="30"/>
      <c r="Y34" s="30">
        <v>454</v>
      </c>
      <c r="Z34" s="30"/>
      <c r="AA34" s="30">
        <f t="shared" si="7"/>
        <v>11296</v>
      </c>
      <c r="AC34" s="29">
        <f>2000*24</f>
        <v>48000</v>
      </c>
      <c r="AD34" s="30"/>
      <c r="AF34" s="1" t="s">
        <v>7</v>
      </c>
    </row>
    <row r="35" spans="2:32">
      <c r="B35" s="28">
        <v>26</v>
      </c>
      <c r="C35" s="3" t="s">
        <v>91</v>
      </c>
      <c r="D35" s="3" t="s">
        <v>92</v>
      </c>
      <c r="E35" s="6" t="s">
        <v>40</v>
      </c>
      <c r="F35" s="6" t="s">
        <v>203</v>
      </c>
      <c r="G35" s="29">
        <f t="shared" si="0"/>
        <v>97392.48</v>
      </c>
      <c r="H35" s="30"/>
      <c r="I35" s="30">
        <f t="shared" si="8"/>
        <v>106423.39249295999</v>
      </c>
      <c r="J35" s="30"/>
      <c r="K35" s="30">
        <f t="shared" si="1"/>
        <v>7450.5247199999994</v>
      </c>
      <c r="L35" s="30"/>
      <c r="M35" s="30">
        <f t="shared" si="2"/>
        <v>56</v>
      </c>
      <c r="N35" s="30"/>
      <c r="O35" s="29">
        <f t="shared" si="3"/>
        <v>1154.55</v>
      </c>
      <c r="P35" s="30"/>
      <c r="Q35" s="30">
        <f t="shared" si="4"/>
        <v>8661.0747199999987</v>
      </c>
      <c r="R35" s="30"/>
      <c r="S35" s="30">
        <v>7482</v>
      </c>
      <c r="T35" s="30"/>
      <c r="U35" s="30">
        <f t="shared" si="5"/>
        <v>2921.7743999999998</v>
      </c>
      <c r="V35" s="30"/>
      <c r="W35" s="30">
        <f t="shared" si="6"/>
        <v>3895.6992</v>
      </c>
      <c r="X35" s="30"/>
      <c r="Y35" s="30">
        <v>454</v>
      </c>
      <c r="Z35" s="30"/>
      <c r="AA35" s="30">
        <f t="shared" si="7"/>
        <v>14753.473600000001</v>
      </c>
      <c r="AC35" s="29">
        <f>4058.02*24</f>
        <v>97392.48</v>
      </c>
      <c r="AD35" s="30"/>
      <c r="AF35" s="1" t="s">
        <v>7</v>
      </c>
    </row>
    <row r="36" spans="2:32">
      <c r="B36" s="28">
        <v>27</v>
      </c>
      <c r="C36" s="3" t="s">
        <v>143</v>
      </c>
      <c r="D36" s="3" t="s">
        <v>144</v>
      </c>
      <c r="E36" s="3" t="s">
        <v>145</v>
      </c>
      <c r="F36" s="3" t="s">
        <v>204</v>
      </c>
      <c r="G36" s="29">
        <f t="shared" si="0"/>
        <v>54104.639999999999</v>
      </c>
      <c r="H36" s="30"/>
      <c r="I36" s="30">
        <f t="shared" si="8"/>
        <v>59121.600953280002</v>
      </c>
      <c r="J36" s="30"/>
      <c r="K36" s="30">
        <f t="shared" si="1"/>
        <v>4139.0049600000002</v>
      </c>
      <c r="L36" s="30"/>
      <c r="M36" s="30">
        <f t="shared" si="2"/>
        <v>56</v>
      </c>
      <c r="N36" s="30"/>
      <c r="O36" s="29">
        <f t="shared" si="3"/>
        <v>1154.55</v>
      </c>
      <c r="P36" s="30"/>
      <c r="Q36" s="30">
        <f t="shared" si="4"/>
        <v>5349.5549600000004</v>
      </c>
      <c r="R36" s="30"/>
      <c r="S36" s="30">
        <v>7482</v>
      </c>
      <c r="T36" s="30"/>
      <c r="U36" s="30">
        <f t="shared" si="5"/>
        <v>1623.1391999999998</v>
      </c>
      <c r="V36" s="30"/>
      <c r="W36" s="30">
        <f t="shared" si="6"/>
        <v>2164.1855999999998</v>
      </c>
      <c r="X36" s="30"/>
      <c r="Y36" s="30">
        <v>454</v>
      </c>
      <c r="Z36" s="30"/>
      <c r="AA36" s="30">
        <f t="shared" si="7"/>
        <v>11723.324799999999</v>
      </c>
      <c r="AC36" s="29">
        <f>2254.36*24</f>
        <v>54104.639999999999</v>
      </c>
      <c r="AD36" s="30"/>
      <c r="AF36" s="1" t="s">
        <v>7</v>
      </c>
    </row>
    <row r="37" spans="2:32">
      <c r="B37" s="28">
        <v>28</v>
      </c>
      <c r="C37" s="3" t="s">
        <v>96</v>
      </c>
      <c r="D37" s="3" t="s">
        <v>95</v>
      </c>
      <c r="E37" s="6" t="s">
        <v>85</v>
      </c>
      <c r="F37" s="6" t="s">
        <v>205</v>
      </c>
      <c r="G37" s="29">
        <f t="shared" si="0"/>
        <v>44948.799999999996</v>
      </c>
      <c r="H37" s="30"/>
      <c r="I37" s="30">
        <f t="shared" si="8"/>
        <v>49116.767377599994</v>
      </c>
      <c r="J37" s="30"/>
      <c r="K37" s="30">
        <f t="shared" si="1"/>
        <v>3438.5831999999996</v>
      </c>
      <c r="L37" s="30"/>
      <c r="M37" s="30">
        <f t="shared" si="2"/>
        <v>56</v>
      </c>
      <c r="N37" s="30"/>
      <c r="O37" s="29">
        <f t="shared" si="3"/>
        <v>1154.55</v>
      </c>
      <c r="P37" s="30"/>
      <c r="Q37" s="30">
        <f t="shared" si="4"/>
        <v>4649.1331999999993</v>
      </c>
      <c r="R37" s="30"/>
      <c r="S37" s="30">
        <v>7482</v>
      </c>
      <c r="T37" s="30"/>
      <c r="U37" s="30">
        <f t="shared" si="5"/>
        <v>1348.4639999999997</v>
      </c>
      <c r="V37" s="30"/>
      <c r="W37" s="30">
        <f t="shared" si="6"/>
        <v>1797.9519999999998</v>
      </c>
      <c r="X37" s="30"/>
      <c r="Y37" s="30">
        <v>454</v>
      </c>
      <c r="Z37" s="30"/>
      <c r="AA37" s="30">
        <f t="shared" si="7"/>
        <v>11082.415999999999</v>
      </c>
      <c r="AC37" s="29">
        <f>21.61*2080</f>
        <v>44948.799999999996</v>
      </c>
      <c r="AD37" s="29"/>
      <c r="AF37" s="1" t="s">
        <v>175</v>
      </c>
    </row>
    <row r="38" spans="2:32">
      <c r="B38" s="28">
        <v>29</v>
      </c>
      <c r="C38" s="3" t="s">
        <v>41</v>
      </c>
      <c r="D38" s="3" t="s">
        <v>42</v>
      </c>
      <c r="E38" s="6" t="s">
        <v>40</v>
      </c>
      <c r="F38" s="6" t="s">
        <v>206</v>
      </c>
      <c r="G38" s="29">
        <f t="shared" si="0"/>
        <v>74571.600000000006</v>
      </c>
      <c r="H38" s="30"/>
      <c r="I38" s="30">
        <f t="shared" si="8"/>
        <v>81486.400753200011</v>
      </c>
      <c r="J38" s="30"/>
      <c r="K38" s="30">
        <f t="shared" si="1"/>
        <v>5704.7274000000007</v>
      </c>
      <c r="L38" s="30"/>
      <c r="M38" s="30">
        <f t="shared" si="2"/>
        <v>56</v>
      </c>
      <c r="N38" s="30"/>
      <c r="O38" s="29">
        <f t="shared" si="3"/>
        <v>1154.55</v>
      </c>
      <c r="P38" s="30"/>
      <c r="Q38" s="30">
        <f t="shared" si="4"/>
        <v>6915.2774000000009</v>
      </c>
      <c r="R38" s="30"/>
      <c r="S38" s="30">
        <v>7482</v>
      </c>
      <c r="T38" s="30"/>
      <c r="U38" s="30">
        <f t="shared" si="5"/>
        <v>2237.1480000000001</v>
      </c>
      <c r="V38" s="30"/>
      <c r="W38" s="30">
        <f t="shared" si="6"/>
        <v>2982.8640000000005</v>
      </c>
      <c r="X38" s="30"/>
      <c r="Y38" s="30">
        <v>454</v>
      </c>
      <c r="Z38" s="30"/>
      <c r="AA38" s="30">
        <f t="shared" si="7"/>
        <v>13156.012000000002</v>
      </c>
      <c r="AC38" s="29">
        <f>3107.15*24</f>
        <v>74571.600000000006</v>
      </c>
      <c r="AD38" s="30"/>
      <c r="AF38" s="7" t="s">
        <v>7</v>
      </c>
    </row>
    <row r="39" spans="2:32">
      <c r="B39" s="28">
        <v>30</v>
      </c>
      <c r="C39" s="3" t="s">
        <v>135</v>
      </c>
      <c r="D39" s="3" t="s">
        <v>136</v>
      </c>
      <c r="E39" s="6" t="s">
        <v>67</v>
      </c>
      <c r="F39" s="6" t="s">
        <v>207</v>
      </c>
      <c r="G39" s="29">
        <f t="shared" si="0"/>
        <v>62500.08</v>
      </c>
      <c r="H39" s="30"/>
      <c r="I39" s="30">
        <f t="shared" si="8"/>
        <v>68295.524918160008</v>
      </c>
      <c r="J39" s="30"/>
      <c r="K39" s="30">
        <f t="shared" si="1"/>
        <v>4781.25612</v>
      </c>
      <c r="L39" s="30"/>
      <c r="M39" s="30">
        <f t="shared" si="2"/>
        <v>56</v>
      </c>
      <c r="N39" s="30"/>
      <c r="O39" s="29">
        <f t="shared" si="3"/>
        <v>1154.55</v>
      </c>
      <c r="P39" s="30"/>
      <c r="Q39" s="30">
        <f t="shared" si="4"/>
        <v>5991.8061200000002</v>
      </c>
      <c r="R39" s="30"/>
      <c r="S39" s="30">
        <v>7482</v>
      </c>
      <c r="T39" s="30"/>
      <c r="U39" s="30">
        <f t="shared" si="5"/>
        <v>1875.0024000000001</v>
      </c>
      <c r="V39" s="30"/>
      <c r="W39" s="30">
        <f t="shared" si="6"/>
        <v>2500.0032000000001</v>
      </c>
      <c r="X39" s="30"/>
      <c r="Y39" s="30">
        <v>454</v>
      </c>
      <c r="Z39" s="30"/>
      <c r="AA39" s="30">
        <f t="shared" si="7"/>
        <v>12311.0056</v>
      </c>
      <c r="AC39" s="29">
        <f>2604.17*24</f>
        <v>62500.08</v>
      </c>
      <c r="AD39" s="30"/>
      <c r="AF39" s="1" t="s">
        <v>7</v>
      </c>
    </row>
    <row r="40" spans="2:32">
      <c r="B40" s="28">
        <v>31</v>
      </c>
      <c r="C40" s="1" t="s">
        <v>172</v>
      </c>
      <c r="D40" s="1" t="s">
        <v>173</v>
      </c>
      <c r="E40" s="1" t="s">
        <v>171</v>
      </c>
      <c r="F40" s="1" t="s">
        <v>208</v>
      </c>
      <c r="G40" s="29">
        <f t="shared" si="0"/>
        <v>55000.08</v>
      </c>
      <c r="I40" s="30">
        <f t="shared" si="8"/>
        <v>60100.072418160002</v>
      </c>
      <c r="K40" s="30">
        <f t="shared" si="1"/>
        <v>4207.50612</v>
      </c>
      <c r="L40" s="30"/>
      <c r="M40" s="30">
        <f t="shared" si="2"/>
        <v>56</v>
      </c>
      <c r="N40" s="30"/>
      <c r="O40" s="29">
        <f t="shared" si="3"/>
        <v>1154.55</v>
      </c>
      <c r="P40" s="30"/>
      <c r="Q40" s="30">
        <f t="shared" si="4"/>
        <v>5418.0561200000002</v>
      </c>
      <c r="R40" s="30"/>
      <c r="S40" s="30">
        <v>7482</v>
      </c>
      <c r="T40" s="30"/>
      <c r="U40" s="30">
        <f t="shared" si="5"/>
        <v>1650.0024000000001</v>
      </c>
      <c r="V40" s="30"/>
      <c r="W40" s="30">
        <f t="shared" si="6"/>
        <v>2200.0032000000001</v>
      </c>
      <c r="X40" s="30"/>
      <c r="Y40" s="30">
        <v>454</v>
      </c>
      <c r="Z40" s="30"/>
      <c r="AA40" s="30">
        <f t="shared" si="7"/>
        <v>11786.0056</v>
      </c>
      <c r="AC40" s="29">
        <f>2291.67*24</f>
        <v>55000.08</v>
      </c>
      <c r="AF40" s="1" t="s">
        <v>7</v>
      </c>
    </row>
    <row r="41" spans="2:32">
      <c r="B41" s="28">
        <v>32</v>
      </c>
      <c r="C41" s="3" t="s">
        <v>157</v>
      </c>
      <c r="D41" s="3" t="s">
        <v>87</v>
      </c>
      <c r="E41" s="3" t="s">
        <v>158</v>
      </c>
      <c r="F41" s="3" t="s">
        <v>209</v>
      </c>
      <c r="G41" s="29">
        <f t="shared" si="0"/>
        <v>84700.08</v>
      </c>
      <c r="H41" s="30"/>
      <c r="I41" s="30">
        <f t="shared" si="8"/>
        <v>92554.064318160003</v>
      </c>
      <c r="J41" s="30"/>
      <c r="K41" s="30">
        <f t="shared" si="1"/>
        <v>6479.5561200000002</v>
      </c>
      <c r="L41" s="30"/>
      <c r="M41" s="30">
        <f t="shared" si="2"/>
        <v>56</v>
      </c>
      <c r="N41" s="30"/>
      <c r="O41" s="29">
        <f t="shared" si="3"/>
        <v>1154.55</v>
      </c>
      <c r="P41" s="30"/>
      <c r="Q41" s="30">
        <f t="shared" si="4"/>
        <v>7690.1061200000004</v>
      </c>
      <c r="R41" s="30"/>
      <c r="S41" s="30">
        <v>7482</v>
      </c>
      <c r="T41" s="30"/>
      <c r="U41" s="30">
        <f t="shared" si="5"/>
        <v>2541.0023999999999</v>
      </c>
      <c r="V41" s="30"/>
      <c r="W41" s="30">
        <f t="shared" si="6"/>
        <v>3388.0032000000001</v>
      </c>
      <c r="X41" s="30"/>
      <c r="Y41" s="30">
        <v>454</v>
      </c>
      <c r="Z41" s="30"/>
      <c r="AA41" s="30">
        <f t="shared" si="7"/>
        <v>13865.0056</v>
      </c>
      <c r="AC41" s="29">
        <f>3529.17*24</f>
        <v>84700.08</v>
      </c>
      <c r="AD41" s="30"/>
      <c r="AF41" s="1" t="s">
        <v>7</v>
      </c>
    </row>
    <row r="42" spans="2:32">
      <c r="B42" s="28">
        <v>33</v>
      </c>
      <c r="C42" s="3" t="s">
        <v>62</v>
      </c>
      <c r="D42" s="3" t="s">
        <v>63</v>
      </c>
      <c r="E42" s="3" t="s">
        <v>64</v>
      </c>
      <c r="F42" s="3" t="s">
        <v>210</v>
      </c>
      <c r="G42" s="29">
        <f t="shared" ref="G42:G66" si="9">AC42</f>
        <v>40000.080000000002</v>
      </c>
      <c r="H42" s="30"/>
      <c r="I42" s="30">
        <f t="shared" si="8"/>
        <v>43709.167418160003</v>
      </c>
      <c r="J42" s="30"/>
      <c r="K42" s="30">
        <f t="shared" ref="K42:K66" si="10">IF(G42&lt;110100, G42*7.65%, 110100*6.2%+G42*1.45%)</f>
        <v>3060.00612</v>
      </c>
      <c r="L42" s="30"/>
      <c r="M42" s="30">
        <f t="shared" ref="M42:M66" si="11">7000*0.008</f>
        <v>56</v>
      </c>
      <c r="N42" s="30"/>
      <c r="O42" s="29">
        <f t="shared" ref="O42:O66" si="12">12900*8.95%</f>
        <v>1154.55</v>
      </c>
      <c r="P42" s="30"/>
      <c r="Q42" s="30">
        <f t="shared" ref="Q42:Q66" si="13">+K42+M42+O42</f>
        <v>4270.5561200000002</v>
      </c>
      <c r="R42" s="30"/>
      <c r="S42" s="30">
        <v>7482</v>
      </c>
      <c r="T42" s="30"/>
      <c r="U42" s="30">
        <f t="shared" ref="U42:U63" si="14">+G42*$U$8</f>
        <v>1200.0024000000001</v>
      </c>
      <c r="V42" s="30"/>
      <c r="W42" s="30">
        <f t="shared" ref="W42:W63" si="15">+G42*W$8</f>
        <v>1600.0032000000001</v>
      </c>
      <c r="X42" s="30"/>
      <c r="Y42" s="30">
        <v>454</v>
      </c>
      <c r="Z42" s="30"/>
      <c r="AA42" s="30">
        <f t="shared" ref="AA42:AA66" si="16">+S42+U42+W42+Y42</f>
        <v>10736.0056</v>
      </c>
      <c r="AC42" s="29">
        <f>1666.67*24</f>
        <v>40000.080000000002</v>
      </c>
      <c r="AD42" s="30"/>
      <c r="AF42" s="7" t="s">
        <v>7</v>
      </c>
    </row>
    <row r="43" spans="2:32">
      <c r="B43" s="28">
        <v>34</v>
      </c>
      <c r="C43" s="3" t="s">
        <v>60</v>
      </c>
      <c r="D43" s="3" t="s">
        <v>61</v>
      </c>
      <c r="E43" s="3" t="s">
        <v>68</v>
      </c>
      <c r="F43" s="3" t="s">
        <v>211</v>
      </c>
      <c r="G43" s="29">
        <f t="shared" si="9"/>
        <v>124677.12</v>
      </c>
      <c r="H43" s="30"/>
      <c r="I43" s="30">
        <f t="shared" si="8"/>
        <v>136238.05530623998</v>
      </c>
      <c r="J43" s="30"/>
      <c r="K43" s="30">
        <f t="shared" si="10"/>
        <v>8634.0182399999994</v>
      </c>
      <c r="L43" s="30"/>
      <c r="M43" s="30">
        <f t="shared" si="11"/>
        <v>56</v>
      </c>
      <c r="N43" s="30"/>
      <c r="O43" s="29">
        <f t="shared" si="12"/>
        <v>1154.55</v>
      </c>
      <c r="P43" s="30"/>
      <c r="Q43" s="30">
        <f t="shared" si="13"/>
        <v>9844.5682399999987</v>
      </c>
      <c r="R43" s="30"/>
      <c r="S43" s="30">
        <v>7482</v>
      </c>
      <c r="T43" s="30"/>
      <c r="U43" s="30">
        <f t="shared" si="14"/>
        <v>3740.3135999999995</v>
      </c>
      <c r="V43" s="30"/>
      <c r="W43" s="30">
        <f t="shared" si="15"/>
        <v>4987.0847999999996</v>
      </c>
      <c r="X43" s="30"/>
      <c r="Y43" s="30">
        <v>454</v>
      </c>
      <c r="Z43" s="30"/>
      <c r="AA43" s="30">
        <f t="shared" si="16"/>
        <v>16663.398399999998</v>
      </c>
      <c r="AC43" s="29">
        <f>5194.88*24</f>
        <v>124677.12</v>
      </c>
      <c r="AD43" s="30"/>
      <c r="AF43" s="7" t="s">
        <v>7</v>
      </c>
    </row>
    <row r="44" spans="2:32">
      <c r="B44" s="28">
        <v>35</v>
      </c>
      <c r="C44" s="3" t="s">
        <v>99</v>
      </c>
      <c r="D44" s="3" t="s">
        <v>100</v>
      </c>
      <c r="E44" s="3" t="s">
        <v>101</v>
      </c>
      <c r="F44" s="3" t="s">
        <v>212</v>
      </c>
      <c r="G44" s="29">
        <f t="shared" si="9"/>
        <v>61801.440000000002</v>
      </c>
      <c r="H44" s="30"/>
      <c r="I44" s="30">
        <f t="shared" si="8"/>
        <v>67532.102126879996</v>
      </c>
      <c r="J44" s="30"/>
      <c r="K44" s="30">
        <f t="shared" si="10"/>
        <v>4727.81016</v>
      </c>
      <c r="L44" s="30"/>
      <c r="M44" s="30">
        <f t="shared" si="11"/>
        <v>56</v>
      </c>
      <c r="N44" s="30"/>
      <c r="O44" s="29">
        <f t="shared" si="12"/>
        <v>1154.55</v>
      </c>
      <c r="P44" s="30"/>
      <c r="Q44" s="30">
        <f t="shared" si="13"/>
        <v>5938.3601600000002</v>
      </c>
      <c r="R44" s="30"/>
      <c r="S44" s="30">
        <v>7482</v>
      </c>
      <c r="T44" s="30"/>
      <c r="U44" s="30">
        <f t="shared" si="14"/>
        <v>1854.0432000000001</v>
      </c>
      <c r="V44" s="30"/>
      <c r="W44" s="30">
        <f t="shared" si="15"/>
        <v>2472.0576000000001</v>
      </c>
      <c r="X44" s="30"/>
      <c r="Y44" s="30">
        <v>454</v>
      </c>
      <c r="Z44" s="30"/>
      <c r="AA44" s="30">
        <f t="shared" si="16"/>
        <v>12262.1008</v>
      </c>
      <c r="AC44" s="29">
        <f>2575.06*24</f>
        <v>61801.440000000002</v>
      </c>
      <c r="AD44" s="29"/>
      <c r="AF44" s="1" t="s">
        <v>7</v>
      </c>
    </row>
    <row r="45" spans="2:32">
      <c r="B45" s="28">
        <v>36</v>
      </c>
      <c r="C45" s="3" t="s">
        <v>110</v>
      </c>
      <c r="D45" s="3" t="s">
        <v>83</v>
      </c>
      <c r="E45" s="3" t="s">
        <v>113</v>
      </c>
      <c r="F45" s="3" t="s">
        <v>213</v>
      </c>
      <c r="G45" s="29">
        <f t="shared" si="9"/>
        <v>40705.599999999999</v>
      </c>
      <c r="H45" s="30"/>
      <c r="I45" s="30">
        <f t="shared" si="8"/>
        <v>44480.108171200001</v>
      </c>
      <c r="J45" s="30"/>
      <c r="K45" s="30">
        <f t="shared" si="10"/>
        <v>3113.9784</v>
      </c>
      <c r="L45" s="30"/>
      <c r="M45" s="30">
        <f t="shared" si="11"/>
        <v>56</v>
      </c>
      <c r="N45" s="30"/>
      <c r="O45" s="29">
        <f t="shared" si="12"/>
        <v>1154.55</v>
      </c>
      <c r="P45" s="30"/>
      <c r="Q45" s="30">
        <f t="shared" si="13"/>
        <v>4324.5284000000001</v>
      </c>
      <c r="R45" s="30"/>
      <c r="S45" s="30">
        <v>7482</v>
      </c>
      <c r="T45" s="30"/>
      <c r="U45" s="30">
        <f t="shared" si="14"/>
        <v>1221.1679999999999</v>
      </c>
      <c r="V45" s="30"/>
      <c r="W45" s="30">
        <f t="shared" si="15"/>
        <v>1628.2239999999999</v>
      </c>
      <c r="X45" s="30"/>
      <c r="Y45" s="30">
        <v>454</v>
      </c>
      <c r="Z45" s="30"/>
      <c r="AA45" s="30">
        <f t="shared" si="16"/>
        <v>10785.392</v>
      </c>
      <c r="AC45" s="29">
        <f>19.57*2080</f>
        <v>40705.599999999999</v>
      </c>
      <c r="AD45" s="29"/>
      <c r="AF45" s="1" t="s">
        <v>175</v>
      </c>
    </row>
    <row r="46" spans="2:32">
      <c r="B46" s="28">
        <v>37</v>
      </c>
      <c r="C46" s="3" t="s">
        <v>69</v>
      </c>
      <c r="D46" s="3" t="s">
        <v>70</v>
      </c>
      <c r="E46" s="3" t="s">
        <v>50</v>
      </c>
      <c r="F46" s="3" t="s">
        <v>214</v>
      </c>
      <c r="G46" s="29">
        <f t="shared" si="9"/>
        <v>69754.319999999992</v>
      </c>
      <c r="H46" s="30"/>
      <c r="I46" s="30">
        <f t="shared" si="8"/>
        <v>76222.428830639998</v>
      </c>
      <c r="J46" s="30"/>
      <c r="K46" s="30">
        <f t="shared" si="10"/>
        <v>5336.2054799999996</v>
      </c>
      <c r="L46" s="30"/>
      <c r="M46" s="30">
        <f t="shared" si="11"/>
        <v>56</v>
      </c>
      <c r="N46" s="30"/>
      <c r="O46" s="29">
        <f t="shared" si="12"/>
        <v>1154.55</v>
      </c>
      <c r="P46" s="30"/>
      <c r="Q46" s="30">
        <f t="shared" si="13"/>
        <v>6546.7554799999998</v>
      </c>
      <c r="R46" s="30"/>
      <c r="S46" s="30">
        <v>7482</v>
      </c>
      <c r="T46" s="30"/>
      <c r="U46" s="30">
        <f t="shared" si="14"/>
        <v>2092.6295999999998</v>
      </c>
      <c r="V46" s="30"/>
      <c r="W46" s="30">
        <f t="shared" si="15"/>
        <v>2790.1727999999998</v>
      </c>
      <c r="X46" s="30"/>
      <c r="Y46" s="30">
        <v>454</v>
      </c>
      <c r="Z46" s="30"/>
      <c r="AA46" s="30">
        <f t="shared" si="16"/>
        <v>12818.8024</v>
      </c>
      <c r="AC46" s="29">
        <f>2906.43*24</f>
        <v>69754.319999999992</v>
      </c>
      <c r="AD46" s="30"/>
      <c r="AF46" s="7" t="s">
        <v>7</v>
      </c>
    </row>
    <row r="47" spans="2:32">
      <c r="B47" s="28">
        <v>38</v>
      </c>
      <c r="C47" s="6" t="s">
        <v>26</v>
      </c>
      <c r="D47" s="6" t="s">
        <v>27</v>
      </c>
      <c r="E47" s="6" t="s">
        <v>31</v>
      </c>
      <c r="F47" s="6" t="s">
        <v>215</v>
      </c>
      <c r="G47" s="29">
        <f t="shared" si="9"/>
        <v>43470</v>
      </c>
      <c r="H47" s="30"/>
      <c r="I47" s="30">
        <f t="shared" si="8"/>
        <v>47500.842689999998</v>
      </c>
      <c r="J47" s="30"/>
      <c r="K47" s="30">
        <f t="shared" si="10"/>
        <v>3325.4549999999999</v>
      </c>
      <c r="L47" s="30"/>
      <c r="M47" s="30">
        <f t="shared" si="11"/>
        <v>56</v>
      </c>
      <c r="N47" s="30"/>
      <c r="O47" s="29">
        <f t="shared" si="12"/>
        <v>1154.55</v>
      </c>
      <c r="P47" s="30"/>
      <c r="Q47" s="30">
        <f t="shared" si="13"/>
        <v>4536.0050000000001</v>
      </c>
      <c r="R47" s="30"/>
      <c r="S47" s="30">
        <v>7482</v>
      </c>
      <c r="T47" s="30"/>
      <c r="U47" s="30">
        <f t="shared" si="14"/>
        <v>1304.0999999999999</v>
      </c>
      <c r="V47" s="30"/>
      <c r="W47" s="30">
        <f t="shared" si="15"/>
        <v>1738.8</v>
      </c>
      <c r="X47" s="30"/>
      <c r="Y47" s="30">
        <v>454</v>
      </c>
      <c r="Z47" s="30"/>
      <c r="AA47" s="30">
        <f t="shared" si="16"/>
        <v>10978.9</v>
      </c>
      <c r="AC47" s="29">
        <f>1811.25*24</f>
        <v>43470</v>
      </c>
      <c r="AD47" s="30"/>
      <c r="AF47" s="7" t="s">
        <v>7</v>
      </c>
    </row>
    <row r="48" spans="2:32">
      <c r="B48" s="28">
        <v>39</v>
      </c>
      <c r="C48" s="3" t="s">
        <v>149</v>
      </c>
      <c r="D48" s="3" t="s">
        <v>150</v>
      </c>
      <c r="E48" s="3" t="s">
        <v>151</v>
      </c>
      <c r="F48" s="3" t="s">
        <v>216</v>
      </c>
      <c r="G48" s="29">
        <f t="shared" si="9"/>
        <v>79567.44</v>
      </c>
      <c r="H48" s="30"/>
      <c r="I48" s="30">
        <f t="shared" si="8"/>
        <v>86945.490008880006</v>
      </c>
      <c r="J48" s="30"/>
      <c r="K48" s="30">
        <f t="shared" si="10"/>
        <v>6086.9091600000002</v>
      </c>
      <c r="L48" s="30"/>
      <c r="M48" s="30">
        <f t="shared" si="11"/>
        <v>56</v>
      </c>
      <c r="N48" s="30"/>
      <c r="O48" s="29">
        <f t="shared" si="12"/>
        <v>1154.55</v>
      </c>
      <c r="P48" s="30"/>
      <c r="Q48" s="30">
        <f t="shared" si="13"/>
        <v>7297.4591600000003</v>
      </c>
      <c r="R48" s="30"/>
      <c r="S48" s="30">
        <v>7482</v>
      </c>
      <c r="T48" s="30"/>
      <c r="U48" s="30">
        <f t="shared" si="14"/>
        <v>2387.0232000000001</v>
      </c>
      <c r="V48" s="30"/>
      <c r="W48" s="30">
        <f t="shared" si="15"/>
        <v>3182.6976</v>
      </c>
      <c r="X48" s="30"/>
      <c r="Y48" s="30">
        <v>454</v>
      </c>
      <c r="Z48" s="30"/>
      <c r="AA48" s="30">
        <f t="shared" si="16"/>
        <v>13505.720799999999</v>
      </c>
      <c r="AC48" s="29">
        <f>3315.31*24</f>
        <v>79567.44</v>
      </c>
      <c r="AD48" s="30"/>
      <c r="AF48" s="1" t="s">
        <v>7</v>
      </c>
    </row>
    <row r="49" spans="2:32">
      <c r="B49" s="28">
        <v>40</v>
      </c>
      <c r="C49" s="3" t="s">
        <v>121</v>
      </c>
      <c r="D49" s="3" t="s">
        <v>122</v>
      </c>
      <c r="E49" s="3" t="s">
        <v>120</v>
      </c>
      <c r="F49" s="3" t="s">
        <v>217</v>
      </c>
      <c r="G49" s="29">
        <f t="shared" si="9"/>
        <v>80000.160000000003</v>
      </c>
      <c r="H49" s="30"/>
      <c r="I49" s="30">
        <f t="shared" si="8"/>
        <v>87418.334836320006</v>
      </c>
      <c r="J49" s="30"/>
      <c r="K49" s="30">
        <f t="shared" si="10"/>
        <v>6120.01224</v>
      </c>
      <c r="L49" s="30"/>
      <c r="M49" s="30">
        <f t="shared" si="11"/>
        <v>56</v>
      </c>
      <c r="N49" s="30"/>
      <c r="O49" s="29">
        <f t="shared" si="12"/>
        <v>1154.55</v>
      </c>
      <c r="P49" s="30"/>
      <c r="Q49" s="30">
        <f t="shared" si="13"/>
        <v>7330.5622400000002</v>
      </c>
      <c r="R49" s="30"/>
      <c r="S49" s="30">
        <v>7482</v>
      </c>
      <c r="T49" s="30"/>
      <c r="U49" s="30">
        <f t="shared" si="14"/>
        <v>2400.0048000000002</v>
      </c>
      <c r="V49" s="30"/>
      <c r="W49" s="30">
        <f t="shared" si="15"/>
        <v>3200.0064000000002</v>
      </c>
      <c r="X49" s="30"/>
      <c r="Y49" s="30">
        <v>454</v>
      </c>
      <c r="Z49" s="30"/>
      <c r="AA49" s="30">
        <f t="shared" si="16"/>
        <v>13536.011200000001</v>
      </c>
      <c r="AC49" s="29">
        <f>3333.34*24</f>
        <v>80000.160000000003</v>
      </c>
      <c r="AD49" s="30"/>
      <c r="AF49" s="1" t="s">
        <v>7</v>
      </c>
    </row>
    <row r="50" spans="2:32">
      <c r="B50" s="28">
        <v>41</v>
      </c>
      <c r="C50" s="3" t="s">
        <v>77</v>
      </c>
      <c r="D50" s="3" t="s">
        <v>78</v>
      </c>
      <c r="E50" s="3" t="s">
        <v>76</v>
      </c>
      <c r="F50" s="3" t="s">
        <v>218</v>
      </c>
      <c r="G50" s="29">
        <f t="shared" si="9"/>
        <v>55000.08</v>
      </c>
      <c r="H50" s="30"/>
      <c r="I50" s="30">
        <f t="shared" si="8"/>
        <v>60100.072418160002</v>
      </c>
      <c r="J50" s="30"/>
      <c r="K50" s="30">
        <f t="shared" si="10"/>
        <v>4207.50612</v>
      </c>
      <c r="L50" s="30"/>
      <c r="M50" s="30">
        <f t="shared" si="11"/>
        <v>56</v>
      </c>
      <c r="N50" s="30"/>
      <c r="O50" s="29">
        <f t="shared" si="12"/>
        <v>1154.55</v>
      </c>
      <c r="P50" s="30"/>
      <c r="Q50" s="30">
        <f t="shared" si="13"/>
        <v>5418.0561200000002</v>
      </c>
      <c r="R50" s="30"/>
      <c r="S50" s="30">
        <v>7482</v>
      </c>
      <c r="T50" s="30"/>
      <c r="U50" s="30">
        <f t="shared" si="14"/>
        <v>1650.0024000000001</v>
      </c>
      <c r="V50" s="30"/>
      <c r="W50" s="30">
        <f t="shared" si="15"/>
        <v>2200.0032000000001</v>
      </c>
      <c r="X50" s="30"/>
      <c r="Y50" s="30">
        <v>454</v>
      </c>
      <c r="Z50" s="30"/>
      <c r="AA50" s="30">
        <f t="shared" si="16"/>
        <v>11786.0056</v>
      </c>
      <c r="AC50" s="29">
        <f>2291.67*24</f>
        <v>55000.08</v>
      </c>
      <c r="AD50" s="30"/>
      <c r="AF50" s="7" t="s">
        <v>7</v>
      </c>
    </row>
    <row r="51" spans="2:32">
      <c r="B51" s="28">
        <v>42</v>
      </c>
      <c r="C51" s="3" t="s">
        <v>111</v>
      </c>
      <c r="D51" s="3" t="s">
        <v>112</v>
      </c>
      <c r="E51" s="3" t="s">
        <v>114</v>
      </c>
      <c r="F51" s="3" t="s">
        <v>219</v>
      </c>
      <c r="G51" s="29">
        <f t="shared" si="9"/>
        <v>78000.240000000005</v>
      </c>
      <c r="H51" s="30"/>
      <c r="I51" s="30">
        <f t="shared" si="8"/>
        <v>85232.968254480002</v>
      </c>
      <c r="J51" s="30"/>
      <c r="K51" s="30">
        <f t="shared" si="10"/>
        <v>5967.01836</v>
      </c>
      <c r="L51" s="30"/>
      <c r="M51" s="30">
        <f t="shared" si="11"/>
        <v>56</v>
      </c>
      <c r="N51" s="30"/>
      <c r="O51" s="29">
        <f t="shared" si="12"/>
        <v>1154.55</v>
      </c>
      <c r="P51" s="30"/>
      <c r="Q51" s="30">
        <f t="shared" si="13"/>
        <v>7177.5683600000002</v>
      </c>
      <c r="R51" s="30"/>
      <c r="S51" s="30">
        <v>7482</v>
      </c>
      <c r="T51" s="30"/>
      <c r="U51" s="30">
        <f t="shared" si="14"/>
        <v>2340.0072</v>
      </c>
      <c r="V51" s="30"/>
      <c r="W51" s="30">
        <f t="shared" si="15"/>
        <v>3120.0096000000003</v>
      </c>
      <c r="X51" s="30"/>
      <c r="Y51" s="30">
        <v>454</v>
      </c>
      <c r="Z51" s="30"/>
      <c r="AA51" s="30">
        <f t="shared" si="16"/>
        <v>13396.016800000001</v>
      </c>
      <c r="AC51" s="29">
        <f>3250.01*24</f>
        <v>78000.240000000005</v>
      </c>
      <c r="AD51" s="30"/>
      <c r="AF51" s="1" t="s">
        <v>7</v>
      </c>
    </row>
    <row r="52" spans="2:32">
      <c r="B52" s="28">
        <v>43</v>
      </c>
      <c r="C52" s="3" t="s">
        <v>73</v>
      </c>
      <c r="D52" s="3" t="s">
        <v>74</v>
      </c>
      <c r="E52" s="3" t="s">
        <v>75</v>
      </c>
      <c r="F52" s="3" t="s">
        <v>220</v>
      </c>
      <c r="G52" s="29">
        <f t="shared" si="9"/>
        <v>110000.16</v>
      </c>
      <c r="H52" s="30"/>
      <c r="I52" s="30">
        <f t="shared" si="8"/>
        <v>120200.14483632</v>
      </c>
      <c r="J52" s="30"/>
      <c r="K52" s="30">
        <f t="shared" si="10"/>
        <v>8415.01224</v>
      </c>
      <c r="L52" s="30"/>
      <c r="M52" s="30">
        <f t="shared" si="11"/>
        <v>56</v>
      </c>
      <c r="N52" s="30"/>
      <c r="O52" s="29">
        <f t="shared" si="12"/>
        <v>1154.55</v>
      </c>
      <c r="P52" s="30"/>
      <c r="Q52" s="30">
        <f t="shared" si="13"/>
        <v>9625.5622399999993</v>
      </c>
      <c r="R52" s="30"/>
      <c r="S52" s="30">
        <v>7482</v>
      </c>
      <c r="T52" s="30"/>
      <c r="U52" s="30">
        <f t="shared" si="14"/>
        <v>3300.0048000000002</v>
      </c>
      <c r="V52" s="30"/>
      <c r="W52" s="30">
        <f t="shared" si="15"/>
        <v>4400.0064000000002</v>
      </c>
      <c r="X52" s="30"/>
      <c r="Y52" s="30">
        <v>454</v>
      </c>
      <c r="Z52" s="30"/>
      <c r="AA52" s="30">
        <f t="shared" si="16"/>
        <v>15636.011200000001</v>
      </c>
      <c r="AC52" s="29">
        <f>4583.34*24</f>
        <v>110000.16</v>
      </c>
      <c r="AD52" s="30"/>
      <c r="AF52" s="7" t="s">
        <v>7</v>
      </c>
    </row>
    <row r="53" spans="2:32">
      <c r="B53" s="28">
        <v>44</v>
      </c>
      <c r="C53" s="3" t="s">
        <v>162</v>
      </c>
      <c r="D53" s="3" t="s">
        <v>163</v>
      </c>
      <c r="E53" s="3" t="s">
        <v>164</v>
      </c>
      <c r="F53" s="3" t="s">
        <v>221</v>
      </c>
      <c r="G53" s="29">
        <f t="shared" si="9"/>
        <v>41891.200000000004</v>
      </c>
      <c r="H53" s="30"/>
      <c r="I53" s="30">
        <f t="shared" si="8"/>
        <v>45775.645302400007</v>
      </c>
      <c r="J53" s="30"/>
      <c r="K53" s="30">
        <f t="shared" si="10"/>
        <v>3204.6768000000002</v>
      </c>
      <c r="L53" s="30"/>
      <c r="M53" s="30">
        <f t="shared" si="11"/>
        <v>56</v>
      </c>
      <c r="N53" s="30"/>
      <c r="O53" s="29">
        <f t="shared" si="12"/>
        <v>1154.55</v>
      </c>
      <c r="P53" s="30"/>
      <c r="Q53" s="30">
        <f t="shared" si="13"/>
        <v>4415.2268000000004</v>
      </c>
      <c r="R53" s="30"/>
      <c r="S53" s="30">
        <v>7482</v>
      </c>
      <c r="T53" s="30"/>
      <c r="U53" s="30">
        <f t="shared" si="14"/>
        <v>1256.7360000000001</v>
      </c>
      <c r="V53" s="30"/>
      <c r="W53" s="30">
        <f t="shared" si="15"/>
        <v>1675.6480000000001</v>
      </c>
      <c r="X53" s="30"/>
      <c r="Y53" s="30">
        <v>454</v>
      </c>
      <c r="Z53" s="30"/>
      <c r="AA53" s="30">
        <f t="shared" si="16"/>
        <v>10868.384000000002</v>
      </c>
      <c r="AC53" s="29">
        <f>20.14*2080</f>
        <v>41891.200000000004</v>
      </c>
      <c r="AD53" s="30"/>
      <c r="AF53" s="1" t="s">
        <v>175</v>
      </c>
    </row>
    <row r="54" spans="2:32">
      <c r="B54" s="28">
        <v>45</v>
      </c>
      <c r="C54" s="3" t="s">
        <v>86</v>
      </c>
      <c r="D54" s="3" t="s">
        <v>87</v>
      </c>
      <c r="E54" s="3" t="s">
        <v>89</v>
      </c>
      <c r="F54" s="3" t="s">
        <v>222</v>
      </c>
      <c r="G54" s="29">
        <f t="shared" si="9"/>
        <v>76125.84</v>
      </c>
      <c r="H54" s="30"/>
      <c r="I54" s="30">
        <f t="shared" si="8"/>
        <v>83184.760765679996</v>
      </c>
      <c r="J54" s="30"/>
      <c r="K54" s="30">
        <f t="shared" si="10"/>
        <v>5823.6267599999992</v>
      </c>
      <c r="L54" s="30"/>
      <c r="M54" s="30">
        <f t="shared" si="11"/>
        <v>56</v>
      </c>
      <c r="N54" s="30"/>
      <c r="O54" s="29">
        <f t="shared" si="12"/>
        <v>1154.55</v>
      </c>
      <c r="P54" s="30"/>
      <c r="Q54" s="30">
        <f t="shared" si="13"/>
        <v>7034.1767599999994</v>
      </c>
      <c r="R54" s="30"/>
      <c r="S54" s="30">
        <v>7482</v>
      </c>
      <c r="T54" s="30"/>
      <c r="U54" s="30">
        <f t="shared" si="14"/>
        <v>2283.7751999999996</v>
      </c>
      <c r="V54" s="30"/>
      <c r="W54" s="30">
        <f t="shared" si="15"/>
        <v>3045.0335999999998</v>
      </c>
      <c r="X54" s="30"/>
      <c r="Y54" s="30">
        <v>454</v>
      </c>
      <c r="Z54" s="30"/>
      <c r="AA54" s="30">
        <f t="shared" si="16"/>
        <v>13264.808799999999</v>
      </c>
      <c r="AC54" s="29">
        <f>3171.91*24</f>
        <v>76125.84</v>
      </c>
      <c r="AD54" s="30"/>
      <c r="AF54" s="7" t="s">
        <v>7</v>
      </c>
    </row>
    <row r="55" spans="2:32">
      <c r="B55" s="28">
        <v>46</v>
      </c>
      <c r="C55" s="3" t="s">
        <v>132</v>
      </c>
      <c r="D55" s="3" t="s">
        <v>133</v>
      </c>
      <c r="E55" s="3" t="s">
        <v>134</v>
      </c>
      <c r="F55" s="3" t="s">
        <v>223</v>
      </c>
      <c r="G55" s="29">
        <f t="shared" si="9"/>
        <v>89492.4</v>
      </c>
      <c r="H55" s="30"/>
      <c r="I55" s="30">
        <f t="shared" si="8"/>
        <v>97790.76177479999</v>
      </c>
      <c r="J55" s="30"/>
      <c r="K55" s="30">
        <f t="shared" si="10"/>
        <v>6846.1685999999991</v>
      </c>
      <c r="L55" s="30"/>
      <c r="M55" s="30">
        <f t="shared" si="11"/>
        <v>56</v>
      </c>
      <c r="N55" s="30"/>
      <c r="O55" s="29">
        <f t="shared" si="12"/>
        <v>1154.55</v>
      </c>
      <c r="P55" s="30"/>
      <c r="Q55" s="30">
        <f t="shared" si="13"/>
        <v>8056.7185999999992</v>
      </c>
      <c r="R55" s="30"/>
      <c r="S55" s="30">
        <v>7482</v>
      </c>
      <c r="T55" s="30"/>
      <c r="U55" s="30">
        <f t="shared" si="14"/>
        <v>2684.7719999999999</v>
      </c>
      <c r="V55" s="30"/>
      <c r="W55" s="30">
        <f t="shared" si="15"/>
        <v>3579.6959999999999</v>
      </c>
      <c r="X55" s="30"/>
      <c r="Y55" s="30">
        <v>454</v>
      </c>
      <c r="Z55" s="30"/>
      <c r="AA55" s="30">
        <f t="shared" si="16"/>
        <v>14200.468000000001</v>
      </c>
      <c r="AC55" s="29">
        <f>3728.85*24</f>
        <v>89492.4</v>
      </c>
      <c r="AD55" s="30"/>
      <c r="AF55" s="1" t="s">
        <v>7</v>
      </c>
    </row>
    <row r="56" spans="2:32">
      <c r="B56" s="28">
        <v>47</v>
      </c>
      <c r="C56" s="6" t="s">
        <v>33</v>
      </c>
      <c r="D56" s="6" t="s">
        <v>34</v>
      </c>
      <c r="E56" s="6" t="s">
        <v>32</v>
      </c>
      <c r="F56" s="6" t="s">
        <v>224</v>
      </c>
      <c r="G56" s="29">
        <f t="shared" si="9"/>
        <v>344793.12</v>
      </c>
      <c r="H56" s="30"/>
      <c r="I56" s="30">
        <f t="shared" si="8"/>
        <v>376764.75163824001</v>
      </c>
      <c r="J56" s="30"/>
      <c r="K56" s="30">
        <f t="shared" si="10"/>
        <v>11825.700239999998</v>
      </c>
      <c r="L56" s="30"/>
      <c r="M56" s="30">
        <f t="shared" si="11"/>
        <v>56</v>
      </c>
      <c r="N56" s="30"/>
      <c r="O56" s="29">
        <f t="shared" si="12"/>
        <v>1154.55</v>
      </c>
      <c r="P56" s="30"/>
      <c r="Q56" s="30">
        <f t="shared" si="13"/>
        <v>13036.250239999998</v>
      </c>
      <c r="R56" s="30"/>
      <c r="S56" s="30">
        <v>7482</v>
      </c>
      <c r="T56" s="30"/>
      <c r="U56" s="30">
        <f t="shared" si="14"/>
        <v>10343.793599999999</v>
      </c>
      <c r="V56" s="30"/>
      <c r="W56" s="30">
        <f t="shared" si="15"/>
        <v>13791.7248</v>
      </c>
      <c r="X56" s="30"/>
      <c r="Y56" s="30">
        <v>454</v>
      </c>
      <c r="Z56" s="30"/>
      <c r="AA56" s="30">
        <f t="shared" si="16"/>
        <v>32071.518399999997</v>
      </c>
      <c r="AC56" s="29">
        <f>14366.38*24</f>
        <v>344793.12</v>
      </c>
      <c r="AD56" s="30"/>
      <c r="AF56" s="7" t="s">
        <v>7</v>
      </c>
    </row>
    <row r="57" spans="2:32">
      <c r="B57" s="28">
        <v>48</v>
      </c>
      <c r="C57" s="3" t="s">
        <v>88</v>
      </c>
      <c r="D57" s="3" t="s">
        <v>44</v>
      </c>
      <c r="E57" s="3" t="s">
        <v>90</v>
      </c>
      <c r="F57" s="3" t="s">
        <v>225</v>
      </c>
      <c r="G57" s="29">
        <f t="shared" si="9"/>
        <v>232986</v>
      </c>
      <c r="H57" s="30"/>
      <c r="I57" s="30">
        <f t="shared" si="8"/>
        <v>254590.09282200001</v>
      </c>
      <c r="J57" s="30"/>
      <c r="K57" s="30">
        <f t="shared" si="10"/>
        <v>10204.496999999999</v>
      </c>
      <c r="L57" s="30"/>
      <c r="M57" s="30">
        <f t="shared" si="11"/>
        <v>56</v>
      </c>
      <c r="N57" s="30"/>
      <c r="O57" s="29">
        <f t="shared" si="12"/>
        <v>1154.55</v>
      </c>
      <c r="P57" s="30"/>
      <c r="Q57" s="30">
        <f t="shared" si="13"/>
        <v>11415.046999999999</v>
      </c>
      <c r="R57" s="30"/>
      <c r="S57" s="30">
        <v>7482</v>
      </c>
      <c r="T57" s="30"/>
      <c r="U57" s="30">
        <f t="shared" si="14"/>
        <v>6989.58</v>
      </c>
      <c r="V57" s="30"/>
      <c r="W57" s="30">
        <f t="shared" si="15"/>
        <v>9319.44</v>
      </c>
      <c r="X57" s="30"/>
      <c r="Y57" s="30">
        <v>454</v>
      </c>
      <c r="Z57" s="30"/>
      <c r="AA57" s="30">
        <f t="shared" si="16"/>
        <v>24245.02</v>
      </c>
      <c r="AC57" s="29">
        <f>9707.75*24</f>
        <v>232986</v>
      </c>
      <c r="AD57" s="30"/>
      <c r="AF57" s="1" t="s">
        <v>7</v>
      </c>
    </row>
    <row r="58" spans="2:32">
      <c r="B58" s="28">
        <v>49</v>
      </c>
      <c r="C58" s="3" t="s">
        <v>125</v>
      </c>
      <c r="D58" s="3" t="s">
        <v>126</v>
      </c>
      <c r="E58" s="3" t="s">
        <v>128</v>
      </c>
      <c r="F58" s="3" t="s">
        <v>226</v>
      </c>
      <c r="G58" s="29">
        <f t="shared" si="9"/>
        <v>200000.16</v>
      </c>
      <c r="H58" s="30"/>
      <c r="I58" s="30">
        <f t="shared" si="8"/>
        <v>218545.57483632001</v>
      </c>
      <c r="J58" s="30"/>
      <c r="K58" s="30">
        <f t="shared" si="10"/>
        <v>9726.2023200000003</v>
      </c>
      <c r="L58" s="30"/>
      <c r="M58" s="30">
        <f t="shared" si="11"/>
        <v>56</v>
      </c>
      <c r="N58" s="30"/>
      <c r="O58" s="29">
        <f t="shared" si="12"/>
        <v>1154.55</v>
      </c>
      <c r="P58" s="30"/>
      <c r="Q58" s="30">
        <f t="shared" si="13"/>
        <v>10936.75232</v>
      </c>
      <c r="R58" s="30"/>
      <c r="S58" s="30">
        <v>7482</v>
      </c>
      <c r="T58" s="30"/>
      <c r="U58" s="30">
        <f t="shared" si="14"/>
        <v>6000.0047999999997</v>
      </c>
      <c r="V58" s="30"/>
      <c r="W58" s="30">
        <f t="shared" si="15"/>
        <v>8000.0064000000002</v>
      </c>
      <c r="X58" s="30"/>
      <c r="Y58" s="30">
        <v>454</v>
      </c>
      <c r="Z58" s="30"/>
      <c r="AA58" s="30">
        <f t="shared" si="16"/>
        <v>21936.011200000001</v>
      </c>
      <c r="AC58" s="29">
        <f>8333.34*24</f>
        <v>200000.16</v>
      </c>
      <c r="AD58" s="30"/>
      <c r="AF58" s="1" t="s">
        <v>7</v>
      </c>
    </row>
    <row r="59" spans="2:32">
      <c r="B59" s="28">
        <v>50</v>
      </c>
      <c r="C59" s="3" t="s">
        <v>104</v>
      </c>
      <c r="D59" s="3" t="s">
        <v>105</v>
      </c>
      <c r="E59" s="6" t="s">
        <v>106</v>
      </c>
      <c r="F59" s="6" t="s">
        <v>227</v>
      </c>
      <c r="G59" s="29">
        <f t="shared" si="9"/>
        <v>44557.919999999998</v>
      </c>
      <c r="H59" s="30"/>
      <c r="I59" s="30">
        <f t="shared" si="8"/>
        <v>48689.642247839998</v>
      </c>
      <c r="J59" s="30"/>
      <c r="K59" s="30">
        <f t="shared" si="10"/>
        <v>3408.6808799999999</v>
      </c>
      <c r="L59" s="30"/>
      <c r="M59" s="30">
        <f t="shared" si="11"/>
        <v>56</v>
      </c>
      <c r="N59" s="30"/>
      <c r="O59" s="29">
        <f t="shared" si="12"/>
        <v>1154.55</v>
      </c>
      <c r="P59" s="30"/>
      <c r="Q59" s="30">
        <f t="shared" si="13"/>
        <v>4619.2308800000001</v>
      </c>
      <c r="R59" s="30"/>
      <c r="S59" s="30">
        <v>7482</v>
      </c>
      <c r="T59" s="30"/>
      <c r="U59" s="30">
        <f t="shared" si="14"/>
        <v>1336.7375999999999</v>
      </c>
      <c r="V59" s="30"/>
      <c r="W59" s="30">
        <f t="shared" si="15"/>
        <v>1782.3168000000001</v>
      </c>
      <c r="X59" s="30"/>
      <c r="Y59" s="30">
        <v>454</v>
      </c>
      <c r="Z59" s="30"/>
      <c r="AA59" s="30">
        <f t="shared" si="16"/>
        <v>11055.054400000001</v>
      </c>
      <c r="AC59" s="29">
        <f>1856.58*24</f>
        <v>44557.919999999998</v>
      </c>
      <c r="AD59" s="30"/>
      <c r="AF59" s="1" t="s">
        <v>7</v>
      </c>
    </row>
    <row r="60" spans="2:32">
      <c r="B60" s="28">
        <v>51</v>
      </c>
      <c r="C60" s="3" t="s">
        <v>108</v>
      </c>
      <c r="D60" s="3" t="s">
        <v>109</v>
      </c>
      <c r="E60" s="3" t="s">
        <v>107</v>
      </c>
      <c r="F60" s="3" t="s">
        <v>228</v>
      </c>
      <c r="G60" s="29">
        <f t="shared" si="9"/>
        <v>34008</v>
      </c>
      <c r="H60" s="30"/>
      <c r="I60" s="30">
        <f t="shared" si="8"/>
        <v>37161.459816000002</v>
      </c>
      <c r="J60" s="30"/>
      <c r="K60" s="30">
        <f t="shared" si="10"/>
        <v>2601.6120000000001</v>
      </c>
      <c r="L60" s="30"/>
      <c r="M60" s="30">
        <f t="shared" si="11"/>
        <v>56</v>
      </c>
      <c r="N60" s="30"/>
      <c r="O60" s="29">
        <f t="shared" si="12"/>
        <v>1154.55</v>
      </c>
      <c r="P60" s="30"/>
      <c r="Q60" s="30">
        <f t="shared" si="13"/>
        <v>3812.1620000000003</v>
      </c>
      <c r="R60" s="30"/>
      <c r="S60" s="30">
        <v>7482</v>
      </c>
      <c r="T60" s="30"/>
      <c r="U60" s="30">
        <f t="shared" si="14"/>
        <v>1020.24</v>
      </c>
      <c r="V60" s="30"/>
      <c r="W60" s="30">
        <f t="shared" si="15"/>
        <v>1360.32</v>
      </c>
      <c r="X60" s="30"/>
      <c r="Y60" s="30">
        <v>454</v>
      </c>
      <c r="Z60" s="30"/>
      <c r="AA60" s="30">
        <f t="shared" si="16"/>
        <v>10316.56</v>
      </c>
      <c r="AC60" s="29">
        <f>16.35*2080</f>
        <v>34008</v>
      </c>
      <c r="AD60" s="29"/>
      <c r="AF60" s="1" t="s">
        <v>175</v>
      </c>
    </row>
    <row r="61" spans="2:32">
      <c r="B61" s="28">
        <v>52</v>
      </c>
      <c r="C61" s="6" t="s">
        <v>43</v>
      </c>
      <c r="D61" s="6" t="s">
        <v>44</v>
      </c>
      <c r="E61" s="6" t="s">
        <v>45</v>
      </c>
      <c r="F61" s="6" t="s">
        <v>229</v>
      </c>
      <c r="G61" s="29">
        <f t="shared" si="9"/>
        <v>110380.56</v>
      </c>
      <c r="H61" s="30"/>
      <c r="I61" s="30">
        <f t="shared" si="8"/>
        <v>120615.81818711999</v>
      </c>
      <c r="J61" s="30"/>
      <c r="K61" s="30">
        <f t="shared" si="10"/>
        <v>8426.7181199999995</v>
      </c>
      <c r="L61" s="30"/>
      <c r="M61" s="30">
        <f t="shared" si="11"/>
        <v>56</v>
      </c>
      <c r="N61" s="30"/>
      <c r="O61" s="29">
        <f t="shared" si="12"/>
        <v>1154.55</v>
      </c>
      <c r="P61" s="30"/>
      <c r="Q61" s="30">
        <f t="shared" si="13"/>
        <v>9637.2681199999988</v>
      </c>
      <c r="R61" s="30"/>
      <c r="S61" s="30">
        <v>7482</v>
      </c>
      <c r="T61" s="30"/>
      <c r="U61" s="30">
        <f t="shared" si="14"/>
        <v>3311.4168</v>
      </c>
      <c r="V61" s="30"/>
      <c r="W61" s="30">
        <f t="shared" si="15"/>
        <v>4415.2223999999997</v>
      </c>
      <c r="X61" s="30"/>
      <c r="Y61" s="30">
        <v>454</v>
      </c>
      <c r="Z61" s="30"/>
      <c r="AA61" s="30">
        <f t="shared" si="16"/>
        <v>15662.639199999998</v>
      </c>
      <c r="AC61" s="29">
        <f>4599.19*24</f>
        <v>110380.56</v>
      </c>
      <c r="AD61" s="30"/>
      <c r="AF61" s="7" t="s">
        <v>7</v>
      </c>
    </row>
    <row r="62" spans="2:32">
      <c r="B62" s="28">
        <v>53</v>
      </c>
      <c r="C62" s="3" t="s">
        <v>140</v>
      </c>
      <c r="D62" s="3" t="s">
        <v>141</v>
      </c>
      <c r="E62" s="6" t="s">
        <v>67</v>
      </c>
      <c r="F62" s="6" t="s">
        <v>230</v>
      </c>
      <c r="G62" s="29">
        <f t="shared" si="9"/>
        <v>63824.88</v>
      </c>
      <c r="H62" s="30"/>
      <c r="I62" s="30">
        <f t="shared" si="8"/>
        <v>69743.169647759991</v>
      </c>
      <c r="J62" s="30"/>
      <c r="K62" s="30">
        <f t="shared" si="10"/>
        <v>4882.6033199999993</v>
      </c>
      <c r="L62" s="30"/>
      <c r="M62" s="30">
        <f t="shared" si="11"/>
        <v>56</v>
      </c>
      <c r="N62" s="30"/>
      <c r="O62" s="29">
        <f t="shared" si="12"/>
        <v>1154.55</v>
      </c>
      <c r="P62" s="30"/>
      <c r="Q62" s="30">
        <f t="shared" si="13"/>
        <v>6093.1533199999994</v>
      </c>
      <c r="R62" s="30"/>
      <c r="S62" s="30">
        <v>7482</v>
      </c>
      <c r="T62" s="30"/>
      <c r="U62" s="30">
        <f t="shared" si="14"/>
        <v>1914.7463999999998</v>
      </c>
      <c r="V62" s="30"/>
      <c r="W62" s="30">
        <f t="shared" si="15"/>
        <v>2552.9951999999998</v>
      </c>
      <c r="X62" s="30"/>
      <c r="Y62" s="30">
        <v>454</v>
      </c>
      <c r="Z62" s="30"/>
      <c r="AA62" s="30">
        <f t="shared" si="16"/>
        <v>12403.741599999999</v>
      </c>
      <c r="AC62" s="29">
        <f>2659.37*24</f>
        <v>63824.88</v>
      </c>
      <c r="AD62" s="29"/>
      <c r="AF62" s="1" t="s">
        <v>7</v>
      </c>
    </row>
    <row r="63" spans="2:32">
      <c r="B63" s="28">
        <v>54</v>
      </c>
      <c r="C63" s="3" t="s">
        <v>71</v>
      </c>
      <c r="D63" s="3" t="s">
        <v>72</v>
      </c>
      <c r="E63" s="6" t="s">
        <v>67</v>
      </c>
      <c r="F63" s="6" t="s">
        <v>231</v>
      </c>
      <c r="G63" s="29">
        <f t="shared" si="9"/>
        <v>71750.16</v>
      </c>
      <c r="H63" s="30"/>
      <c r="I63" s="30">
        <f t="shared" si="8"/>
        <v>78403.337086320011</v>
      </c>
      <c r="J63" s="30"/>
      <c r="K63" s="30">
        <f t="shared" si="10"/>
        <v>5488.88724</v>
      </c>
      <c r="L63" s="30"/>
      <c r="M63" s="30">
        <f t="shared" si="11"/>
        <v>56</v>
      </c>
      <c r="N63" s="30"/>
      <c r="O63" s="29">
        <f t="shared" si="12"/>
        <v>1154.55</v>
      </c>
      <c r="P63" s="30"/>
      <c r="Q63" s="30">
        <f t="shared" si="13"/>
        <v>6699.4372400000002</v>
      </c>
      <c r="R63" s="30"/>
      <c r="S63" s="30">
        <v>7482</v>
      </c>
      <c r="T63" s="30"/>
      <c r="U63" s="30">
        <f t="shared" si="14"/>
        <v>2152.5048000000002</v>
      </c>
      <c r="V63" s="30"/>
      <c r="W63" s="30">
        <f t="shared" si="15"/>
        <v>2870.0064000000002</v>
      </c>
      <c r="X63" s="30"/>
      <c r="Y63" s="30">
        <v>454</v>
      </c>
      <c r="Z63" s="30"/>
      <c r="AA63" s="30">
        <f t="shared" si="16"/>
        <v>12958.511200000001</v>
      </c>
      <c r="AC63" s="29">
        <f>2989.59*24</f>
        <v>71750.16</v>
      </c>
      <c r="AD63" s="30"/>
      <c r="AF63" s="7" t="s">
        <v>7</v>
      </c>
    </row>
    <row r="64" spans="2:32">
      <c r="B64" s="28">
        <v>55</v>
      </c>
      <c r="C64" s="3" t="s">
        <v>102</v>
      </c>
      <c r="D64" s="3" t="s">
        <v>103</v>
      </c>
      <c r="E64" s="6" t="s">
        <v>85</v>
      </c>
      <c r="F64" s="6" t="s">
        <v>232</v>
      </c>
      <c r="G64" s="29">
        <f t="shared" si="9"/>
        <v>10712</v>
      </c>
      <c r="H64" s="30"/>
      <c r="I64" s="30">
        <f t="shared" si="8"/>
        <v>11705.291624</v>
      </c>
      <c r="J64" s="30"/>
      <c r="K64" s="30">
        <f t="shared" si="10"/>
        <v>819.46799999999996</v>
      </c>
      <c r="L64" s="30"/>
      <c r="M64" s="30">
        <f t="shared" si="11"/>
        <v>56</v>
      </c>
      <c r="N64" s="30"/>
      <c r="O64" s="29">
        <f t="shared" si="12"/>
        <v>1154.55</v>
      </c>
      <c r="P64" s="30"/>
      <c r="Q64" s="30">
        <f t="shared" si="13"/>
        <v>2030.018</v>
      </c>
      <c r="R64" s="30"/>
      <c r="S64" s="30">
        <v>0</v>
      </c>
      <c r="T64" s="30"/>
      <c r="U64" s="30">
        <v>0</v>
      </c>
      <c r="V64" s="30"/>
      <c r="W64" s="30">
        <v>0</v>
      </c>
      <c r="X64" s="30"/>
      <c r="Y64" s="30">
        <v>0</v>
      </c>
      <c r="Z64" s="30"/>
      <c r="AA64" s="30">
        <f t="shared" si="16"/>
        <v>0</v>
      </c>
      <c r="AC64" s="29">
        <f>10.3*1040</f>
        <v>10712</v>
      </c>
      <c r="AD64" s="30"/>
      <c r="AF64" s="1" t="s">
        <v>175</v>
      </c>
    </row>
    <row r="65" spans="2:32">
      <c r="B65" s="28">
        <v>56</v>
      </c>
      <c r="C65" s="3" t="s">
        <v>93</v>
      </c>
      <c r="D65" s="3" t="s">
        <v>94</v>
      </c>
      <c r="E65" s="6" t="s">
        <v>31</v>
      </c>
      <c r="F65" s="6" t="s">
        <v>233</v>
      </c>
      <c r="G65" s="29">
        <f t="shared" si="9"/>
        <v>50391.12</v>
      </c>
      <c r="H65" s="30"/>
      <c r="I65" s="30">
        <f t="shared" si="8"/>
        <v>55063.737384240005</v>
      </c>
      <c r="J65" s="30"/>
      <c r="K65" s="30">
        <f t="shared" si="10"/>
        <v>3854.9206800000002</v>
      </c>
      <c r="L65" s="30"/>
      <c r="M65" s="30">
        <f t="shared" si="11"/>
        <v>56</v>
      </c>
      <c r="N65" s="30"/>
      <c r="O65" s="29">
        <f t="shared" si="12"/>
        <v>1154.55</v>
      </c>
      <c r="P65" s="30"/>
      <c r="Q65" s="30">
        <f t="shared" si="13"/>
        <v>5065.4706800000004</v>
      </c>
      <c r="R65" s="30"/>
      <c r="S65" s="30">
        <v>7482</v>
      </c>
      <c r="T65" s="30"/>
      <c r="U65" s="30">
        <f>+G65*$U$8</f>
        <v>1511.7336</v>
      </c>
      <c r="V65" s="30"/>
      <c r="W65" s="30">
        <f>+G65*W$8</f>
        <v>2015.6448000000003</v>
      </c>
      <c r="X65" s="30"/>
      <c r="Y65" s="30">
        <v>454</v>
      </c>
      <c r="Z65" s="30"/>
      <c r="AA65" s="30">
        <f t="shared" si="16"/>
        <v>11463.3784</v>
      </c>
      <c r="AC65" s="29">
        <f>2099.63*24</f>
        <v>50391.12</v>
      </c>
      <c r="AD65" s="30"/>
      <c r="AF65" s="1" t="s">
        <v>7</v>
      </c>
    </row>
    <row r="66" spans="2:32">
      <c r="B66" s="28">
        <v>57</v>
      </c>
      <c r="C66" s="3" t="s">
        <v>117</v>
      </c>
      <c r="D66" s="3" t="s">
        <v>118</v>
      </c>
      <c r="E66" s="6" t="s">
        <v>85</v>
      </c>
      <c r="F66" s="6" t="s">
        <v>234</v>
      </c>
      <c r="G66" s="29">
        <f t="shared" si="9"/>
        <v>41537.599999999999</v>
      </c>
      <c r="H66" s="30"/>
      <c r="I66" s="30">
        <f t="shared" si="8"/>
        <v>45389.257035199997</v>
      </c>
      <c r="J66" s="30"/>
      <c r="K66" s="30">
        <f t="shared" si="10"/>
        <v>3177.6263999999996</v>
      </c>
      <c r="L66" s="30"/>
      <c r="M66" s="30">
        <f t="shared" si="11"/>
        <v>56</v>
      </c>
      <c r="N66" s="30"/>
      <c r="O66" s="29">
        <f t="shared" si="12"/>
        <v>1154.55</v>
      </c>
      <c r="P66" s="30"/>
      <c r="Q66" s="30">
        <f t="shared" si="13"/>
        <v>4388.1763999999994</v>
      </c>
      <c r="R66" s="30"/>
      <c r="S66" s="30">
        <v>7482</v>
      </c>
      <c r="T66" s="30"/>
      <c r="U66" s="30">
        <f>+G66*$U$8</f>
        <v>1246.1279999999999</v>
      </c>
      <c r="V66" s="30"/>
      <c r="W66" s="30">
        <f>+G66*W$8</f>
        <v>1661.5039999999999</v>
      </c>
      <c r="X66" s="30"/>
      <c r="Y66" s="30">
        <v>454</v>
      </c>
      <c r="Z66" s="30"/>
      <c r="AA66" s="30">
        <f t="shared" si="16"/>
        <v>10843.632000000001</v>
      </c>
      <c r="AC66" s="29">
        <f>19.97*2080</f>
        <v>41537.599999999999</v>
      </c>
      <c r="AD66" s="29"/>
      <c r="AF66" s="1" t="s">
        <v>175</v>
      </c>
    </row>
    <row r="67" spans="2:32">
      <c r="G67" s="29"/>
      <c r="H67" s="30"/>
      <c r="I67" s="30"/>
      <c r="J67" s="30"/>
      <c r="K67" s="31"/>
      <c r="L67" s="30"/>
      <c r="M67" s="31"/>
      <c r="N67" s="30"/>
      <c r="O67" s="31"/>
      <c r="P67" s="30"/>
      <c r="Q67" s="31"/>
      <c r="R67" s="30"/>
      <c r="S67" s="31"/>
      <c r="T67" s="30"/>
      <c r="U67" s="31"/>
      <c r="V67" s="30"/>
      <c r="W67" s="31"/>
      <c r="X67" s="30"/>
      <c r="Y67" s="31"/>
      <c r="Z67" s="30"/>
      <c r="AA67" s="31"/>
      <c r="AB67" s="8"/>
      <c r="AC67" s="31"/>
      <c r="AD67" s="30"/>
    </row>
    <row r="68" spans="2:32" ht="15.75" thickBot="1">
      <c r="B68" s="1" t="s">
        <v>17</v>
      </c>
      <c r="G68" s="32">
        <f>SUM(G10:G67)</f>
        <v>4851704.3200000012</v>
      </c>
      <c r="H68" s="33"/>
      <c r="I68" s="32">
        <f>SUM(I10:I67)</f>
        <v>5301588.3064806405</v>
      </c>
      <c r="J68" s="33"/>
      <c r="K68" s="33">
        <f>SUM(K10:K67)</f>
        <v>317992.13135999994</v>
      </c>
      <c r="L68" s="33"/>
      <c r="M68" s="33">
        <f>SUM(M10:M67)</f>
        <v>3192</v>
      </c>
      <c r="N68" s="33"/>
      <c r="O68" s="33">
        <f>SUM(O10:O67)</f>
        <v>65809.350000000064</v>
      </c>
      <c r="P68" s="33"/>
      <c r="Q68" s="32">
        <f>SUM(Q10:Q67)</f>
        <v>386993.48136000015</v>
      </c>
      <c r="R68" s="33"/>
      <c r="S68" s="33">
        <f>SUM(S10:S67)</f>
        <v>418992</v>
      </c>
      <c r="T68" s="33"/>
      <c r="U68" s="33">
        <f>SUM(U10:U67)</f>
        <v>145229.76959999997</v>
      </c>
      <c r="V68" s="33"/>
      <c r="W68" s="33">
        <f>SUM(W10:W67)</f>
        <v>193639.69280000005</v>
      </c>
      <c r="X68" s="33"/>
      <c r="Y68" s="33">
        <f>SUM(Y10:Y67)</f>
        <v>25424</v>
      </c>
      <c r="Z68" s="33"/>
      <c r="AA68" s="32">
        <f>SUM(AA10:AA67)</f>
        <v>783285.46239999961</v>
      </c>
      <c r="AB68" s="33"/>
      <c r="AC68" s="33">
        <f>SUM(AC10:AC67)</f>
        <v>4851704.3200000012</v>
      </c>
      <c r="AD68" s="33"/>
    </row>
    <row r="69" spans="2:32" ht="15" thickTop="1">
      <c r="G69" s="30"/>
      <c r="H69" s="30"/>
      <c r="I69" s="30"/>
      <c r="J69" s="30"/>
      <c r="K69" s="29"/>
      <c r="L69" s="30"/>
      <c r="M69" s="29"/>
      <c r="N69" s="30"/>
      <c r="O69" s="29"/>
      <c r="P69" s="30"/>
      <c r="Q69" s="29"/>
      <c r="R69" s="30"/>
      <c r="S69" s="29"/>
      <c r="T69" s="30"/>
      <c r="U69" s="29"/>
      <c r="V69" s="30"/>
      <c r="W69" s="29"/>
      <c r="X69" s="30"/>
      <c r="Y69" s="29"/>
      <c r="Z69" s="30"/>
      <c r="AA69" s="29"/>
      <c r="AB69" s="8"/>
      <c r="AC69" s="29"/>
      <c r="AD69" s="30"/>
    </row>
    <row r="70" spans="2:32">
      <c r="AC70" s="1"/>
    </row>
    <row r="71" spans="2:32">
      <c r="W71" s="7"/>
    </row>
    <row r="72" spans="2:32">
      <c r="C72" s="34"/>
      <c r="D72" s="34"/>
      <c r="E72" s="34"/>
      <c r="F72" s="34"/>
      <c r="G72" s="143">
        <v>2.775347522522463E-2</v>
      </c>
      <c r="I72" s="143">
        <f>'WSKY Allocation Factors'!M34</f>
        <v>2.6393242386234278E-2</v>
      </c>
    </row>
    <row r="73" spans="2:32">
      <c r="E73" s="6"/>
      <c r="F73" s="6"/>
      <c r="AC73" s="1"/>
    </row>
    <row r="74" spans="2:32">
      <c r="E74" s="6"/>
      <c r="F74" s="6"/>
      <c r="AC74" s="1"/>
    </row>
    <row r="75" spans="2:32" ht="15" thickBot="1">
      <c r="G75" s="308">
        <f>G68*G72</f>
        <v>134651.65564523535</v>
      </c>
      <c r="H75" s="308"/>
      <c r="I75" s="308">
        <f>I68*I72</f>
        <v>139926.10520496886</v>
      </c>
      <c r="AC75" s="1"/>
    </row>
    <row r="76" spans="2:32" ht="15" thickTop="1"/>
  </sheetData>
  <sortState ref="A10:GU66">
    <sortCondition ref="C10:C66"/>
  </sortState>
  <pageMargins left="0.7" right="0.7" top="0.75" bottom="0.75" header="0.3" footer="0.3"/>
  <pageSetup scale="31" orientation="portrait" r:id="rId1"/>
  <colBreaks count="1" manualBreakCount="1"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75"/>
  <sheetViews>
    <sheetView view="pageBreakPreview" zoomScale="85" zoomScaleNormal="85" zoomScaleSheetLayoutView="85" workbookViewId="0">
      <pane xSplit="3" ySplit="9" topLeftCell="G55" activePane="bottomRight" state="frozen"/>
      <selection pane="topRight" activeCell="D1" sqref="D1"/>
      <selection pane="bottomLeft" activeCell="A10" sqref="A10"/>
      <selection pane="bottomRight" activeCell="C10" sqref="C10:C66"/>
    </sheetView>
  </sheetViews>
  <sheetFormatPr defaultColWidth="10.140625" defaultRowHeight="14.25"/>
  <cols>
    <col min="1" max="1" width="3.85546875" style="1" customWidth="1"/>
    <col min="2" max="2" width="4.140625" style="1" customWidth="1"/>
    <col min="3" max="4" width="11.5703125" style="1" bestFit="1" customWidth="1"/>
    <col min="5" max="5" width="27.85546875" style="1" bestFit="1" customWidth="1"/>
    <col min="6" max="6" width="27.85546875" style="1" customWidth="1"/>
    <col min="7" max="7" width="16.42578125" style="1" bestFit="1" customWidth="1"/>
    <col min="8" max="8" width="3" style="1" customWidth="1"/>
    <col min="9" max="10" width="16.42578125" style="1" bestFit="1" customWidth="1"/>
    <col min="11" max="11" width="3" style="1" customWidth="1"/>
    <col min="12" max="24" width="14.140625" style="1" customWidth="1"/>
    <col min="25" max="25" width="3" style="1" customWidth="1"/>
    <col min="26" max="26" width="16.7109375" style="1" hidden="1" customWidth="1"/>
    <col min="27" max="27" width="3" style="1" hidden="1" customWidth="1"/>
    <col min="28" max="28" width="12.28515625" style="1" hidden="1" customWidth="1"/>
    <col min="29" max="29" width="3" style="1" hidden="1" customWidth="1"/>
    <col min="30" max="30" width="13.28515625" style="1" hidden="1" customWidth="1"/>
    <col min="31" max="31" width="3" style="1" hidden="1" customWidth="1"/>
    <col min="32" max="32" width="14" style="1" hidden="1" customWidth="1"/>
    <col min="33" max="33" width="3" style="1" hidden="1" customWidth="1"/>
    <col min="34" max="34" width="11.42578125" style="1" hidden="1" customWidth="1"/>
    <col min="35" max="35" width="3" style="1" hidden="1" customWidth="1"/>
    <col min="36" max="36" width="11.28515625" style="1" hidden="1" customWidth="1"/>
    <col min="37" max="37" width="3" style="1" hidden="1" customWidth="1"/>
    <col min="38" max="38" width="12.42578125" style="1" hidden="1" customWidth="1"/>
    <col min="39" max="39" width="3" style="1" hidden="1" customWidth="1"/>
    <col min="40" max="40" width="11.42578125" style="1" hidden="1" customWidth="1"/>
    <col min="41" max="41" width="3" style="1" hidden="1" customWidth="1"/>
    <col min="42" max="42" width="11" style="1" hidden="1" customWidth="1"/>
    <col min="43" max="43" width="3" style="1" hidden="1" customWidth="1"/>
    <col min="44" max="44" width="14" style="8" hidden="1" customWidth="1"/>
    <col min="45" max="46" width="3" style="1" customWidth="1"/>
    <col min="47" max="16384" width="10.140625" style="1"/>
  </cols>
  <sheetData>
    <row r="1" spans="1:216">
      <c r="A1" s="1" t="s">
        <v>176</v>
      </c>
      <c r="C1" s="2"/>
      <c r="D1" s="2"/>
      <c r="E1" s="2"/>
      <c r="F1" s="2"/>
      <c r="AP1" s="4"/>
      <c r="AR1" s="5"/>
      <c r="AS1" s="2"/>
    </row>
    <row r="2" spans="1:216">
      <c r="A2" s="1" t="s">
        <v>360</v>
      </c>
      <c r="C2" s="2"/>
      <c r="D2" s="2"/>
      <c r="E2" s="2"/>
      <c r="F2" s="2"/>
      <c r="AB2" s="7"/>
    </row>
    <row r="3" spans="1:216">
      <c r="F3" s="218" t="s">
        <v>0</v>
      </c>
      <c r="G3" s="9"/>
      <c r="AB3" s="7"/>
      <c r="AJ3" s="10"/>
    </row>
    <row r="4" spans="1:216">
      <c r="A4" s="11"/>
      <c r="AB4" s="7"/>
      <c r="AJ4" s="10"/>
      <c r="AP4" s="7"/>
    </row>
    <row r="5" spans="1:216">
      <c r="C5" s="11"/>
      <c r="D5" s="11"/>
      <c r="E5" s="11"/>
      <c r="F5" s="11"/>
      <c r="AB5" s="12"/>
      <c r="AJ5" s="7"/>
      <c r="AL5" s="7"/>
      <c r="AR5" s="13"/>
    </row>
    <row r="6" spans="1:216">
      <c r="C6" s="14"/>
      <c r="D6" s="14"/>
      <c r="E6" s="14"/>
      <c r="F6" s="14"/>
      <c r="G6" s="217" t="s">
        <v>336</v>
      </c>
      <c r="I6" s="217" t="s">
        <v>356</v>
      </c>
      <c r="J6" s="217" t="s">
        <v>357</v>
      </c>
      <c r="AD6" s="16"/>
      <c r="AH6" s="17"/>
      <c r="AI6" s="8"/>
      <c r="AJ6" s="8"/>
      <c r="AK6" s="18"/>
      <c r="AL6" s="18" t="s">
        <v>24</v>
      </c>
      <c r="AM6" s="8"/>
      <c r="AN6" s="8"/>
      <c r="AO6" s="8"/>
      <c r="AR6" s="15"/>
      <c r="AS6" s="15"/>
    </row>
    <row r="7" spans="1:216" ht="15">
      <c r="A7" s="19"/>
      <c r="B7" s="25" t="s">
        <v>15</v>
      </c>
      <c r="C7" s="20"/>
      <c r="D7" s="20"/>
      <c r="E7" s="20"/>
      <c r="F7" s="20"/>
      <c r="G7" s="15" t="s">
        <v>1</v>
      </c>
      <c r="H7" s="19"/>
      <c r="I7" s="15" t="s">
        <v>1</v>
      </c>
      <c r="J7" s="15" t="s">
        <v>1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 t="s">
        <v>2</v>
      </c>
      <c r="AA7" s="19"/>
      <c r="AB7" s="19" t="s">
        <v>3</v>
      </c>
      <c r="AC7" s="19"/>
      <c r="AD7" s="19" t="s">
        <v>4</v>
      </c>
      <c r="AE7" s="19"/>
      <c r="AF7" s="19" t="s">
        <v>5</v>
      </c>
      <c r="AG7" s="19"/>
      <c r="AH7" s="19" t="s">
        <v>6</v>
      </c>
      <c r="AI7" s="19"/>
      <c r="AJ7" s="19" t="s">
        <v>18</v>
      </c>
      <c r="AK7" s="19"/>
      <c r="AL7" s="19" t="s">
        <v>25</v>
      </c>
      <c r="AM7" s="19"/>
      <c r="AN7" s="17"/>
      <c r="AO7" s="19"/>
      <c r="AP7" s="19" t="s">
        <v>5</v>
      </c>
      <c r="AQ7" s="19"/>
      <c r="AR7" s="21"/>
      <c r="AS7" s="18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</row>
    <row r="8" spans="1:216">
      <c r="A8" s="19"/>
      <c r="B8" s="19"/>
      <c r="C8" s="22" t="s">
        <v>20</v>
      </c>
      <c r="D8" s="22" t="s">
        <v>21</v>
      </c>
      <c r="E8" s="22" t="s">
        <v>19</v>
      </c>
      <c r="F8" s="22" t="s">
        <v>177</v>
      </c>
      <c r="G8" s="22" t="s">
        <v>7</v>
      </c>
      <c r="H8" s="19"/>
      <c r="I8" s="22" t="s">
        <v>7</v>
      </c>
      <c r="J8" s="22" t="s">
        <v>7</v>
      </c>
      <c r="K8" s="19"/>
      <c r="L8" s="305">
        <v>41851</v>
      </c>
      <c r="M8" s="305">
        <v>41882</v>
      </c>
      <c r="N8" s="305">
        <v>41912</v>
      </c>
      <c r="O8" s="305">
        <v>41943</v>
      </c>
      <c r="P8" s="305">
        <v>41973</v>
      </c>
      <c r="Q8" s="305">
        <v>42004</v>
      </c>
      <c r="R8" s="305">
        <v>42035</v>
      </c>
      <c r="S8" s="305">
        <v>42063</v>
      </c>
      <c r="T8" s="305">
        <v>42094</v>
      </c>
      <c r="U8" s="305">
        <v>42124</v>
      </c>
      <c r="V8" s="305">
        <v>42155</v>
      </c>
      <c r="W8" s="305">
        <v>42185</v>
      </c>
      <c r="X8" s="19"/>
      <c r="Y8" s="19"/>
      <c r="Z8" s="23" t="s">
        <v>8</v>
      </c>
      <c r="AA8" s="19"/>
      <c r="AB8" s="23" t="s">
        <v>9</v>
      </c>
      <c r="AC8" s="19"/>
      <c r="AD8" s="23" t="s">
        <v>174</v>
      </c>
      <c r="AE8" s="19"/>
      <c r="AF8" s="23" t="s">
        <v>10</v>
      </c>
      <c r="AG8" s="19"/>
      <c r="AH8" s="23" t="s">
        <v>11</v>
      </c>
      <c r="AI8" s="19"/>
      <c r="AJ8" s="35">
        <v>0.03</v>
      </c>
      <c r="AK8" s="19"/>
      <c r="AL8" s="35">
        <v>0.04</v>
      </c>
      <c r="AM8" s="19"/>
      <c r="AN8" s="23" t="s">
        <v>12</v>
      </c>
      <c r="AO8" s="19"/>
      <c r="AP8" s="23" t="s">
        <v>13</v>
      </c>
      <c r="AQ8" s="18"/>
      <c r="AR8" s="22" t="s">
        <v>14</v>
      </c>
      <c r="AS8" s="24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</row>
    <row r="9" spans="1:216">
      <c r="G9" s="26"/>
      <c r="AR9" s="26"/>
      <c r="AS9" s="27"/>
    </row>
    <row r="10" spans="1:216" ht="13.5" customHeight="1">
      <c r="B10" s="28">
        <v>1</v>
      </c>
      <c r="C10" s="3" t="s">
        <v>142</v>
      </c>
      <c r="D10" s="3" t="s">
        <v>58</v>
      </c>
      <c r="E10" s="3" t="s">
        <v>28</v>
      </c>
      <c r="F10" s="3" t="s">
        <v>178</v>
      </c>
      <c r="G10" s="29">
        <f t="shared" ref="G10:G66" si="0">AR10</f>
        <v>172995.59999999998</v>
      </c>
      <c r="H10" s="30"/>
      <c r="I10" s="30">
        <f>G10*1.03</f>
        <v>178185.46799999999</v>
      </c>
      <c r="J10" s="30">
        <f>I10*1.03</f>
        <v>183531.03203999999</v>
      </c>
      <c r="K10" s="30"/>
      <c r="L10" s="36">
        <f>$I10/12</f>
        <v>14848.788999999999</v>
      </c>
      <c r="M10" s="36">
        <f t="shared" ref="M10:T25" si="1">$I10/12</f>
        <v>14848.788999999999</v>
      </c>
      <c r="N10" s="36">
        <f t="shared" si="1"/>
        <v>14848.788999999999</v>
      </c>
      <c r="O10" s="36">
        <f t="shared" si="1"/>
        <v>14848.788999999999</v>
      </c>
      <c r="P10" s="36">
        <f t="shared" si="1"/>
        <v>14848.788999999999</v>
      </c>
      <c r="Q10" s="36">
        <f t="shared" si="1"/>
        <v>14848.788999999999</v>
      </c>
      <c r="R10" s="36">
        <f t="shared" si="1"/>
        <v>14848.788999999999</v>
      </c>
      <c r="S10" s="36">
        <f t="shared" si="1"/>
        <v>14848.788999999999</v>
      </c>
      <c r="T10" s="36">
        <f t="shared" si="1"/>
        <v>14848.788999999999</v>
      </c>
      <c r="U10" s="36">
        <f>$J10/12</f>
        <v>15294.25267</v>
      </c>
      <c r="V10" s="36">
        <f t="shared" ref="V10:W25" si="2">$J10/12</f>
        <v>15294.25267</v>
      </c>
      <c r="W10" s="36">
        <f t="shared" si="2"/>
        <v>15294.25267</v>
      </c>
      <c r="X10" s="30"/>
      <c r="Y10" s="30"/>
      <c r="Z10" s="30">
        <f>IF(G10&lt;110100, G10*7.65%, 110100*6.2%+G10*1.45%)</f>
        <v>9334.636199999999</v>
      </c>
      <c r="AA10" s="30"/>
      <c r="AB10" s="30">
        <f t="shared" ref="AB10:AB66" si="3">7000*0.008</f>
        <v>56</v>
      </c>
      <c r="AC10" s="30"/>
      <c r="AD10" s="29">
        <f t="shared" ref="AD10:AD66" si="4">12900*8.95%</f>
        <v>1154.55</v>
      </c>
      <c r="AE10" s="30"/>
      <c r="AF10" s="30">
        <f t="shared" ref="AF10:AF66" si="5">+Z10+AB10+AD10</f>
        <v>10545.186199999998</v>
      </c>
      <c r="AG10" s="30"/>
      <c r="AH10" s="30">
        <v>7482</v>
      </c>
      <c r="AI10" s="30"/>
      <c r="AJ10" s="30">
        <f>+G10*$AJ$8</f>
        <v>5189.8679999999995</v>
      </c>
      <c r="AK10" s="30"/>
      <c r="AL10" s="30">
        <f>+G10*AL$8</f>
        <v>6919.8239999999996</v>
      </c>
      <c r="AM10" s="30"/>
      <c r="AN10" s="30">
        <v>454</v>
      </c>
      <c r="AO10" s="30"/>
      <c r="AP10" s="30">
        <f t="shared" ref="AP10:AP66" si="6">+AH10+AJ10+AL10+AN10</f>
        <v>20045.691999999999</v>
      </c>
      <c r="AR10" s="29">
        <f>7208.15*24</f>
        <v>172995.59999999998</v>
      </c>
      <c r="AS10" s="30"/>
      <c r="AU10" s="1" t="s">
        <v>7</v>
      </c>
    </row>
    <row r="11" spans="1:216">
      <c r="B11" s="28">
        <v>2</v>
      </c>
      <c r="C11" s="3" t="s">
        <v>97</v>
      </c>
      <c r="D11" s="3" t="s">
        <v>98</v>
      </c>
      <c r="E11" s="3" t="s">
        <v>29</v>
      </c>
      <c r="F11" s="3" t="s">
        <v>179</v>
      </c>
      <c r="G11" s="29">
        <f t="shared" si="0"/>
        <v>52520</v>
      </c>
      <c r="H11" s="30"/>
      <c r="I11" s="30">
        <f t="shared" ref="I11:I66" si="7">G11*1.03</f>
        <v>54095.6</v>
      </c>
      <c r="J11" s="30">
        <f t="shared" ref="J11:J66" si="8">I11*1.03</f>
        <v>55718.468000000001</v>
      </c>
      <c r="K11" s="30"/>
      <c r="L11" s="36">
        <f t="shared" ref="L11:T42" si="9">$I11/12</f>
        <v>4507.9666666666662</v>
      </c>
      <c r="M11" s="36">
        <f t="shared" si="1"/>
        <v>4507.9666666666662</v>
      </c>
      <c r="N11" s="36">
        <f t="shared" si="1"/>
        <v>4507.9666666666662</v>
      </c>
      <c r="O11" s="36">
        <f t="shared" si="1"/>
        <v>4507.9666666666662</v>
      </c>
      <c r="P11" s="36">
        <f t="shared" si="1"/>
        <v>4507.9666666666662</v>
      </c>
      <c r="Q11" s="36">
        <f t="shared" si="1"/>
        <v>4507.9666666666662</v>
      </c>
      <c r="R11" s="36">
        <f t="shared" si="1"/>
        <v>4507.9666666666662</v>
      </c>
      <c r="S11" s="36">
        <f t="shared" si="1"/>
        <v>4507.9666666666662</v>
      </c>
      <c r="T11" s="36">
        <f t="shared" si="1"/>
        <v>4507.9666666666662</v>
      </c>
      <c r="U11" s="36">
        <f t="shared" ref="U11:W42" si="10">$J11/12</f>
        <v>4643.2056666666667</v>
      </c>
      <c r="V11" s="36">
        <f t="shared" si="2"/>
        <v>4643.2056666666667</v>
      </c>
      <c r="W11" s="36">
        <f t="shared" si="2"/>
        <v>4643.2056666666667</v>
      </c>
      <c r="X11" s="30"/>
      <c r="Y11" s="30"/>
      <c r="Z11" s="30">
        <f>IF(G11&lt;110100, G11*7.65%, 110100*6.2%+G11*1.45%)</f>
        <v>4017.7799999999997</v>
      </c>
      <c r="AA11" s="30"/>
      <c r="AB11" s="30">
        <f t="shared" si="3"/>
        <v>56</v>
      </c>
      <c r="AC11" s="30"/>
      <c r="AD11" s="29">
        <f t="shared" si="4"/>
        <v>1154.55</v>
      </c>
      <c r="AE11" s="30"/>
      <c r="AF11" s="30">
        <f t="shared" si="5"/>
        <v>5228.33</v>
      </c>
      <c r="AG11" s="30"/>
      <c r="AH11" s="30">
        <v>7482</v>
      </c>
      <c r="AI11" s="30"/>
      <c r="AJ11" s="30">
        <f>+G11*$AJ$8</f>
        <v>1575.6</v>
      </c>
      <c r="AK11" s="30"/>
      <c r="AL11" s="30">
        <f>+G11*AL$8</f>
        <v>2100.8000000000002</v>
      </c>
      <c r="AM11" s="30"/>
      <c r="AN11" s="30">
        <v>454</v>
      </c>
      <c r="AO11" s="30"/>
      <c r="AP11" s="30">
        <f t="shared" si="6"/>
        <v>11612.400000000001</v>
      </c>
      <c r="AR11" s="29">
        <f>25.25*2080</f>
        <v>52520</v>
      </c>
      <c r="AS11" s="29"/>
      <c r="AU11" s="1" t="s">
        <v>175</v>
      </c>
    </row>
    <row r="12" spans="1:216">
      <c r="B12" s="28">
        <v>3</v>
      </c>
      <c r="C12" s="6" t="s">
        <v>22</v>
      </c>
      <c r="D12" s="6" t="s">
        <v>23</v>
      </c>
      <c r="E12" s="6" t="s">
        <v>30</v>
      </c>
      <c r="F12" s="6" t="s">
        <v>180</v>
      </c>
      <c r="G12" s="29">
        <f t="shared" si="0"/>
        <v>62999.28</v>
      </c>
      <c r="H12" s="30"/>
      <c r="I12" s="30">
        <f t="shared" si="7"/>
        <v>64889.258399999999</v>
      </c>
      <c r="J12" s="30">
        <f t="shared" si="8"/>
        <v>66835.936151999995</v>
      </c>
      <c r="K12" s="30"/>
      <c r="L12" s="36">
        <f t="shared" si="9"/>
        <v>5407.4381999999996</v>
      </c>
      <c r="M12" s="36">
        <f t="shared" si="1"/>
        <v>5407.4381999999996</v>
      </c>
      <c r="N12" s="36">
        <f t="shared" si="1"/>
        <v>5407.4381999999996</v>
      </c>
      <c r="O12" s="36">
        <f t="shared" si="1"/>
        <v>5407.4381999999996</v>
      </c>
      <c r="P12" s="36">
        <f t="shared" si="1"/>
        <v>5407.4381999999996</v>
      </c>
      <c r="Q12" s="36">
        <f t="shared" si="1"/>
        <v>5407.4381999999996</v>
      </c>
      <c r="R12" s="36">
        <f t="shared" si="1"/>
        <v>5407.4381999999996</v>
      </c>
      <c r="S12" s="36">
        <f t="shared" si="1"/>
        <v>5407.4381999999996</v>
      </c>
      <c r="T12" s="36">
        <f t="shared" si="1"/>
        <v>5407.4381999999996</v>
      </c>
      <c r="U12" s="36">
        <f t="shared" si="10"/>
        <v>5569.6613459999999</v>
      </c>
      <c r="V12" s="36">
        <f t="shared" si="2"/>
        <v>5569.6613459999999</v>
      </c>
      <c r="W12" s="36">
        <f t="shared" si="2"/>
        <v>5569.6613459999999</v>
      </c>
      <c r="X12" s="30"/>
      <c r="Y12" s="30"/>
      <c r="Z12" s="30">
        <f>IF(G12&lt;110100, G12*7.65%, 110100*6.2%+G12*1.45%)</f>
        <v>4819.4449199999999</v>
      </c>
      <c r="AA12" s="30"/>
      <c r="AB12" s="30">
        <f t="shared" si="3"/>
        <v>56</v>
      </c>
      <c r="AC12" s="30"/>
      <c r="AD12" s="29">
        <f t="shared" si="4"/>
        <v>1154.55</v>
      </c>
      <c r="AE12" s="30"/>
      <c r="AF12" s="30">
        <f t="shared" si="5"/>
        <v>6029.9949200000001</v>
      </c>
      <c r="AG12" s="30"/>
      <c r="AH12" s="30">
        <v>7482</v>
      </c>
      <c r="AI12" s="30"/>
      <c r="AJ12" s="30">
        <f>+G12*$AJ$8</f>
        <v>1889.9784</v>
      </c>
      <c r="AK12" s="30"/>
      <c r="AL12" s="30">
        <f>+G12*AL$8</f>
        <v>2519.9712</v>
      </c>
      <c r="AM12" s="30"/>
      <c r="AN12" s="30">
        <v>454</v>
      </c>
      <c r="AO12" s="30"/>
      <c r="AP12" s="30">
        <f t="shared" si="6"/>
        <v>12345.9496</v>
      </c>
      <c r="AR12" s="29">
        <f>2624.97*24</f>
        <v>62999.28</v>
      </c>
      <c r="AS12" s="30"/>
      <c r="AU12" s="7" t="s">
        <v>7</v>
      </c>
    </row>
    <row r="13" spans="1:216">
      <c r="B13" s="28">
        <v>4</v>
      </c>
      <c r="C13" s="3" t="s">
        <v>115</v>
      </c>
      <c r="D13" s="3" t="s">
        <v>116</v>
      </c>
      <c r="E13" s="3" t="s">
        <v>119</v>
      </c>
      <c r="F13" s="3" t="s">
        <v>181</v>
      </c>
      <c r="G13" s="29">
        <f t="shared" si="0"/>
        <v>52644.799999999996</v>
      </c>
      <c r="H13" s="30"/>
      <c r="I13" s="30">
        <f t="shared" si="7"/>
        <v>54224.144</v>
      </c>
      <c r="J13" s="30">
        <f t="shared" si="8"/>
        <v>55850.868320000001</v>
      </c>
      <c r="K13" s="30"/>
      <c r="L13" s="36">
        <f t="shared" si="9"/>
        <v>4518.6786666666667</v>
      </c>
      <c r="M13" s="36">
        <f t="shared" si="1"/>
        <v>4518.6786666666667</v>
      </c>
      <c r="N13" s="36">
        <f t="shared" si="1"/>
        <v>4518.6786666666667</v>
      </c>
      <c r="O13" s="36">
        <f t="shared" si="1"/>
        <v>4518.6786666666667</v>
      </c>
      <c r="P13" s="36">
        <f t="shared" si="1"/>
        <v>4518.6786666666667</v>
      </c>
      <c r="Q13" s="36">
        <f t="shared" si="1"/>
        <v>4518.6786666666667</v>
      </c>
      <c r="R13" s="36">
        <f t="shared" si="1"/>
        <v>4518.6786666666667</v>
      </c>
      <c r="S13" s="36">
        <f t="shared" si="1"/>
        <v>4518.6786666666667</v>
      </c>
      <c r="T13" s="36">
        <f t="shared" si="1"/>
        <v>4518.6786666666667</v>
      </c>
      <c r="U13" s="36">
        <f t="shared" si="10"/>
        <v>4654.2390266666671</v>
      </c>
      <c r="V13" s="36">
        <f t="shared" si="2"/>
        <v>4654.2390266666671</v>
      </c>
      <c r="W13" s="36">
        <f t="shared" si="2"/>
        <v>4654.2390266666671</v>
      </c>
      <c r="X13" s="30"/>
      <c r="Y13" s="30"/>
      <c r="Z13" s="30">
        <f>IF(G13&lt;110100, G13*7.65%, 110100*6.2%+G13*1.45%)</f>
        <v>4027.3271999999997</v>
      </c>
      <c r="AA13" s="30"/>
      <c r="AB13" s="30">
        <f t="shared" si="3"/>
        <v>56</v>
      </c>
      <c r="AC13" s="30"/>
      <c r="AD13" s="29">
        <f t="shared" si="4"/>
        <v>1154.55</v>
      </c>
      <c r="AE13" s="30"/>
      <c r="AF13" s="30">
        <f t="shared" si="5"/>
        <v>5237.8771999999999</v>
      </c>
      <c r="AG13" s="30"/>
      <c r="AH13" s="30">
        <v>7482</v>
      </c>
      <c r="AI13" s="30"/>
      <c r="AJ13" s="30">
        <f>+G13*$AJ$8</f>
        <v>1579.3439999999998</v>
      </c>
      <c r="AK13" s="30"/>
      <c r="AL13" s="30">
        <f>+G13*AL$8</f>
        <v>2105.7919999999999</v>
      </c>
      <c r="AM13" s="30"/>
      <c r="AN13" s="30">
        <v>454</v>
      </c>
      <c r="AO13" s="30"/>
      <c r="AP13" s="30">
        <f t="shared" si="6"/>
        <v>11621.135999999999</v>
      </c>
      <c r="AR13" s="29">
        <f>25.31*2080</f>
        <v>52644.799999999996</v>
      </c>
      <c r="AS13" s="29"/>
      <c r="AU13" s="1" t="s">
        <v>175</v>
      </c>
    </row>
    <row r="14" spans="1:216">
      <c r="B14" s="28">
        <v>5</v>
      </c>
      <c r="C14" s="1" t="s">
        <v>169</v>
      </c>
      <c r="D14" s="1" t="s">
        <v>170</v>
      </c>
      <c r="E14" s="6" t="s">
        <v>85</v>
      </c>
      <c r="F14" s="6" t="s">
        <v>182</v>
      </c>
      <c r="G14" s="29">
        <f t="shared" si="0"/>
        <v>37502.400000000001</v>
      </c>
      <c r="I14" s="30">
        <f t="shared" si="7"/>
        <v>38627.472000000002</v>
      </c>
      <c r="J14" s="30">
        <f t="shared" si="8"/>
        <v>39786.296160000005</v>
      </c>
      <c r="L14" s="36">
        <f t="shared" si="9"/>
        <v>3218.9560000000001</v>
      </c>
      <c r="M14" s="36">
        <f t="shared" si="1"/>
        <v>3218.9560000000001</v>
      </c>
      <c r="N14" s="36">
        <f t="shared" si="1"/>
        <v>3218.9560000000001</v>
      </c>
      <c r="O14" s="36">
        <f t="shared" si="1"/>
        <v>3218.9560000000001</v>
      </c>
      <c r="P14" s="36">
        <f t="shared" si="1"/>
        <v>3218.9560000000001</v>
      </c>
      <c r="Q14" s="36">
        <f t="shared" si="1"/>
        <v>3218.9560000000001</v>
      </c>
      <c r="R14" s="36">
        <f t="shared" si="1"/>
        <v>3218.9560000000001</v>
      </c>
      <c r="S14" s="36">
        <f t="shared" si="1"/>
        <v>3218.9560000000001</v>
      </c>
      <c r="T14" s="36">
        <f t="shared" si="1"/>
        <v>3218.9560000000001</v>
      </c>
      <c r="U14" s="36">
        <f t="shared" si="10"/>
        <v>3315.5246800000004</v>
      </c>
      <c r="V14" s="36">
        <f t="shared" si="2"/>
        <v>3315.5246800000004</v>
      </c>
      <c r="W14" s="36">
        <f t="shared" si="2"/>
        <v>3315.5246800000004</v>
      </c>
      <c r="Z14" s="30">
        <f>IF(G14&lt;110100, G14*7.65%, 110100*6.2%+G14*1.45%)</f>
        <v>2868.9335999999998</v>
      </c>
      <c r="AA14" s="30"/>
      <c r="AB14" s="30">
        <f t="shared" si="3"/>
        <v>56</v>
      </c>
      <c r="AC14" s="30"/>
      <c r="AD14" s="29">
        <f t="shared" si="4"/>
        <v>1154.55</v>
      </c>
      <c r="AE14" s="30"/>
      <c r="AF14" s="30">
        <f t="shared" si="5"/>
        <v>4079.4835999999996</v>
      </c>
      <c r="AG14" s="30"/>
      <c r="AH14" s="30">
        <v>7482</v>
      </c>
      <c r="AI14" s="30"/>
      <c r="AJ14" s="30">
        <f>+G14*$AJ$8</f>
        <v>1125.0719999999999</v>
      </c>
      <c r="AK14" s="30"/>
      <c r="AL14" s="30">
        <f>+G14*AL$8</f>
        <v>1500.096</v>
      </c>
      <c r="AM14" s="30"/>
      <c r="AN14" s="30">
        <v>454</v>
      </c>
      <c r="AO14" s="30"/>
      <c r="AP14" s="30">
        <f t="shared" si="6"/>
        <v>10561.168</v>
      </c>
      <c r="AR14" s="29">
        <f>18.03*2080</f>
        <v>37502.400000000001</v>
      </c>
      <c r="AU14" s="1" t="s">
        <v>175</v>
      </c>
    </row>
    <row r="15" spans="1:216">
      <c r="B15" s="28">
        <v>6</v>
      </c>
      <c r="C15" s="3" t="s">
        <v>137</v>
      </c>
      <c r="D15" s="3" t="s">
        <v>138</v>
      </c>
      <c r="E15" s="3" t="s">
        <v>139</v>
      </c>
      <c r="F15" s="3" t="s">
        <v>183</v>
      </c>
      <c r="G15" s="29">
        <f t="shared" si="0"/>
        <v>100000.08</v>
      </c>
      <c r="H15" s="30"/>
      <c r="I15" s="30">
        <f t="shared" si="7"/>
        <v>103000.0824</v>
      </c>
      <c r="J15" s="30">
        <f t="shared" si="8"/>
        <v>106090.08487200001</v>
      </c>
      <c r="K15" s="30"/>
      <c r="L15" s="36">
        <f t="shared" si="9"/>
        <v>8583.3402000000006</v>
      </c>
      <c r="M15" s="36">
        <f t="shared" si="1"/>
        <v>8583.3402000000006</v>
      </c>
      <c r="N15" s="36">
        <f t="shared" si="1"/>
        <v>8583.3402000000006</v>
      </c>
      <c r="O15" s="36">
        <f t="shared" si="1"/>
        <v>8583.3402000000006</v>
      </c>
      <c r="P15" s="36">
        <f t="shared" si="1"/>
        <v>8583.3402000000006</v>
      </c>
      <c r="Q15" s="36">
        <f t="shared" si="1"/>
        <v>8583.3402000000006</v>
      </c>
      <c r="R15" s="36">
        <f t="shared" si="1"/>
        <v>8583.3402000000006</v>
      </c>
      <c r="S15" s="36">
        <f t="shared" si="1"/>
        <v>8583.3402000000006</v>
      </c>
      <c r="T15" s="36">
        <f t="shared" si="1"/>
        <v>8583.3402000000006</v>
      </c>
      <c r="U15" s="36">
        <f t="shared" si="10"/>
        <v>8840.8404060000012</v>
      </c>
      <c r="V15" s="36">
        <f t="shared" si="2"/>
        <v>8840.8404060000012</v>
      </c>
      <c r="W15" s="36">
        <f t="shared" si="2"/>
        <v>8840.8404060000012</v>
      </c>
      <c r="X15" s="30"/>
      <c r="Y15" s="30"/>
      <c r="Z15" s="30">
        <f>IF(G15&lt;110100, G15*7.65%, 110100*6.2%+G15*1.45%)</f>
        <v>7650.00612</v>
      </c>
      <c r="AA15" s="30"/>
      <c r="AB15" s="30">
        <f t="shared" si="3"/>
        <v>56</v>
      </c>
      <c r="AC15" s="30"/>
      <c r="AD15" s="29">
        <f t="shared" si="4"/>
        <v>1154.55</v>
      </c>
      <c r="AE15" s="30"/>
      <c r="AF15" s="30">
        <f t="shared" si="5"/>
        <v>8860.5561199999993</v>
      </c>
      <c r="AG15" s="30"/>
      <c r="AH15" s="30">
        <v>7482</v>
      </c>
      <c r="AI15" s="30"/>
      <c r="AJ15" s="30">
        <f>+G15*$AJ$8</f>
        <v>3000.0023999999999</v>
      </c>
      <c r="AK15" s="30"/>
      <c r="AL15" s="30">
        <f>+G15*AL$8</f>
        <v>4000.0032000000001</v>
      </c>
      <c r="AM15" s="30"/>
      <c r="AN15" s="30">
        <v>454</v>
      </c>
      <c r="AO15" s="30"/>
      <c r="AP15" s="30">
        <f t="shared" si="6"/>
        <v>14936.0056</v>
      </c>
      <c r="AR15" s="29">
        <f>4166.67*24</f>
        <v>100000.08</v>
      </c>
      <c r="AS15" s="30"/>
      <c r="AU15" s="1" t="s">
        <v>7</v>
      </c>
    </row>
    <row r="16" spans="1:216">
      <c r="B16" s="28">
        <v>7</v>
      </c>
      <c r="C16" s="3" t="s">
        <v>154</v>
      </c>
      <c r="D16" s="3" t="s">
        <v>155</v>
      </c>
      <c r="E16" s="3" t="s">
        <v>156</v>
      </c>
      <c r="F16" s="3" t="s">
        <v>184</v>
      </c>
      <c r="G16" s="29">
        <f t="shared" si="0"/>
        <v>31824</v>
      </c>
      <c r="H16" s="30"/>
      <c r="I16" s="30">
        <f t="shared" si="7"/>
        <v>32778.720000000001</v>
      </c>
      <c r="J16" s="30">
        <f t="shared" si="8"/>
        <v>33762.081600000005</v>
      </c>
      <c r="K16" s="30"/>
      <c r="L16" s="36">
        <f t="shared" si="9"/>
        <v>2731.56</v>
      </c>
      <c r="M16" s="36">
        <f t="shared" si="1"/>
        <v>2731.56</v>
      </c>
      <c r="N16" s="36">
        <f t="shared" si="1"/>
        <v>2731.56</v>
      </c>
      <c r="O16" s="36">
        <f t="shared" si="1"/>
        <v>2731.56</v>
      </c>
      <c r="P16" s="36">
        <f t="shared" si="1"/>
        <v>2731.56</v>
      </c>
      <c r="Q16" s="36">
        <f t="shared" si="1"/>
        <v>2731.56</v>
      </c>
      <c r="R16" s="36">
        <f t="shared" si="1"/>
        <v>2731.56</v>
      </c>
      <c r="S16" s="36">
        <f t="shared" si="1"/>
        <v>2731.56</v>
      </c>
      <c r="T16" s="36">
        <f t="shared" si="1"/>
        <v>2731.56</v>
      </c>
      <c r="U16" s="36">
        <f t="shared" si="10"/>
        <v>2813.5068000000006</v>
      </c>
      <c r="V16" s="36">
        <f t="shared" si="2"/>
        <v>2813.5068000000006</v>
      </c>
      <c r="W16" s="36">
        <f t="shared" si="2"/>
        <v>2813.5068000000006</v>
      </c>
      <c r="X16" s="30"/>
      <c r="Y16" s="30"/>
      <c r="Z16" s="30">
        <f>IF(G16&lt;110100, G16*7.65%, 110100*6.2%+G16*1.45%)</f>
        <v>2434.5360000000001</v>
      </c>
      <c r="AA16" s="30"/>
      <c r="AB16" s="30">
        <f t="shared" si="3"/>
        <v>56</v>
      </c>
      <c r="AC16" s="30"/>
      <c r="AD16" s="29">
        <f t="shared" si="4"/>
        <v>1154.55</v>
      </c>
      <c r="AE16" s="30"/>
      <c r="AF16" s="30">
        <f t="shared" si="5"/>
        <v>3645.0860000000002</v>
      </c>
      <c r="AG16" s="30"/>
      <c r="AH16" s="30">
        <v>7482</v>
      </c>
      <c r="AI16" s="30"/>
      <c r="AJ16" s="30">
        <f>+G16*$AJ$8</f>
        <v>954.71999999999991</v>
      </c>
      <c r="AK16" s="30"/>
      <c r="AL16" s="30">
        <f>+G16*AL$8</f>
        <v>1272.96</v>
      </c>
      <c r="AM16" s="30"/>
      <c r="AN16" s="30">
        <v>454</v>
      </c>
      <c r="AO16" s="30"/>
      <c r="AP16" s="30">
        <f t="shared" si="6"/>
        <v>10163.68</v>
      </c>
      <c r="AR16" s="29">
        <f>15.3*2080</f>
        <v>31824</v>
      </c>
      <c r="AS16" s="30"/>
      <c r="AU16" s="1" t="s">
        <v>175</v>
      </c>
    </row>
    <row r="17" spans="1:216">
      <c r="B17" s="28">
        <v>8</v>
      </c>
      <c r="C17" s="6" t="s">
        <v>35</v>
      </c>
      <c r="D17" s="6" t="s">
        <v>36</v>
      </c>
      <c r="E17" s="6" t="s">
        <v>37</v>
      </c>
      <c r="F17" s="6" t="s">
        <v>185</v>
      </c>
      <c r="G17" s="29">
        <f t="shared" si="0"/>
        <v>65298.240000000005</v>
      </c>
      <c r="H17" s="30"/>
      <c r="I17" s="30">
        <f t="shared" si="7"/>
        <v>67257.1872</v>
      </c>
      <c r="J17" s="30">
        <f t="shared" si="8"/>
        <v>69274.902816000002</v>
      </c>
      <c r="K17" s="30"/>
      <c r="L17" s="36">
        <f t="shared" si="9"/>
        <v>5604.7655999999997</v>
      </c>
      <c r="M17" s="36">
        <f t="shared" si="1"/>
        <v>5604.7655999999997</v>
      </c>
      <c r="N17" s="36">
        <f t="shared" si="1"/>
        <v>5604.7655999999997</v>
      </c>
      <c r="O17" s="36">
        <f t="shared" si="1"/>
        <v>5604.7655999999997</v>
      </c>
      <c r="P17" s="36">
        <f t="shared" si="1"/>
        <v>5604.7655999999997</v>
      </c>
      <c r="Q17" s="36">
        <f t="shared" si="1"/>
        <v>5604.7655999999997</v>
      </c>
      <c r="R17" s="36">
        <f t="shared" si="1"/>
        <v>5604.7655999999997</v>
      </c>
      <c r="S17" s="36">
        <f t="shared" si="1"/>
        <v>5604.7655999999997</v>
      </c>
      <c r="T17" s="36">
        <f t="shared" si="1"/>
        <v>5604.7655999999997</v>
      </c>
      <c r="U17" s="36">
        <f t="shared" si="10"/>
        <v>5772.9085679999998</v>
      </c>
      <c r="V17" s="36">
        <f t="shared" si="2"/>
        <v>5772.9085679999998</v>
      </c>
      <c r="W17" s="36">
        <f t="shared" si="2"/>
        <v>5772.9085679999998</v>
      </c>
      <c r="X17" s="30"/>
      <c r="Y17" s="30"/>
      <c r="Z17" s="30">
        <f>IF(G17&lt;110100, G17*7.65%, 110100*6.2%+G17*1.45%)</f>
        <v>4995.3153600000005</v>
      </c>
      <c r="AA17" s="30"/>
      <c r="AB17" s="30">
        <f t="shared" si="3"/>
        <v>56</v>
      </c>
      <c r="AC17" s="30"/>
      <c r="AD17" s="29">
        <f t="shared" si="4"/>
        <v>1154.55</v>
      </c>
      <c r="AE17" s="30"/>
      <c r="AF17" s="30">
        <f t="shared" si="5"/>
        <v>6205.8653600000007</v>
      </c>
      <c r="AG17" s="30"/>
      <c r="AH17" s="30">
        <v>7482</v>
      </c>
      <c r="AI17" s="30"/>
      <c r="AJ17" s="30">
        <f>+G17*$AJ$8</f>
        <v>1958.9472000000001</v>
      </c>
      <c r="AK17" s="30"/>
      <c r="AL17" s="30">
        <f>+G17*AL$8</f>
        <v>2611.9296000000004</v>
      </c>
      <c r="AM17" s="30"/>
      <c r="AN17" s="30">
        <v>454</v>
      </c>
      <c r="AO17" s="30"/>
      <c r="AP17" s="30">
        <f t="shared" si="6"/>
        <v>12506.876800000002</v>
      </c>
      <c r="AR17" s="29">
        <f>2720.76*24</f>
        <v>65298.240000000005</v>
      </c>
      <c r="AS17" s="30"/>
      <c r="AU17" s="7" t="s">
        <v>7</v>
      </c>
    </row>
    <row r="18" spans="1:216">
      <c r="B18" s="28">
        <v>9</v>
      </c>
      <c r="C18" s="3" t="s">
        <v>147</v>
      </c>
      <c r="D18" s="3" t="s">
        <v>148</v>
      </c>
      <c r="E18" s="3" t="s">
        <v>146</v>
      </c>
      <c r="F18" s="3" t="s">
        <v>186</v>
      </c>
      <c r="G18" s="29">
        <f t="shared" si="0"/>
        <v>122590.08</v>
      </c>
      <c r="H18" s="30"/>
      <c r="I18" s="30">
        <f t="shared" si="7"/>
        <v>126267.78240000001</v>
      </c>
      <c r="J18" s="30">
        <f t="shared" si="8"/>
        <v>130055.81587200002</v>
      </c>
      <c r="K18" s="30"/>
      <c r="L18" s="36">
        <f t="shared" si="9"/>
        <v>10522.315200000001</v>
      </c>
      <c r="M18" s="36">
        <f t="shared" si="1"/>
        <v>10522.315200000001</v>
      </c>
      <c r="N18" s="36">
        <f t="shared" si="1"/>
        <v>10522.315200000001</v>
      </c>
      <c r="O18" s="36">
        <f t="shared" si="1"/>
        <v>10522.315200000001</v>
      </c>
      <c r="P18" s="36">
        <f t="shared" si="1"/>
        <v>10522.315200000001</v>
      </c>
      <c r="Q18" s="36">
        <f t="shared" si="1"/>
        <v>10522.315200000001</v>
      </c>
      <c r="R18" s="36">
        <f t="shared" si="1"/>
        <v>10522.315200000001</v>
      </c>
      <c r="S18" s="36">
        <f t="shared" si="1"/>
        <v>10522.315200000001</v>
      </c>
      <c r="T18" s="36">
        <f t="shared" si="1"/>
        <v>10522.315200000001</v>
      </c>
      <c r="U18" s="36">
        <f t="shared" si="10"/>
        <v>10837.984656000002</v>
      </c>
      <c r="V18" s="36">
        <f t="shared" si="2"/>
        <v>10837.984656000002</v>
      </c>
      <c r="W18" s="36">
        <f t="shared" si="2"/>
        <v>10837.984656000002</v>
      </c>
      <c r="X18" s="30"/>
      <c r="Y18" s="30"/>
      <c r="Z18" s="30">
        <f>IF(G18&lt;110100, G18*7.65%, 110100*6.2%+G18*1.45%)</f>
        <v>8603.756159999999</v>
      </c>
      <c r="AA18" s="30"/>
      <c r="AB18" s="30">
        <f t="shared" si="3"/>
        <v>56</v>
      </c>
      <c r="AC18" s="30"/>
      <c r="AD18" s="29">
        <f t="shared" si="4"/>
        <v>1154.55</v>
      </c>
      <c r="AE18" s="30"/>
      <c r="AF18" s="30">
        <f t="shared" si="5"/>
        <v>9814.3061599999983</v>
      </c>
      <c r="AG18" s="30"/>
      <c r="AH18" s="30">
        <v>7482</v>
      </c>
      <c r="AI18" s="30"/>
      <c r="AJ18" s="30">
        <f>+G18*$AJ$8</f>
        <v>3677.7024000000001</v>
      </c>
      <c r="AK18" s="30"/>
      <c r="AL18" s="30">
        <f>+G18*AL$8</f>
        <v>4903.6032000000005</v>
      </c>
      <c r="AM18" s="30"/>
      <c r="AN18" s="30">
        <v>454</v>
      </c>
      <c r="AO18" s="30"/>
      <c r="AP18" s="30">
        <f t="shared" si="6"/>
        <v>16517.3056</v>
      </c>
      <c r="AR18" s="29">
        <f>5107.92*24</f>
        <v>122590.08</v>
      </c>
      <c r="AS18" s="30"/>
      <c r="AU18" s="1" t="s">
        <v>7</v>
      </c>
    </row>
    <row r="19" spans="1:216">
      <c r="B19" s="28">
        <v>10</v>
      </c>
      <c r="C19" s="3" t="s">
        <v>79</v>
      </c>
      <c r="D19" s="3" t="s">
        <v>80</v>
      </c>
      <c r="E19" s="3" t="s">
        <v>81</v>
      </c>
      <c r="F19" s="3" t="s">
        <v>187</v>
      </c>
      <c r="G19" s="29">
        <f t="shared" si="0"/>
        <v>59051.200000000004</v>
      </c>
      <c r="H19" s="30"/>
      <c r="I19" s="30">
        <f t="shared" si="7"/>
        <v>60822.736000000004</v>
      </c>
      <c r="J19" s="30">
        <f t="shared" si="8"/>
        <v>62647.418080000003</v>
      </c>
      <c r="K19" s="30"/>
      <c r="L19" s="36">
        <f t="shared" si="9"/>
        <v>5068.561333333334</v>
      </c>
      <c r="M19" s="36">
        <f t="shared" si="1"/>
        <v>5068.561333333334</v>
      </c>
      <c r="N19" s="36">
        <f t="shared" si="1"/>
        <v>5068.561333333334</v>
      </c>
      <c r="O19" s="36">
        <f t="shared" si="1"/>
        <v>5068.561333333334</v>
      </c>
      <c r="P19" s="36">
        <f t="shared" si="1"/>
        <v>5068.561333333334</v>
      </c>
      <c r="Q19" s="36">
        <f t="shared" si="1"/>
        <v>5068.561333333334</v>
      </c>
      <c r="R19" s="36">
        <f t="shared" si="1"/>
        <v>5068.561333333334</v>
      </c>
      <c r="S19" s="36">
        <f t="shared" si="1"/>
        <v>5068.561333333334</v>
      </c>
      <c r="T19" s="36">
        <f t="shared" si="1"/>
        <v>5068.561333333334</v>
      </c>
      <c r="U19" s="36">
        <f t="shared" si="10"/>
        <v>5220.6181733333333</v>
      </c>
      <c r="V19" s="36">
        <f t="shared" si="2"/>
        <v>5220.6181733333333</v>
      </c>
      <c r="W19" s="36">
        <f t="shared" si="2"/>
        <v>5220.6181733333333</v>
      </c>
      <c r="X19" s="30"/>
      <c r="Y19" s="30"/>
      <c r="Z19" s="30">
        <f>IF(G19&lt;110100, G19*7.65%, 110100*6.2%+G19*1.45%)</f>
        <v>4517.4168</v>
      </c>
      <c r="AA19" s="30"/>
      <c r="AB19" s="30">
        <f t="shared" si="3"/>
        <v>56</v>
      </c>
      <c r="AC19" s="30"/>
      <c r="AD19" s="29">
        <f t="shared" si="4"/>
        <v>1154.55</v>
      </c>
      <c r="AE19" s="30"/>
      <c r="AF19" s="30">
        <f t="shared" si="5"/>
        <v>5727.9668000000001</v>
      </c>
      <c r="AG19" s="30"/>
      <c r="AH19" s="30">
        <v>7482</v>
      </c>
      <c r="AI19" s="30"/>
      <c r="AJ19" s="30">
        <f>+G19*$AJ$8</f>
        <v>1771.5360000000001</v>
      </c>
      <c r="AK19" s="30"/>
      <c r="AL19" s="30">
        <f>+G19*AL$8</f>
        <v>2362.0480000000002</v>
      </c>
      <c r="AM19" s="30"/>
      <c r="AN19" s="30">
        <v>454</v>
      </c>
      <c r="AO19" s="30"/>
      <c r="AP19" s="30">
        <f t="shared" si="6"/>
        <v>12069.584000000001</v>
      </c>
      <c r="AR19" s="29">
        <f>28.39*2080</f>
        <v>59051.200000000004</v>
      </c>
      <c r="AS19" s="29"/>
      <c r="AU19" s="7" t="s">
        <v>175</v>
      </c>
      <c r="AV19" s="1" t="s">
        <v>16</v>
      </c>
    </row>
    <row r="20" spans="1:216">
      <c r="B20" s="28">
        <v>11</v>
      </c>
      <c r="C20" s="6" t="s">
        <v>38</v>
      </c>
      <c r="D20" s="6" t="s">
        <v>39</v>
      </c>
      <c r="E20" s="6" t="s">
        <v>40</v>
      </c>
      <c r="F20" s="6" t="s">
        <v>188</v>
      </c>
      <c r="G20" s="29">
        <f t="shared" si="0"/>
        <v>94950.959999999992</v>
      </c>
      <c r="H20" s="30"/>
      <c r="I20" s="30">
        <f t="shared" si="7"/>
        <v>97799.488799999992</v>
      </c>
      <c r="J20" s="30">
        <f t="shared" si="8"/>
        <v>100733.473464</v>
      </c>
      <c r="K20" s="30"/>
      <c r="L20" s="36">
        <f t="shared" si="9"/>
        <v>8149.9573999999993</v>
      </c>
      <c r="M20" s="36">
        <f t="shared" si="1"/>
        <v>8149.9573999999993</v>
      </c>
      <c r="N20" s="36">
        <f t="shared" si="1"/>
        <v>8149.9573999999993</v>
      </c>
      <c r="O20" s="36">
        <f t="shared" si="1"/>
        <v>8149.9573999999993</v>
      </c>
      <c r="P20" s="36">
        <f t="shared" si="1"/>
        <v>8149.9573999999993</v>
      </c>
      <c r="Q20" s="36">
        <f t="shared" si="1"/>
        <v>8149.9573999999993</v>
      </c>
      <c r="R20" s="36">
        <f t="shared" si="1"/>
        <v>8149.9573999999993</v>
      </c>
      <c r="S20" s="36">
        <f t="shared" si="1"/>
        <v>8149.9573999999993</v>
      </c>
      <c r="T20" s="36">
        <f t="shared" si="1"/>
        <v>8149.9573999999993</v>
      </c>
      <c r="U20" s="36">
        <f t="shared" si="10"/>
        <v>8394.4561219999996</v>
      </c>
      <c r="V20" s="36">
        <f t="shared" si="2"/>
        <v>8394.4561219999996</v>
      </c>
      <c r="W20" s="36">
        <f t="shared" si="2"/>
        <v>8394.4561219999996</v>
      </c>
      <c r="X20" s="30"/>
      <c r="Y20" s="30"/>
      <c r="Z20" s="30">
        <f>IF(G20&lt;110100, G20*7.65%, 110100*6.2%+G20*1.45%)</f>
        <v>7263.7484399999994</v>
      </c>
      <c r="AA20" s="30"/>
      <c r="AB20" s="30">
        <f t="shared" si="3"/>
        <v>56</v>
      </c>
      <c r="AC20" s="30"/>
      <c r="AD20" s="29">
        <f t="shared" si="4"/>
        <v>1154.55</v>
      </c>
      <c r="AE20" s="30"/>
      <c r="AF20" s="30">
        <f t="shared" si="5"/>
        <v>8474.2984399999987</v>
      </c>
      <c r="AG20" s="30"/>
      <c r="AH20" s="30">
        <v>7482</v>
      </c>
      <c r="AI20" s="30"/>
      <c r="AJ20" s="30">
        <f>+G20*$AJ$8</f>
        <v>2848.5287999999996</v>
      </c>
      <c r="AK20" s="30"/>
      <c r="AL20" s="30">
        <f>+G20*AL$8</f>
        <v>3798.0383999999999</v>
      </c>
      <c r="AM20" s="30"/>
      <c r="AN20" s="30">
        <v>454</v>
      </c>
      <c r="AO20" s="30"/>
      <c r="AP20" s="30">
        <f t="shared" si="6"/>
        <v>14582.5672</v>
      </c>
      <c r="AR20" s="29">
        <f>3956.29*24</f>
        <v>94950.959999999992</v>
      </c>
      <c r="AS20" s="30"/>
      <c r="AU20" s="7" t="s">
        <v>7</v>
      </c>
    </row>
    <row r="21" spans="1:216" ht="15" customHeight="1">
      <c r="B21" s="28">
        <v>12</v>
      </c>
      <c r="C21" s="3" t="s">
        <v>123</v>
      </c>
      <c r="D21" s="3" t="s">
        <v>124</v>
      </c>
      <c r="E21" s="3" t="s">
        <v>127</v>
      </c>
      <c r="F21" s="3" t="s">
        <v>189</v>
      </c>
      <c r="G21" s="29">
        <f t="shared" si="0"/>
        <v>70000.08</v>
      </c>
      <c r="H21" s="30"/>
      <c r="I21" s="30">
        <f t="shared" si="7"/>
        <v>72100.082399999999</v>
      </c>
      <c r="J21" s="30">
        <f t="shared" si="8"/>
        <v>74263.084872000007</v>
      </c>
      <c r="K21" s="30"/>
      <c r="L21" s="36">
        <f t="shared" si="9"/>
        <v>6008.3401999999996</v>
      </c>
      <c r="M21" s="36">
        <f t="shared" si="1"/>
        <v>6008.3401999999996</v>
      </c>
      <c r="N21" s="36">
        <f t="shared" si="1"/>
        <v>6008.3401999999996</v>
      </c>
      <c r="O21" s="36">
        <f t="shared" si="1"/>
        <v>6008.3401999999996</v>
      </c>
      <c r="P21" s="36">
        <f t="shared" si="1"/>
        <v>6008.3401999999996</v>
      </c>
      <c r="Q21" s="36">
        <f t="shared" si="1"/>
        <v>6008.3401999999996</v>
      </c>
      <c r="R21" s="36">
        <f t="shared" si="1"/>
        <v>6008.3401999999996</v>
      </c>
      <c r="S21" s="36">
        <f t="shared" si="1"/>
        <v>6008.3401999999996</v>
      </c>
      <c r="T21" s="36">
        <f t="shared" si="1"/>
        <v>6008.3401999999996</v>
      </c>
      <c r="U21" s="36">
        <f t="shared" si="10"/>
        <v>6188.5904060000003</v>
      </c>
      <c r="V21" s="36">
        <f t="shared" si="2"/>
        <v>6188.5904060000003</v>
      </c>
      <c r="W21" s="36">
        <f t="shared" si="2"/>
        <v>6188.5904060000003</v>
      </c>
      <c r="X21" s="30"/>
      <c r="Y21" s="30"/>
      <c r="Z21" s="30">
        <f>IF(G21&lt;110100, G21*7.65%, 110100*6.2%+G21*1.45%)</f>
        <v>5355.00612</v>
      </c>
      <c r="AA21" s="30"/>
      <c r="AB21" s="30">
        <f t="shared" si="3"/>
        <v>56</v>
      </c>
      <c r="AC21" s="30"/>
      <c r="AD21" s="29">
        <f t="shared" si="4"/>
        <v>1154.55</v>
      </c>
      <c r="AE21" s="30"/>
      <c r="AF21" s="30">
        <f t="shared" si="5"/>
        <v>6565.5561200000002</v>
      </c>
      <c r="AG21" s="30"/>
      <c r="AH21" s="30">
        <v>7482</v>
      </c>
      <c r="AI21" s="30"/>
      <c r="AJ21" s="30">
        <f>+G21*$AJ$8</f>
        <v>2100.0023999999999</v>
      </c>
      <c r="AK21" s="30"/>
      <c r="AL21" s="30">
        <f>+G21*AL$8</f>
        <v>2800.0032000000001</v>
      </c>
      <c r="AM21" s="30"/>
      <c r="AN21" s="30">
        <v>454</v>
      </c>
      <c r="AO21" s="30"/>
      <c r="AP21" s="30">
        <f t="shared" si="6"/>
        <v>12836.0056</v>
      </c>
      <c r="AR21" s="29">
        <f>2916.67*24</f>
        <v>70000.08</v>
      </c>
      <c r="AS21" s="30"/>
      <c r="AU21" s="1" t="s">
        <v>7</v>
      </c>
    </row>
    <row r="22" spans="1:216">
      <c r="B22" s="28">
        <v>13</v>
      </c>
      <c r="C22" s="1" t="s">
        <v>166</v>
      </c>
      <c r="D22" s="1" t="s">
        <v>165</v>
      </c>
      <c r="E22" s="1" t="s">
        <v>31</v>
      </c>
      <c r="F22" s="1" t="s">
        <v>190</v>
      </c>
      <c r="G22" s="29">
        <f t="shared" si="0"/>
        <v>47313.36</v>
      </c>
      <c r="I22" s="30">
        <f t="shared" si="7"/>
        <v>48732.760800000004</v>
      </c>
      <c r="J22" s="30">
        <f t="shared" si="8"/>
        <v>50194.743624000002</v>
      </c>
      <c r="L22" s="36">
        <f t="shared" si="9"/>
        <v>4061.0634000000005</v>
      </c>
      <c r="M22" s="36">
        <f t="shared" si="1"/>
        <v>4061.0634000000005</v>
      </c>
      <c r="N22" s="36">
        <f t="shared" si="1"/>
        <v>4061.0634000000005</v>
      </c>
      <c r="O22" s="36">
        <f t="shared" si="1"/>
        <v>4061.0634000000005</v>
      </c>
      <c r="P22" s="36">
        <f t="shared" si="1"/>
        <v>4061.0634000000005</v>
      </c>
      <c r="Q22" s="36">
        <f t="shared" si="1"/>
        <v>4061.0634000000005</v>
      </c>
      <c r="R22" s="36">
        <f t="shared" si="1"/>
        <v>4061.0634000000005</v>
      </c>
      <c r="S22" s="36">
        <f t="shared" si="1"/>
        <v>4061.0634000000005</v>
      </c>
      <c r="T22" s="36">
        <f t="shared" si="1"/>
        <v>4061.0634000000005</v>
      </c>
      <c r="U22" s="36">
        <f t="shared" si="10"/>
        <v>4182.8953019999999</v>
      </c>
      <c r="V22" s="36">
        <f t="shared" si="2"/>
        <v>4182.8953019999999</v>
      </c>
      <c r="W22" s="36">
        <f t="shared" si="2"/>
        <v>4182.8953019999999</v>
      </c>
      <c r="Z22" s="30">
        <f>IF(G22&lt;110100, G22*7.65%, 110100*6.2%+G22*1.45%)</f>
        <v>3619.4720400000001</v>
      </c>
      <c r="AA22" s="30"/>
      <c r="AB22" s="30">
        <f t="shared" si="3"/>
        <v>56</v>
      </c>
      <c r="AC22" s="30"/>
      <c r="AD22" s="29">
        <f t="shared" si="4"/>
        <v>1154.55</v>
      </c>
      <c r="AE22" s="30"/>
      <c r="AF22" s="30">
        <f t="shared" si="5"/>
        <v>4830.0220399999998</v>
      </c>
      <c r="AG22" s="30"/>
      <c r="AH22" s="30">
        <v>7482</v>
      </c>
      <c r="AI22" s="30"/>
      <c r="AJ22" s="30">
        <f>+G22*$AJ$8</f>
        <v>1419.4007999999999</v>
      </c>
      <c r="AK22" s="30"/>
      <c r="AL22" s="30">
        <f>+G22*AL$8</f>
        <v>1892.5344</v>
      </c>
      <c r="AM22" s="30"/>
      <c r="AN22" s="30">
        <v>454</v>
      </c>
      <c r="AO22" s="30"/>
      <c r="AP22" s="30">
        <f t="shared" si="6"/>
        <v>11247.9352</v>
      </c>
      <c r="AR22" s="29">
        <f>1971.39*24</f>
        <v>47313.36</v>
      </c>
      <c r="AU22" s="1" t="s">
        <v>7</v>
      </c>
    </row>
    <row r="23" spans="1:216">
      <c r="B23" s="28">
        <v>14</v>
      </c>
      <c r="C23" s="3" t="s">
        <v>159</v>
      </c>
      <c r="D23" s="3" t="s">
        <v>160</v>
      </c>
      <c r="E23" s="3" t="s">
        <v>161</v>
      </c>
      <c r="F23" s="3" t="s">
        <v>191</v>
      </c>
      <c r="G23" s="29">
        <f t="shared" si="0"/>
        <v>45999.840000000004</v>
      </c>
      <c r="H23" s="30"/>
      <c r="I23" s="30">
        <f t="shared" si="7"/>
        <v>47379.835200000009</v>
      </c>
      <c r="J23" s="30">
        <f t="shared" si="8"/>
        <v>48801.23025600001</v>
      </c>
      <c r="K23" s="30"/>
      <c r="L23" s="36">
        <f t="shared" si="9"/>
        <v>3948.3196000000007</v>
      </c>
      <c r="M23" s="36">
        <f t="shared" si="1"/>
        <v>3948.3196000000007</v>
      </c>
      <c r="N23" s="36">
        <f t="shared" si="1"/>
        <v>3948.3196000000007</v>
      </c>
      <c r="O23" s="36">
        <f t="shared" si="1"/>
        <v>3948.3196000000007</v>
      </c>
      <c r="P23" s="36">
        <f t="shared" si="1"/>
        <v>3948.3196000000007</v>
      </c>
      <c r="Q23" s="36">
        <f t="shared" si="1"/>
        <v>3948.3196000000007</v>
      </c>
      <c r="R23" s="36">
        <f t="shared" si="1"/>
        <v>3948.3196000000007</v>
      </c>
      <c r="S23" s="36">
        <f t="shared" si="1"/>
        <v>3948.3196000000007</v>
      </c>
      <c r="T23" s="36">
        <f t="shared" si="1"/>
        <v>3948.3196000000007</v>
      </c>
      <c r="U23" s="36">
        <f t="shared" si="10"/>
        <v>4066.7691880000007</v>
      </c>
      <c r="V23" s="36">
        <f t="shared" si="2"/>
        <v>4066.7691880000007</v>
      </c>
      <c r="W23" s="36">
        <f t="shared" si="2"/>
        <v>4066.7691880000007</v>
      </c>
      <c r="X23" s="30"/>
      <c r="Y23" s="30"/>
      <c r="Z23" s="30">
        <f>IF(G23&lt;110100, G23*7.65%, 110100*6.2%+G23*1.45%)</f>
        <v>3518.9877600000004</v>
      </c>
      <c r="AA23" s="30"/>
      <c r="AB23" s="30">
        <f t="shared" si="3"/>
        <v>56</v>
      </c>
      <c r="AC23" s="30"/>
      <c r="AD23" s="29">
        <f t="shared" si="4"/>
        <v>1154.55</v>
      </c>
      <c r="AE23" s="30"/>
      <c r="AF23" s="30">
        <f t="shared" si="5"/>
        <v>4729.5377600000002</v>
      </c>
      <c r="AG23" s="30"/>
      <c r="AH23" s="30">
        <v>7482</v>
      </c>
      <c r="AI23" s="30"/>
      <c r="AJ23" s="30">
        <f>+G23*$AJ$8</f>
        <v>1379.9952000000001</v>
      </c>
      <c r="AK23" s="30"/>
      <c r="AL23" s="30">
        <f>+G23*AL$8</f>
        <v>1839.9936000000002</v>
      </c>
      <c r="AM23" s="30"/>
      <c r="AN23" s="30">
        <v>454</v>
      </c>
      <c r="AO23" s="30"/>
      <c r="AP23" s="30">
        <f t="shared" si="6"/>
        <v>11155.988799999999</v>
      </c>
      <c r="AR23" s="29">
        <f>1916.66*24</f>
        <v>45999.840000000004</v>
      </c>
      <c r="AS23" s="30"/>
      <c r="AU23" s="1" t="s">
        <v>7</v>
      </c>
    </row>
    <row r="24" spans="1:216">
      <c r="B24" s="28">
        <v>15</v>
      </c>
      <c r="C24" s="6" t="s">
        <v>47</v>
      </c>
      <c r="D24" s="6" t="s">
        <v>44</v>
      </c>
      <c r="E24" s="6" t="s">
        <v>46</v>
      </c>
      <c r="F24" s="6" t="s">
        <v>192</v>
      </c>
      <c r="G24" s="29">
        <f t="shared" si="0"/>
        <v>240000</v>
      </c>
      <c r="H24" s="30"/>
      <c r="I24" s="30">
        <f t="shared" si="7"/>
        <v>247200</v>
      </c>
      <c r="J24" s="30">
        <f t="shared" si="8"/>
        <v>254616</v>
      </c>
      <c r="K24" s="30"/>
      <c r="L24" s="36">
        <f t="shared" si="9"/>
        <v>20600</v>
      </c>
      <c r="M24" s="36">
        <f t="shared" si="1"/>
        <v>20600</v>
      </c>
      <c r="N24" s="36">
        <f t="shared" si="1"/>
        <v>20600</v>
      </c>
      <c r="O24" s="36">
        <f t="shared" si="1"/>
        <v>20600</v>
      </c>
      <c r="P24" s="36">
        <f t="shared" si="1"/>
        <v>20600</v>
      </c>
      <c r="Q24" s="36">
        <f t="shared" si="1"/>
        <v>20600</v>
      </c>
      <c r="R24" s="306">
        <f>$J24/12</f>
        <v>21218</v>
      </c>
      <c r="S24" s="306">
        <f t="shared" ref="S24:W25" si="11">$J24/12</f>
        <v>21218</v>
      </c>
      <c r="T24" s="306">
        <f t="shared" si="11"/>
        <v>21218</v>
      </c>
      <c r="U24" s="306">
        <f t="shared" si="10"/>
        <v>21218</v>
      </c>
      <c r="V24" s="306">
        <f t="shared" si="10"/>
        <v>21218</v>
      </c>
      <c r="W24" s="306">
        <f t="shared" si="10"/>
        <v>21218</v>
      </c>
      <c r="X24" s="30"/>
      <c r="Y24" s="30"/>
      <c r="Z24" s="30">
        <f>IF(G24&lt;110100, G24*7.65%, 110100*6.2%+G24*1.45%)</f>
        <v>10306.199999999999</v>
      </c>
      <c r="AA24" s="30"/>
      <c r="AB24" s="30">
        <f t="shared" si="3"/>
        <v>56</v>
      </c>
      <c r="AC24" s="30"/>
      <c r="AD24" s="29">
        <f t="shared" si="4"/>
        <v>1154.55</v>
      </c>
      <c r="AE24" s="30"/>
      <c r="AF24" s="30">
        <f t="shared" si="5"/>
        <v>11516.749999999998</v>
      </c>
      <c r="AG24" s="30"/>
      <c r="AH24" s="30">
        <v>7482</v>
      </c>
      <c r="AI24" s="30"/>
      <c r="AJ24" s="30">
        <f>+G24*$AJ$8</f>
        <v>7200</v>
      </c>
      <c r="AK24" s="30"/>
      <c r="AL24" s="30">
        <f>+G24*AL$8</f>
        <v>9600</v>
      </c>
      <c r="AM24" s="30"/>
      <c r="AN24" s="30">
        <v>454</v>
      </c>
      <c r="AO24" s="30"/>
      <c r="AP24" s="30">
        <f t="shared" si="6"/>
        <v>24736</v>
      </c>
      <c r="AR24" s="29">
        <f>10000*24</f>
        <v>240000</v>
      </c>
      <c r="AS24" s="30"/>
      <c r="AU24" s="7" t="s">
        <v>7</v>
      </c>
    </row>
    <row r="25" spans="1:216">
      <c r="B25" s="28">
        <v>16</v>
      </c>
      <c r="C25" s="3" t="s">
        <v>57</v>
      </c>
      <c r="D25" s="3" t="s">
        <v>58</v>
      </c>
      <c r="E25" s="3" t="s">
        <v>59</v>
      </c>
      <c r="F25" s="3" t="s">
        <v>193</v>
      </c>
      <c r="G25" s="29">
        <f t="shared" si="0"/>
        <v>235000.56</v>
      </c>
      <c r="H25" s="30"/>
      <c r="I25" s="30">
        <f t="shared" si="7"/>
        <v>242050.57680000001</v>
      </c>
      <c r="J25" s="30">
        <f t="shared" si="8"/>
        <v>249312.09410400002</v>
      </c>
      <c r="K25" s="30"/>
      <c r="L25" s="36">
        <f t="shared" si="9"/>
        <v>20170.881400000002</v>
      </c>
      <c r="M25" s="36">
        <f t="shared" si="1"/>
        <v>20170.881400000002</v>
      </c>
      <c r="N25" s="36">
        <f t="shared" si="1"/>
        <v>20170.881400000002</v>
      </c>
      <c r="O25" s="36">
        <f t="shared" si="1"/>
        <v>20170.881400000002</v>
      </c>
      <c r="P25" s="36">
        <f t="shared" si="1"/>
        <v>20170.881400000002</v>
      </c>
      <c r="Q25" s="36">
        <f t="shared" si="1"/>
        <v>20170.881400000002</v>
      </c>
      <c r="R25" s="306">
        <f>$J25/12</f>
        <v>20776.007842000003</v>
      </c>
      <c r="S25" s="306">
        <f t="shared" si="11"/>
        <v>20776.007842000003</v>
      </c>
      <c r="T25" s="306">
        <f t="shared" si="11"/>
        <v>20776.007842000003</v>
      </c>
      <c r="U25" s="306">
        <f t="shared" si="10"/>
        <v>20776.007842000003</v>
      </c>
      <c r="V25" s="306">
        <f t="shared" si="10"/>
        <v>20776.007842000003</v>
      </c>
      <c r="W25" s="306">
        <f t="shared" si="10"/>
        <v>20776.007842000003</v>
      </c>
      <c r="X25" s="30"/>
      <c r="Y25" s="30"/>
      <c r="Z25" s="30">
        <f>IF(G25&lt;110100, G25*7.65%, 110100*6.2%+G25*1.45%)</f>
        <v>10233.708119999999</v>
      </c>
      <c r="AA25" s="30"/>
      <c r="AB25" s="30">
        <f t="shared" si="3"/>
        <v>56</v>
      </c>
      <c r="AC25" s="30"/>
      <c r="AD25" s="29">
        <f t="shared" si="4"/>
        <v>1154.55</v>
      </c>
      <c r="AE25" s="30"/>
      <c r="AF25" s="30">
        <f t="shared" si="5"/>
        <v>11444.258119999999</v>
      </c>
      <c r="AG25" s="30"/>
      <c r="AH25" s="30">
        <v>7482</v>
      </c>
      <c r="AI25" s="30"/>
      <c r="AJ25" s="30">
        <f>+G25*$AJ$8</f>
        <v>7050.0167999999994</v>
      </c>
      <c r="AK25" s="30"/>
      <c r="AL25" s="30">
        <f>+G25*AL$8</f>
        <v>9400.0223999999998</v>
      </c>
      <c r="AM25" s="30"/>
      <c r="AN25" s="30">
        <v>454</v>
      </c>
      <c r="AO25" s="30"/>
      <c r="AP25" s="30">
        <f t="shared" si="6"/>
        <v>24386.039199999999</v>
      </c>
      <c r="AR25" s="29">
        <f>9791.69*24</f>
        <v>235000.56</v>
      </c>
      <c r="AS25" s="30"/>
      <c r="AU25" s="7" t="s">
        <v>7</v>
      </c>
    </row>
    <row r="26" spans="1:216">
      <c r="A26" s="8"/>
      <c r="B26" s="28">
        <v>17</v>
      </c>
      <c r="C26" s="6" t="s">
        <v>48</v>
      </c>
      <c r="D26" s="6" t="s">
        <v>49</v>
      </c>
      <c r="E26" s="3" t="s">
        <v>50</v>
      </c>
      <c r="F26" s="3" t="s">
        <v>194</v>
      </c>
      <c r="G26" s="29">
        <f t="shared" si="0"/>
        <v>57925.680000000008</v>
      </c>
      <c r="H26" s="30"/>
      <c r="I26" s="30">
        <f t="shared" si="7"/>
        <v>59663.450400000009</v>
      </c>
      <c r="J26" s="30">
        <f t="shared" si="8"/>
        <v>61453.353912000013</v>
      </c>
      <c r="K26" s="30"/>
      <c r="L26" s="36">
        <f t="shared" si="9"/>
        <v>4971.954200000001</v>
      </c>
      <c r="M26" s="36">
        <f t="shared" si="9"/>
        <v>4971.954200000001</v>
      </c>
      <c r="N26" s="36">
        <f t="shared" si="9"/>
        <v>4971.954200000001</v>
      </c>
      <c r="O26" s="36">
        <f t="shared" si="9"/>
        <v>4971.954200000001</v>
      </c>
      <c r="P26" s="36">
        <f t="shared" si="9"/>
        <v>4971.954200000001</v>
      </c>
      <c r="Q26" s="36">
        <f t="shared" si="9"/>
        <v>4971.954200000001</v>
      </c>
      <c r="R26" s="36">
        <f t="shared" si="9"/>
        <v>4971.954200000001</v>
      </c>
      <c r="S26" s="36">
        <f t="shared" si="9"/>
        <v>4971.954200000001</v>
      </c>
      <c r="T26" s="36">
        <f t="shared" si="9"/>
        <v>4971.954200000001</v>
      </c>
      <c r="U26" s="36">
        <f t="shared" si="10"/>
        <v>5121.1128260000014</v>
      </c>
      <c r="V26" s="36">
        <f t="shared" si="10"/>
        <v>5121.1128260000014</v>
      </c>
      <c r="W26" s="36">
        <f t="shared" si="10"/>
        <v>5121.1128260000014</v>
      </c>
      <c r="X26" s="30"/>
      <c r="Y26" s="30"/>
      <c r="Z26" s="30">
        <f>IF(G26&lt;110100, G26*7.65%, 110100*6.2%+G26*1.45%)</f>
        <v>4431.3145200000008</v>
      </c>
      <c r="AA26" s="30"/>
      <c r="AB26" s="30">
        <f t="shared" si="3"/>
        <v>56</v>
      </c>
      <c r="AC26" s="30"/>
      <c r="AD26" s="29">
        <f t="shared" si="4"/>
        <v>1154.55</v>
      </c>
      <c r="AE26" s="30"/>
      <c r="AF26" s="30">
        <f t="shared" si="5"/>
        <v>5641.864520000001</v>
      </c>
      <c r="AG26" s="30"/>
      <c r="AH26" s="30">
        <v>7482</v>
      </c>
      <c r="AI26" s="30"/>
      <c r="AJ26" s="30">
        <f>+G26*$AJ$8</f>
        <v>1737.7704000000001</v>
      </c>
      <c r="AK26" s="30"/>
      <c r="AL26" s="30">
        <f>+G26*AL$8</f>
        <v>2317.0272000000004</v>
      </c>
      <c r="AM26" s="30"/>
      <c r="AN26" s="30">
        <v>454</v>
      </c>
      <c r="AO26" s="30"/>
      <c r="AP26" s="30">
        <f t="shared" si="6"/>
        <v>11990.7976</v>
      </c>
      <c r="AR26" s="29">
        <f>2413.57*24</f>
        <v>57925.680000000008</v>
      </c>
      <c r="AS26" s="30"/>
      <c r="AT26" s="8"/>
      <c r="AU26" s="7" t="s">
        <v>7</v>
      </c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</row>
    <row r="27" spans="1:216">
      <c r="B27" s="28">
        <v>18</v>
      </c>
      <c r="C27" s="6" t="s">
        <v>51</v>
      </c>
      <c r="D27" s="6" t="s">
        <v>52</v>
      </c>
      <c r="E27" s="6" t="s">
        <v>53</v>
      </c>
      <c r="F27" s="6" t="s">
        <v>195</v>
      </c>
      <c r="G27" s="29">
        <f t="shared" si="0"/>
        <v>107493.84</v>
      </c>
      <c r="H27" s="30"/>
      <c r="I27" s="30">
        <f t="shared" si="7"/>
        <v>110718.65519999999</v>
      </c>
      <c r="J27" s="30">
        <f t="shared" si="8"/>
        <v>114040.21485599999</v>
      </c>
      <c r="K27" s="30"/>
      <c r="L27" s="36">
        <f t="shared" si="9"/>
        <v>9226.5545999999995</v>
      </c>
      <c r="M27" s="36">
        <f t="shared" si="9"/>
        <v>9226.5545999999995</v>
      </c>
      <c r="N27" s="36">
        <f t="shared" si="9"/>
        <v>9226.5545999999995</v>
      </c>
      <c r="O27" s="36">
        <f t="shared" si="9"/>
        <v>9226.5545999999995</v>
      </c>
      <c r="P27" s="36">
        <f t="shared" si="9"/>
        <v>9226.5545999999995</v>
      </c>
      <c r="Q27" s="36">
        <f t="shared" si="9"/>
        <v>9226.5545999999995</v>
      </c>
      <c r="R27" s="36">
        <f t="shared" si="9"/>
        <v>9226.5545999999995</v>
      </c>
      <c r="S27" s="36">
        <f t="shared" si="9"/>
        <v>9226.5545999999995</v>
      </c>
      <c r="T27" s="36">
        <f t="shared" si="9"/>
        <v>9226.5545999999995</v>
      </c>
      <c r="U27" s="36">
        <f t="shared" si="10"/>
        <v>9503.3512379999993</v>
      </c>
      <c r="V27" s="36">
        <f t="shared" si="10"/>
        <v>9503.3512379999993</v>
      </c>
      <c r="W27" s="36">
        <f t="shared" si="10"/>
        <v>9503.3512379999993</v>
      </c>
      <c r="X27" s="30"/>
      <c r="Y27" s="30"/>
      <c r="Z27" s="30">
        <f>IF(G27&lt;110100, G27*7.65%, 110100*6.2%+G27*1.45%)</f>
        <v>8223.2787599999992</v>
      </c>
      <c r="AA27" s="30"/>
      <c r="AB27" s="30">
        <f t="shared" si="3"/>
        <v>56</v>
      </c>
      <c r="AC27" s="30"/>
      <c r="AD27" s="29">
        <f t="shared" si="4"/>
        <v>1154.55</v>
      </c>
      <c r="AE27" s="30"/>
      <c r="AF27" s="30">
        <f t="shared" si="5"/>
        <v>9433.8287599999985</v>
      </c>
      <c r="AG27" s="30"/>
      <c r="AH27" s="30">
        <v>7482</v>
      </c>
      <c r="AI27" s="30"/>
      <c r="AJ27" s="30">
        <f>+G27*$AJ$8</f>
        <v>3224.8151999999995</v>
      </c>
      <c r="AK27" s="30"/>
      <c r="AL27" s="30">
        <f>+G27*AL$8</f>
        <v>4299.7536</v>
      </c>
      <c r="AM27" s="30"/>
      <c r="AN27" s="30">
        <v>454</v>
      </c>
      <c r="AO27" s="30"/>
      <c r="AP27" s="30">
        <f t="shared" si="6"/>
        <v>15460.568799999999</v>
      </c>
      <c r="AR27" s="29">
        <f>4478.91*24</f>
        <v>107493.84</v>
      </c>
      <c r="AS27" s="30"/>
      <c r="AU27" s="7" t="s">
        <v>7</v>
      </c>
    </row>
    <row r="28" spans="1:216">
      <c r="B28" s="28">
        <v>19</v>
      </c>
      <c r="C28" s="6" t="s">
        <v>55</v>
      </c>
      <c r="D28" s="6" t="s">
        <v>56</v>
      </c>
      <c r="E28" s="6" t="s">
        <v>54</v>
      </c>
      <c r="F28" s="6" t="s">
        <v>196</v>
      </c>
      <c r="G28" s="29">
        <f t="shared" si="0"/>
        <v>76246.319999999992</v>
      </c>
      <c r="H28" s="30"/>
      <c r="I28" s="30">
        <f t="shared" si="7"/>
        <v>78533.709599999987</v>
      </c>
      <c r="J28" s="30">
        <f t="shared" si="8"/>
        <v>80889.720887999996</v>
      </c>
      <c r="K28" s="30"/>
      <c r="L28" s="36">
        <f t="shared" si="9"/>
        <v>6544.4757999999993</v>
      </c>
      <c r="M28" s="36">
        <f t="shared" si="9"/>
        <v>6544.4757999999993</v>
      </c>
      <c r="N28" s="36">
        <f t="shared" si="9"/>
        <v>6544.4757999999993</v>
      </c>
      <c r="O28" s="36">
        <f t="shared" si="9"/>
        <v>6544.4757999999993</v>
      </c>
      <c r="P28" s="36">
        <f t="shared" si="9"/>
        <v>6544.4757999999993</v>
      </c>
      <c r="Q28" s="36">
        <f t="shared" si="9"/>
        <v>6544.4757999999993</v>
      </c>
      <c r="R28" s="36">
        <f t="shared" si="9"/>
        <v>6544.4757999999993</v>
      </c>
      <c r="S28" s="36">
        <f t="shared" si="9"/>
        <v>6544.4757999999993</v>
      </c>
      <c r="T28" s="36">
        <f t="shared" si="9"/>
        <v>6544.4757999999993</v>
      </c>
      <c r="U28" s="36">
        <f t="shared" si="10"/>
        <v>6740.810074</v>
      </c>
      <c r="V28" s="36">
        <f t="shared" si="10"/>
        <v>6740.810074</v>
      </c>
      <c r="W28" s="36">
        <f t="shared" si="10"/>
        <v>6740.810074</v>
      </c>
      <c r="X28" s="30"/>
      <c r="Y28" s="30"/>
      <c r="Z28" s="30">
        <f>IF(G28&lt;110100, G28*7.65%, 110100*6.2%+G28*1.45%)</f>
        <v>5832.8434799999995</v>
      </c>
      <c r="AA28" s="30"/>
      <c r="AB28" s="30">
        <f t="shared" si="3"/>
        <v>56</v>
      </c>
      <c r="AC28" s="30"/>
      <c r="AD28" s="29">
        <f t="shared" si="4"/>
        <v>1154.55</v>
      </c>
      <c r="AE28" s="30"/>
      <c r="AF28" s="30">
        <f t="shared" si="5"/>
        <v>7043.3934799999997</v>
      </c>
      <c r="AG28" s="30"/>
      <c r="AH28" s="30">
        <v>7482</v>
      </c>
      <c r="AI28" s="30"/>
      <c r="AJ28" s="30">
        <f>+G28*$AJ$8</f>
        <v>2287.3895999999995</v>
      </c>
      <c r="AK28" s="30"/>
      <c r="AL28" s="30">
        <f>+G28*AL$8</f>
        <v>3049.8527999999997</v>
      </c>
      <c r="AM28" s="30"/>
      <c r="AN28" s="30">
        <v>454</v>
      </c>
      <c r="AO28" s="30"/>
      <c r="AP28" s="30">
        <f t="shared" si="6"/>
        <v>13273.242399999999</v>
      </c>
      <c r="AR28" s="29">
        <f>3176.93*24</f>
        <v>76246.319999999992</v>
      </c>
      <c r="AS28" s="30"/>
      <c r="AU28" s="7" t="s">
        <v>7</v>
      </c>
    </row>
    <row r="29" spans="1:216">
      <c r="B29" s="28">
        <v>20</v>
      </c>
      <c r="C29" s="3" t="s">
        <v>65</v>
      </c>
      <c r="D29" s="3" t="s">
        <v>66</v>
      </c>
      <c r="E29" s="6" t="s">
        <v>67</v>
      </c>
      <c r="F29" s="6" t="s">
        <v>197</v>
      </c>
      <c r="G29" s="29">
        <f t="shared" si="0"/>
        <v>57855.600000000006</v>
      </c>
      <c r="H29" s="30"/>
      <c r="I29" s="30">
        <f t="shared" si="7"/>
        <v>59591.268000000011</v>
      </c>
      <c r="J29" s="30">
        <f t="shared" si="8"/>
        <v>61379.006040000015</v>
      </c>
      <c r="K29" s="30"/>
      <c r="L29" s="36">
        <f t="shared" si="9"/>
        <v>4965.9390000000012</v>
      </c>
      <c r="M29" s="36">
        <f t="shared" si="9"/>
        <v>4965.9390000000012</v>
      </c>
      <c r="N29" s="36">
        <f t="shared" si="9"/>
        <v>4965.9390000000012</v>
      </c>
      <c r="O29" s="36">
        <f t="shared" si="9"/>
        <v>4965.9390000000012</v>
      </c>
      <c r="P29" s="36">
        <f t="shared" si="9"/>
        <v>4965.9390000000012</v>
      </c>
      <c r="Q29" s="36">
        <f t="shared" si="9"/>
        <v>4965.9390000000012</v>
      </c>
      <c r="R29" s="36">
        <f t="shared" si="9"/>
        <v>4965.9390000000012</v>
      </c>
      <c r="S29" s="36">
        <f t="shared" si="9"/>
        <v>4965.9390000000012</v>
      </c>
      <c r="T29" s="36">
        <f t="shared" si="9"/>
        <v>4965.9390000000012</v>
      </c>
      <c r="U29" s="36">
        <f t="shared" si="10"/>
        <v>5114.9171700000015</v>
      </c>
      <c r="V29" s="36">
        <f t="shared" si="10"/>
        <v>5114.9171700000015</v>
      </c>
      <c r="W29" s="36">
        <f t="shared" si="10"/>
        <v>5114.9171700000015</v>
      </c>
      <c r="X29" s="30"/>
      <c r="Y29" s="30"/>
      <c r="Z29" s="30">
        <f>IF(G29&lt;110100, G29*7.65%, 110100*6.2%+G29*1.45%)</f>
        <v>4425.9534000000003</v>
      </c>
      <c r="AA29" s="30"/>
      <c r="AB29" s="30">
        <f t="shared" si="3"/>
        <v>56</v>
      </c>
      <c r="AC29" s="30"/>
      <c r="AD29" s="29">
        <f t="shared" si="4"/>
        <v>1154.55</v>
      </c>
      <c r="AE29" s="30"/>
      <c r="AF29" s="30">
        <f t="shared" si="5"/>
        <v>5636.5034000000005</v>
      </c>
      <c r="AG29" s="30"/>
      <c r="AH29" s="30">
        <v>7482</v>
      </c>
      <c r="AI29" s="30"/>
      <c r="AJ29" s="30">
        <f>+G29*$AJ$8</f>
        <v>1735.6680000000001</v>
      </c>
      <c r="AK29" s="30"/>
      <c r="AL29" s="30">
        <f>+G29*AL$8</f>
        <v>2314.2240000000002</v>
      </c>
      <c r="AM29" s="30"/>
      <c r="AN29" s="30">
        <v>454</v>
      </c>
      <c r="AO29" s="30"/>
      <c r="AP29" s="30">
        <f t="shared" si="6"/>
        <v>11985.892</v>
      </c>
      <c r="AR29" s="29">
        <f>2410.65*24</f>
        <v>57855.600000000006</v>
      </c>
      <c r="AS29" s="30"/>
      <c r="AU29" s="7" t="s">
        <v>7</v>
      </c>
    </row>
    <row r="30" spans="1:216">
      <c r="B30" s="28">
        <v>21</v>
      </c>
      <c r="C30" s="3" t="s">
        <v>167</v>
      </c>
      <c r="D30" s="3" t="s">
        <v>168</v>
      </c>
      <c r="E30" s="6" t="s">
        <v>67</v>
      </c>
      <c r="F30" s="6" t="s">
        <v>198</v>
      </c>
      <c r="G30" s="29">
        <f t="shared" si="0"/>
        <v>70000.08</v>
      </c>
      <c r="H30" s="30"/>
      <c r="I30" s="30">
        <f t="shared" si="7"/>
        <v>72100.082399999999</v>
      </c>
      <c r="J30" s="30">
        <f t="shared" si="8"/>
        <v>74263.084872000007</v>
      </c>
      <c r="K30" s="30"/>
      <c r="L30" s="36">
        <f t="shared" si="9"/>
        <v>6008.3401999999996</v>
      </c>
      <c r="M30" s="36">
        <f t="shared" si="9"/>
        <v>6008.3401999999996</v>
      </c>
      <c r="N30" s="36">
        <f t="shared" si="9"/>
        <v>6008.3401999999996</v>
      </c>
      <c r="O30" s="36">
        <f t="shared" si="9"/>
        <v>6008.3401999999996</v>
      </c>
      <c r="P30" s="36">
        <f t="shared" si="9"/>
        <v>6008.3401999999996</v>
      </c>
      <c r="Q30" s="36">
        <f t="shared" si="9"/>
        <v>6008.3401999999996</v>
      </c>
      <c r="R30" s="36">
        <f t="shared" si="9"/>
        <v>6008.3401999999996</v>
      </c>
      <c r="S30" s="36">
        <f t="shared" si="9"/>
        <v>6008.3401999999996</v>
      </c>
      <c r="T30" s="36">
        <f t="shared" si="9"/>
        <v>6008.3401999999996</v>
      </c>
      <c r="U30" s="36">
        <f t="shared" si="10"/>
        <v>6188.5904060000003</v>
      </c>
      <c r="V30" s="36">
        <f t="shared" si="10"/>
        <v>6188.5904060000003</v>
      </c>
      <c r="W30" s="36">
        <f t="shared" si="10"/>
        <v>6188.5904060000003</v>
      </c>
      <c r="X30" s="30"/>
      <c r="Y30" s="30"/>
      <c r="Z30" s="30">
        <f>IF(G30&lt;110100, G30*7.65%, 110100*6.2%+G30*1.45%)</f>
        <v>5355.00612</v>
      </c>
      <c r="AA30" s="30"/>
      <c r="AB30" s="30">
        <f t="shared" si="3"/>
        <v>56</v>
      </c>
      <c r="AC30" s="30"/>
      <c r="AD30" s="29">
        <f t="shared" si="4"/>
        <v>1154.55</v>
      </c>
      <c r="AE30" s="30"/>
      <c r="AF30" s="30">
        <f t="shared" si="5"/>
        <v>6565.5561200000002</v>
      </c>
      <c r="AG30" s="30"/>
      <c r="AH30" s="30">
        <v>7482</v>
      </c>
      <c r="AI30" s="30"/>
      <c r="AJ30" s="30">
        <f>+G30*$AJ$8</f>
        <v>2100.0023999999999</v>
      </c>
      <c r="AK30" s="30"/>
      <c r="AL30" s="30">
        <f>+G30*AL$8</f>
        <v>2800.0032000000001</v>
      </c>
      <c r="AM30" s="30"/>
      <c r="AN30" s="30">
        <v>454</v>
      </c>
      <c r="AO30" s="30"/>
      <c r="AP30" s="30">
        <f t="shared" si="6"/>
        <v>12836.0056</v>
      </c>
      <c r="AR30" s="29">
        <f>2916.67*24</f>
        <v>70000.08</v>
      </c>
      <c r="AS30" s="30"/>
      <c r="AU30" s="1" t="s">
        <v>7</v>
      </c>
    </row>
    <row r="31" spans="1:216">
      <c r="B31" s="28">
        <v>22</v>
      </c>
      <c r="C31" s="3" t="s">
        <v>130</v>
      </c>
      <c r="D31" s="3" t="s">
        <v>131</v>
      </c>
      <c r="E31" s="3" t="s">
        <v>129</v>
      </c>
      <c r="F31" s="3" t="s">
        <v>199</v>
      </c>
      <c r="G31" s="29">
        <f t="shared" si="0"/>
        <v>175048.56</v>
      </c>
      <c r="H31" s="30"/>
      <c r="I31" s="30">
        <f t="shared" si="7"/>
        <v>180300.01680000001</v>
      </c>
      <c r="J31" s="30">
        <f t="shared" si="8"/>
        <v>185709.01730400001</v>
      </c>
      <c r="K31" s="30"/>
      <c r="L31" s="36">
        <f t="shared" si="9"/>
        <v>15025.001400000001</v>
      </c>
      <c r="M31" s="36">
        <f t="shared" si="9"/>
        <v>15025.001400000001</v>
      </c>
      <c r="N31" s="36">
        <f t="shared" si="9"/>
        <v>15025.001400000001</v>
      </c>
      <c r="O31" s="36">
        <f t="shared" si="9"/>
        <v>15025.001400000001</v>
      </c>
      <c r="P31" s="36">
        <f t="shared" si="9"/>
        <v>15025.001400000001</v>
      </c>
      <c r="Q31" s="36">
        <f t="shared" si="9"/>
        <v>15025.001400000001</v>
      </c>
      <c r="R31" s="306">
        <f>$J31/12</f>
        <v>15475.751442000001</v>
      </c>
      <c r="S31" s="306">
        <f t="shared" ref="S31:W31" si="12">$J31/12</f>
        <v>15475.751442000001</v>
      </c>
      <c r="T31" s="306">
        <f t="shared" si="12"/>
        <v>15475.751442000001</v>
      </c>
      <c r="U31" s="306">
        <f t="shared" si="10"/>
        <v>15475.751442000001</v>
      </c>
      <c r="V31" s="306">
        <f t="shared" si="10"/>
        <v>15475.751442000001</v>
      </c>
      <c r="W31" s="306">
        <f t="shared" si="10"/>
        <v>15475.751442000001</v>
      </c>
      <c r="X31" s="30"/>
      <c r="Y31" s="30"/>
      <c r="Z31" s="30">
        <f>IF(G31&lt;110100, G31*7.65%, 110100*6.2%+G31*1.45%)</f>
        <v>9364.4041199999992</v>
      </c>
      <c r="AA31" s="30"/>
      <c r="AB31" s="30">
        <f t="shared" si="3"/>
        <v>56</v>
      </c>
      <c r="AC31" s="30"/>
      <c r="AD31" s="29">
        <f t="shared" si="4"/>
        <v>1154.55</v>
      </c>
      <c r="AE31" s="30"/>
      <c r="AF31" s="30">
        <f t="shared" si="5"/>
        <v>10574.954119999999</v>
      </c>
      <c r="AG31" s="30"/>
      <c r="AH31" s="30">
        <v>7482</v>
      </c>
      <c r="AI31" s="30"/>
      <c r="AJ31" s="30">
        <f>+G31*$AJ$8</f>
        <v>5251.4567999999999</v>
      </c>
      <c r="AK31" s="30"/>
      <c r="AL31" s="30">
        <f>+G31*AL$8</f>
        <v>7001.9423999999999</v>
      </c>
      <c r="AM31" s="30"/>
      <c r="AN31" s="30">
        <v>454</v>
      </c>
      <c r="AO31" s="30"/>
      <c r="AP31" s="30">
        <f t="shared" si="6"/>
        <v>20189.3992</v>
      </c>
      <c r="AR31" s="29">
        <f>7293.69*24</f>
        <v>175048.56</v>
      </c>
      <c r="AS31" s="30"/>
      <c r="AU31" s="1" t="s">
        <v>7</v>
      </c>
    </row>
    <row r="32" spans="1:216">
      <c r="B32" s="28">
        <v>23</v>
      </c>
      <c r="C32" s="3" t="s">
        <v>82</v>
      </c>
      <c r="D32" s="3" t="s">
        <v>83</v>
      </c>
      <c r="E32" s="6" t="s">
        <v>85</v>
      </c>
      <c r="F32" s="6" t="s">
        <v>200</v>
      </c>
      <c r="G32" s="29">
        <f t="shared" si="0"/>
        <v>53268.799999999996</v>
      </c>
      <c r="H32" s="30"/>
      <c r="I32" s="30">
        <f t="shared" si="7"/>
        <v>54866.863999999994</v>
      </c>
      <c r="J32" s="30">
        <f t="shared" si="8"/>
        <v>56512.869919999997</v>
      </c>
      <c r="K32" s="30"/>
      <c r="L32" s="36">
        <f t="shared" si="9"/>
        <v>4572.2386666666662</v>
      </c>
      <c r="M32" s="36">
        <f t="shared" si="9"/>
        <v>4572.2386666666662</v>
      </c>
      <c r="N32" s="36">
        <f t="shared" si="9"/>
        <v>4572.2386666666662</v>
      </c>
      <c r="O32" s="36">
        <f t="shared" si="9"/>
        <v>4572.2386666666662</v>
      </c>
      <c r="P32" s="36">
        <f t="shared" si="9"/>
        <v>4572.2386666666662</v>
      </c>
      <c r="Q32" s="36">
        <f t="shared" si="9"/>
        <v>4572.2386666666662</v>
      </c>
      <c r="R32" s="36">
        <f t="shared" si="9"/>
        <v>4572.2386666666662</v>
      </c>
      <c r="S32" s="36">
        <f t="shared" si="9"/>
        <v>4572.2386666666662</v>
      </c>
      <c r="T32" s="36">
        <f t="shared" si="9"/>
        <v>4572.2386666666662</v>
      </c>
      <c r="U32" s="36">
        <f t="shared" si="10"/>
        <v>4709.4058266666661</v>
      </c>
      <c r="V32" s="36">
        <f t="shared" si="10"/>
        <v>4709.4058266666661</v>
      </c>
      <c r="W32" s="36">
        <f t="shared" si="10"/>
        <v>4709.4058266666661</v>
      </c>
      <c r="X32" s="30"/>
      <c r="Y32" s="30"/>
      <c r="Z32" s="30">
        <f>IF(G32&lt;110100, G32*7.65%, 110100*6.2%+G32*1.45%)</f>
        <v>4075.0631999999996</v>
      </c>
      <c r="AA32" s="30"/>
      <c r="AB32" s="30">
        <f t="shared" si="3"/>
        <v>56</v>
      </c>
      <c r="AC32" s="30"/>
      <c r="AD32" s="29">
        <f t="shared" si="4"/>
        <v>1154.55</v>
      </c>
      <c r="AE32" s="30"/>
      <c r="AF32" s="30">
        <f t="shared" si="5"/>
        <v>5285.6131999999998</v>
      </c>
      <c r="AG32" s="30"/>
      <c r="AH32" s="30">
        <v>7482</v>
      </c>
      <c r="AI32" s="30"/>
      <c r="AJ32" s="30">
        <f>+G32*$AJ$8</f>
        <v>1598.0639999999999</v>
      </c>
      <c r="AK32" s="30"/>
      <c r="AL32" s="30">
        <f>+G32*AL$8</f>
        <v>2130.752</v>
      </c>
      <c r="AM32" s="30"/>
      <c r="AN32" s="30">
        <v>454</v>
      </c>
      <c r="AO32" s="30"/>
      <c r="AP32" s="30">
        <f t="shared" si="6"/>
        <v>11664.816000000001</v>
      </c>
      <c r="AR32" s="29">
        <f>25.61*2080</f>
        <v>53268.799999999996</v>
      </c>
      <c r="AS32" s="29"/>
      <c r="AU32" s="7" t="s">
        <v>175</v>
      </c>
    </row>
    <row r="33" spans="2:47">
      <c r="B33" s="28">
        <v>24</v>
      </c>
      <c r="C33" s="3" t="s">
        <v>82</v>
      </c>
      <c r="D33" s="3" t="s">
        <v>84</v>
      </c>
      <c r="E33" s="6" t="s">
        <v>85</v>
      </c>
      <c r="F33" s="6" t="s">
        <v>201</v>
      </c>
      <c r="G33" s="29">
        <f t="shared" si="0"/>
        <v>46529.599999999999</v>
      </c>
      <c r="H33" s="30"/>
      <c r="I33" s="30">
        <f t="shared" si="7"/>
        <v>47925.487999999998</v>
      </c>
      <c r="J33" s="30">
        <f t="shared" si="8"/>
        <v>49363.252639999999</v>
      </c>
      <c r="K33" s="30"/>
      <c r="L33" s="36">
        <f t="shared" si="9"/>
        <v>3993.7906666666663</v>
      </c>
      <c r="M33" s="36">
        <f t="shared" si="9"/>
        <v>3993.7906666666663</v>
      </c>
      <c r="N33" s="36">
        <f t="shared" si="9"/>
        <v>3993.7906666666663</v>
      </c>
      <c r="O33" s="36">
        <f t="shared" si="9"/>
        <v>3993.7906666666663</v>
      </c>
      <c r="P33" s="36">
        <f t="shared" si="9"/>
        <v>3993.7906666666663</v>
      </c>
      <c r="Q33" s="36">
        <f t="shared" si="9"/>
        <v>3993.7906666666663</v>
      </c>
      <c r="R33" s="36">
        <f t="shared" si="9"/>
        <v>3993.7906666666663</v>
      </c>
      <c r="S33" s="36">
        <f t="shared" si="9"/>
        <v>3993.7906666666663</v>
      </c>
      <c r="T33" s="36">
        <f t="shared" si="9"/>
        <v>3993.7906666666663</v>
      </c>
      <c r="U33" s="36">
        <f t="shared" si="10"/>
        <v>4113.6043866666669</v>
      </c>
      <c r="V33" s="36">
        <f t="shared" si="10"/>
        <v>4113.6043866666669</v>
      </c>
      <c r="W33" s="36">
        <f t="shared" si="10"/>
        <v>4113.6043866666669</v>
      </c>
      <c r="X33" s="30"/>
      <c r="Y33" s="30"/>
      <c r="Z33" s="30">
        <f>IF(G33&lt;110100, G33*7.65%, 110100*6.2%+G33*1.45%)</f>
        <v>3559.5144</v>
      </c>
      <c r="AA33" s="30"/>
      <c r="AB33" s="30">
        <f t="shared" si="3"/>
        <v>56</v>
      </c>
      <c r="AC33" s="30"/>
      <c r="AD33" s="29">
        <f t="shared" si="4"/>
        <v>1154.55</v>
      </c>
      <c r="AE33" s="30"/>
      <c r="AF33" s="30">
        <f t="shared" si="5"/>
        <v>4770.0644000000002</v>
      </c>
      <c r="AG33" s="30"/>
      <c r="AH33" s="30">
        <v>7482</v>
      </c>
      <c r="AI33" s="30"/>
      <c r="AJ33" s="30">
        <f>+G33*$AJ$8</f>
        <v>1395.8879999999999</v>
      </c>
      <c r="AK33" s="30"/>
      <c r="AL33" s="30">
        <f>+G33*AL$8</f>
        <v>1861.184</v>
      </c>
      <c r="AM33" s="30"/>
      <c r="AN33" s="30">
        <v>454</v>
      </c>
      <c r="AO33" s="30"/>
      <c r="AP33" s="30">
        <f t="shared" si="6"/>
        <v>11193.071999999998</v>
      </c>
      <c r="AR33" s="29">
        <f>22.37*2080</f>
        <v>46529.599999999999</v>
      </c>
      <c r="AS33" s="29"/>
      <c r="AU33" s="7" t="s">
        <v>175</v>
      </c>
    </row>
    <row r="34" spans="2:47">
      <c r="B34" s="28">
        <v>25</v>
      </c>
      <c r="C34" s="3" t="s">
        <v>152</v>
      </c>
      <c r="D34" s="3" t="s">
        <v>153</v>
      </c>
      <c r="E34" s="3" t="s">
        <v>145</v>
      </c>
      <c r="F34" s="3" t="s">
        <v>202</v>
      </c>
      <c r="G34" s="29">
        <f t="shared" si="0"/>
        <v>48000</v>
      </c>
      <c r="H34" s="30"/>
      <c r="I34" s="30">
        <f t="shared" si="7"/>
        <v>49440</v>
      </c>
      <c r="J34" s="30">
        <f t="shared" si="8"/>
        <v>50923.200000000004</v>
      </c>
      <c r="K34" s="30"/>
      <c r="L34" s="36">
        <f t="shared" si="9"/>
        <v>4120</v>
      </c>
      <c r="M34" s="36">
        <f t="shared" si="9"/>
        <v>4120</v>
      </c>
      <c r="N34" s="36">
        <f t="shared" si="9"/>
        <v>4120</v>
      </c>
      <c r="O34" s="36">
        <f t="shared" si="9"/>
        <v>4120</v>
      </c>
      <c r="P34" s="36">
        <f t="shared" si="9"/>
        <v>4120</v>
      </c>
      <c r="Q34" s="36">
        <f t="shared" si="9"/>
        <v>4120</v>
      </c>
      <c r="R34" s="36">
        <f t="shared" si="9"/>
        <v>4120</v>
      </c>
      <c r="S34" s="36">
        <f t="shared" si="9"/>
        <v>4120</v>
      </c>
      <c r="T34" s="36">
        <f t="shared" si="9"/>
        <v>4120</v>
      </c>
      <c r="U34" s="36">
        <f t="shared" si="10"/>
        <v>4243.6000000000004</v>
      </c>
      <c r="V34" s="36">
        <f t="shared" si="10"/>
        <v>4243.6000000000004</v>
      </c>
      <c r="W34" s="36">
        <f t="shared" si="10"/>
        <v>4243.6000000000004</v>
      </c>
      <c r="X34" s="30"/>
      <c r="Y34" s="30"/>
      <c r="Z34" s="30">
        <f>IF(G34&lt;110100, G34*7.65%, 110100*6.2%+G34*1.45%)</f>
        <v>3672</v>
      </c>
      <c r="AA34" s="30"/>
      <c r="AB34" s="30">
        <f t="shared" si="3"/>
        <v>56</v>
      </c>
      <c r="AC34" s="30"/>
      <c r="AD34" s="29">
        <f t="shared" si="4"/>
        <v>1154.55</v>
      </c>
      <c r="AE34" s="30"/>
      <c r="AF34" s="30">
        <f t="shared" si="5"/>
        <v>4882.55</v>
      </c>
      <c r="AG34" s="30"/>
      <c r="AH34" s="30">
        <v>7482</v>
      </c>
      <c r="AI34" s="30"/>
      <c r="AJ34" s="30">
        <f>+G34*$AJ$8</f>
        <v>1440</v>
      </c>
      <c r="AK34" s="30"/>
      <c r="AL34" s="30">
        <f>+G34*AL$8</f>
        <v>1920</v>
      </c>
      <c r="AM34" s="30"/>
      <c r="AN34" s="30">
        <v>454</v>
      </c>
      <c r="AO34" s="30"/>
      <c r="AP34" s="30">
        <f t="shared" si="6"/>
        <v>11296</v>
      </c>
      <c r="AR34" s="29">
        <f>2000*24</f>
        <v>48000</v>
      </c>
      <c r="AS34" s="30"/>
      <c r="AU34" s="1" t="s">
        <v>7</v>
      </c>
    </row>
    <row r="35" spans="2:47">
      <c r="B35" s="28">
        <v>26</v>
      </c>
      <c r="C35" s="3" t="s">
        <v>91</v>
      </c>
      <c r="D35" s="3" t="s">
        <v>92</v>
      </c>
      <c r="E35" s="6" t="s">
        <v>40</v>
      </c>
      <c r="F35" s="6" t="s">
        <v>203</v>
      </c>
      <c r="G35" s="29">
        <f t="shared" si="0"/>
        <v>97392.48</v>
      </c>
      <c r="H35" s="30"/>
      <c r="I35" s="30">
        <f t="shared" si="7"/>
        <v>100314.25440000001</v>
      </c>
      <c r="J35" s="30">
        <f t="shared" si="8"/>
        <v>103323.68203200001</v>
      </c>
      <c r="K35" s="30"/>
      <c r="L35" s="36">
        <f t="shared" si="9"/>
        <v>8359.521200000001</v>
      </c>
      <c r="M35" s="36">
        <f t="shared" si="9"/>
        <v>8359.521200000001</v>
      </c>
      <c r="N35" s="36">
        <f t="shared" si="9"/>
        <v>8359.521200000001</v>
      </c>
      <c r="O35" s="36">
        <f t="shared" si="9"/>
        <v>8359.521200000001</v>
      </c>
      <c r="P35" s="36">
        <f t="shared" si="9"/>
        <v>8359.521200000001</v>
      </c>
      <c r="Q35" s="36">
        <f t="shared" si="9"/>
        <v>8359.521200000001</v>
      </c>
      <c r="R35" s="36">
        <f t="shared" si="9"/>
        <v>8359.521200000001</v>
      </c>
      <c r="S35" s="36">
        <f t="shared" si="9"/>
        <v>8359.521200000001</v>
      </c>
      <c r="T35" s="36">
        <f t="shared" si="9"/>
        <v>8359.521200000001</v>
      </c>
      <c r="U35" s="36">
        <f t="shared" si="10"/>
        <v>8610.3068360000016</v>
      </c>
      <c r="V35" s="36">
        <f t="shared" si="10"/>
        <v>8610.3068360000016</v>
      </c>
      <c r="W35" s="36">
        <f t="shared" si="10"/>
        <v>8610.3068360000016</v>
      </c>
      <c r="X35" s="30"/>
      <c r="Y35" s="30"/>
      <c r="Z35" s="30">
        <f>IF(G35&lt;110100, G35*7.65%, 110100*6.2%+G35*1.45%)</f>
        <v>7450.5247199999994</v>
      </c>
      <c r="AA35" s="30"/>
      <c r="AB35" s="30">
        <f t="shared" si="3"/>
        <v>56</v>
      </c>
      <c r="AC35" s="30"/>
      <c r="AD35" s="29">
        <f t="shared" si="4"/>
        <v>1154.55</v>
      </c>
      <c r="AE35" s="30"/>
      <c r="AF35" s="30">
        <f t="shared" si="5"/>
        <v>8661.0747199999987</v>
      </c>
      <c r="AG35" s="30"/>
      <c r="AH35" s="30">
        <v>7482</v>
      </c>
      <c r="AI35" s="30"/>
      <c r="AJ35" s="30">
        <f>+G35*$AJ$8</f>
        <v>2921.7743999999998</v>
      </c>
      <c r="AK35" s="30"/>
      <c r="AL35" s="30">
        <f>+G35*AL$8</f>
        <v>3895.6992</v>
      </c>
      <c r="AM35" s="30"/>
      <c r="AN35" s="30">
        <v>454</v>
      </c>
      <c r="AO35" s="30"/>
      <c r="AP35" s="30">
        <f t="shared" si="6"/>
        <v>14753.473600000001</v>
      </c>
      <c r="AR35" s="29">
        <f>4058.02*24</f>
        <v>97392.48</v>
      </c>
      <c r="AS35" s="30"/>
      <c r="AU35" s="1" t="s">
        <v>7</v>
      </c>
    </row>
    <row r="36" spans="2:47">
      <c r="B36" s="28">
        <v>27</v>
      </c>
      <c r="C36" s="3" t="s">
        <v>143</v>
      </c>
      <c r="D36" s="3" t="s">
        <v>144</v>
      </c>
      <c r="E36" s="3" t="s">
        <v>145</v>
      </c>
      <c r="F36" s="3" t="s">
        <v>204</v>
      </c>
      <c r="G36" s="29">
        <f t="shared" si="0"/>
        <v>54104.639999999999</v>
      </c>
      <c r="H36" s="30"/>
      <c r="I36" s="30">
        <f t="shared" si="7"/>
        <v>55727.779199999997</v>
      </c>
      <c r="J36" s="30">
        <f t="shared" si="8"/>
        <v>57399.612576</v>
      </c>
      <c r="K36" s="30"/>
      <c r="L36" s="36">
        <f t="shared" si="9"/>
        <v>4643.9816000000001</v>
      </c>
      <c r="M36" s="36">
        <f t="shared" si="9"/>
        <v>4643.9816000000001</v>
      </c>
      <c r="N36" s="36">
        <f t="shared" si="9"/>
        <v>4643.9816000000001</v>
      </c>
      <c r="O36" s="36">
        <f t="shared" si="9"/>
        <v>4643.9816000000001</v>
      </c>
      <c r="P36" s="36">
        <f t="shared" si="9"/>
        <v>4643.9816000000001</v>
      </c>
      <c r="Q36" s="36">
        <f t="shared" si="9"/>
        <v>4643.9816000000001</v>
      </c>
      <c r="R36" s="36">
        <f t="shared" si="9"/>
        <v>4643.9816000000001</v>
      </c>
      <c r="S36" s="36">
        <f t="shared" si="9"/>
        <v>4643.9816000000001</v>
      </c>
      <c r="T36" s="36">
        <f t="shared" si="9"/>
        <v>4643.9816000000001</v>
      </c>
      <c r="U36" s="36">
        <f t="shared" si="10"/>
        <v>4783.3010480000003</v>
      </c>
      <c r="V36" s="36">
        <f t="shared" si="10"/>
        <v>4783.3010480000003</v>
      </c>
      <c r="W36" s="36">
        <f t="shared" si="10"/>
        <v>4783.3010480000003</v>
      </c>
      <c r="X36" s="30"/>
      <c r="Y36" s="30"/>
      <c r="Z36" s="30">
        <f>IF(G36&lt;110100, G36*7.65%, 110100*6.2%+G36*1.45%)</f>
        <v>4139.0049600000002</v>
      </c>
      <c r="AA36" s="30"/>
      <c r="AB36" s="30">
        <f t="shared" si="3"/>
        <v>56</v>
      </c>
      <c r="AC36" s="30"/>
      <c r="AD36" s="29">
        <f t="shared" si="4"/>
        <v>1154.55</v>
      </c>
      <c r="AE36" s="30"/>
      <c r="AF36" s="30">
        <f t="shared" si="5"/>
        <v>5349.5549600000004</v>
      </c>
      <c r="AG36" s="30"/>
      <c r="AH36" s="30">
        <v>7482</v>
      </c>
      <c r="AI36" s="30"/>
      <c r="AJ36" s="30">
        <f>+G36*$AJ$8</f>
        <v>1623.1391999999998</v>
      </c>
      <c r="AK36" s="30"/>
      <c r="AL36" s="30">
        <f>+G36*AL$8</f>
        <v>2164.1855999999998</v>
      </c>
      <c r="AM36" s="30"/>
      <c r="AN36" s="30">
        <v>454</v>
      </c>
      <c r="AO36" s="30"/>
      <c r="AP36" s="30">
        <f t="shared" si="6"/>
        <v>11723.324799999999</v>
      </c>
      <c r="AR36" s="29">
        <f>2254.36*24</f>
        <v>54104.639999999999</v>
      </c>
      <c r="AS36" s="30"/>
      <c r="AU36" s="1" t="s">
        <v>7</v>
      </c>
    </row>
    <row r="37" spans="2:47">
      <c r="B37" s="28">
        <v>28</v>
      </c>
      <c r="C37" s="3" t="s">
        <v>96</v>
      </c>
      <c r="D37" s="3" t="s">
        <v>95</v>
      </c>
      <c r="E37" s="6" t="s">
        <v>85</v>
      </c>
      <c r="F37" s="6" t="s">
        <v>205</v>
      </c>
      <c r="G37" s="29">
        <f t="shared" si="0"/>
        <v>44948.799999999996</v>
      </c>
      <c r="H37" s="30"/>
      <c r="I37" s="30">
        <f t="shared" si="7"/>
        <v>46297.263999999996</v>
      </c>
      <c r="J37" s="30">
        <f t="shared" si="8"/>
        <v>47686.181919999995</v>
      </c>
      <c r="K37" s="30"/>
      <c r="L37" s="36">
        <f t="shared" si="9"/>
        <v>3858.105333333333</v>
      </c>
      <c r="M37" s="36">
        <f t="shared" si="9"/>
        <v>3858.105333333333</v>
      </c>
      <c r="N37" s="36">
        <f t="shared" si="9"/>
        <v>3858.105333333333</v>
      </c>
      <c r="O37" s="36">
        <f t="shared" si="9"/>
        <v>3858.105333333333</v>
      </c>
      <c r="P37" s="36">
        <f t="shared" si="9"/>
        <v>3858.105333333333</v>
      </c>
      <c r="Q37" s="36">
        <f t="shared" si="9"/>
        <v>3858.105333333333</v>
      </c>
      <c r="R37" s="36">
        <f t="shared" si="9"/>
        <v>3858.105333333333</v>
      </c>
      <c r="S37" s="36">
        <f t="shared" si="9"/>
        <v>3858.105333333333</v>
      </c>
      <c r="T37" s="36">
        <f t="shared" si="9"/>
        <v>3858.105333333333</v>
      </c>
      <c r="U37" s="36">
        <f t="shared" si="10"/>
        <v>3973.848493333333</v>
      </c>
      <c r="V37" s="36">
        <f t="shared" si="10"/>
        <v>3973.848493333333</v>
      </c>
      <c r="W37" s="36">
        <f t="shared" si="10"/>
        <v>3973.848493333333</v>
      </c>
      <c r="X37" s="30"/>
      <c r="Y37" s="30"/>
      <c r="Z37" s="30">
        <f>IF(G37&lt;110100, G37*7.65%, 110100*6.2%+G37*1.45%)</f>
        <v>3438.5831999999996</v>
      </c>
      <c r="AA37" s="30"/>
      <c r="AB37" s="30">
        <f t="shared" si="3"/>
        <v>56</v>
      </c>
      <c r="AC37" s="30"/>
      <c r="AD37" s="29">
        <f t="shared" si="4"/>
        <v>1154.55</v>
      </c>
      <c r="AE37" s="30"/>
      <c r="AF37" s="30">
        <f t="shared" si="5"/>
        <v>4649.1331999999993</v>
      </c>
      <c r="AG37" s="30"/>
      <c r="AH37" s="30">
        <v>7482</v>
      </c>
      <c r="AI37" s="30"/>
      <c r="AJ37" s="30">
        <f>+G37*$AJ$8</f>
        <v>1348.4639999999997</v>
      </c>
      <c r="AK37" s="30"/>
      <c r="AL37" s="30">
        <f>+G37*AL$8</f>
        <v>1797.9519999999998</v>
      </c>
      <c r="AM37" s="30"/>
      <c r="AN37" s="30">
        <v>454</v>
      </c>
      <c r="AO37" s="30"/>
      <c r="AP37" s="30">
        <f t="shared" si="6"/>
        <v>11082.415999999999</v>
      </c>
      <c r="AR37" s="29">
        <f>21.61*2080</f>
        <v>44948.799999999996</v>
      </c>
      <c r="AS37" s="29"/>
      <c r="AU37" s="1" t="s">
        <v>175</v>
      </c>
    </row>
    <row r="38" spans="2:47">
      <c r="B38" s="28">
        <v>29</v>
      </c>
      <c r="C38" s="3" t="s">
        <v>41</v>
      </c>
      <c r="D38" s="3" t="s">
        <v>42</v>
      </c>
      <c r="E38" s="6" t="s">
        <v>40</v>
      </c>
      <c r="F38" s="6" t="s">
        <v>206</v>
      </c>
      <c r="G38" s="29">
        <f t="shared" si="0"/>
        <v>74571.600000000006</v>
      </c>
      <c r="H38" s="30"/>
      <c r="I38" s="30">
        <f t="shared" si="7"/>
        <v>76808.748000000007</v>
      </c>
      <c r="J38" s="30">
        <f t="shared" si="8"/>
        <v>79113.010440000013</v>
      </c>
      <c r="K38" s="30"/>
      <c r="L38" s="36">
        <f t="shared" si="9"/>
        <v>6400.7290000000003</v>
      </c>
      <c r="M38" s="36">
        <f t="shared" si="9"/>
        <v>6400.7290000000003</v>
      </c>
      <c r="N38" s="36">
        <f t="shared" si="9"/>
        <v>6400.7290000000003</v>
      </c>
      <c r="O38" s="36">
        <f t="shared" si="9"/>
        <v>6400.7290000000003</v>
      </c>
      <c r="P38" s="36">
        <f t="shared" si="9"/>
        <v>6400.7290000000003</v>
      </c>
      <c r="Q38" s="36">
        <f t="shared" si="9"/>
        <v>6400.7290000000003</v>
      </c>
      <c r="R38" s="36">
        <f t="shared" si="9"/>
        <v>6400.7290000000003</v>
      </c>
      <c r="S38" s="36">
        <f t="shared" si="9"/>
        <v>6400.7290000000003</v>
      </c>
      <c r="T38" s="36">
        <f t="shared" si="9"/>
        <v>6400.7290000000003</v>
      </c>
      <c r="U38" s="36">
        <f t="shared" si="10"/>
        <v>6592.7508700000008</v>
      </c>
      <c r="V38" s="36">
        <f t="shared" si="10"/>
        <v>6592.7508700000008</v>
      </c>
      <c r="W38" s="36">
        <f t="shared" si="10"/>
        <v>6592.7508700000008</v>
      </c>
      <c r="X38" s="30"/>
      <c r="Y38" s="30"/>
      <c r="Z38" s="30">
        <f>IF(G38&lt;110100, G38*7.65%, 110100*6.2%+G38*1.45%)</f>
        <v>5704.7274000000007</v>
      </c>
      <c r="AA38" s="30"/>
      <c r="AB38" s="30">
        <f t="shared" si="3"/>
        <v>56</v>
      </c>
      <c r="AC38" s="30"/>
      <c r="AD38" s="29">
        <f t="shared" si="4"/>
        <v>1154.55</v>
      </c>
      <c r="AE38" s="30"/>
      <c r="AF38" s="30">
        <f t="shared" si="5"/>
        <v>6915.2774000000009</v>
      </c>
      <c r="AG38" s="30"/>
      <c r="AH38" s="30">
        <v>7482</v>
      </c>
      <c r="AI38" s="30"/>
      <c r="AJ38" s="30">
        <f>+G38*$AJ$8</f>
        <v>2237.1480000000001</v>
      </c>
      <c r="AK38" s="30"/>
      <c r="AL38" s="30">
        <f>+G38*AL$8</f>
        <v>2982.8640000000005</v>
      </c>
      <c r="AM38" s="30"/>
      <c r="AN38" s="30">
        <v>454</v>
      </c>
      <c r="AO38" s="30"/>
      <c r="AP38" s="30">
        <f t="shared" si="6"/>
        <v>13156.012000000002</v>
      </c>
      <c r="AR38" s="29">
        <f>3107.15*24</f>
        <v>74571.600000000006</v>
      </c>
      <c r="AS38" s="30"/>
      <c r="AU38" s="7" t="s">
        <v>7</v>
      </c>
    </row>
    <row r="39" spans="2:47">
      <c r="B39" s="28">
        <v>30</v>
      </c>
      <c r="C39" s="3" t="s">
        <v>135</v>
      </c>
      <c r="D39" s="3" t="s">
        <v>136</v>
      </c>
      <c r="E39" s="6" t="s">
        <v>67</v>
      </c>
      <c r="F39" s="6" t="s">
        <v>207</v>
      </c>
      <c r="G39" s="29">
        <f t="shared" si="0"/>
        <v>62500.08</v>
      </c>
      <c r="H39" s="30"/>
      <c r="I39" s="30">
        <f t="shared" si="7"/>
        <v>64375.082400000007</v>
      </c>
      <c r="J39" s="30">
        <f t="shared" si="8"/>
        <v>66306.334872000007</v>
      </c>
      <c r="K39" s="30"/>
      <c r="L39" s="36">
        <f t="shared" si="9"/>
        <v>5364.5902000000006</v>
      </c>
      <c r="M39" s="36">
        <f t="shared" si="9"/>
        <v>5364.5902000000006</v>
      </c>
      <c r="N39" s="36">
        <f t="shared" si="9"/>
        <v>5364.5902000000006</v>
      </c>
      <c r="O39" s="36">
        <f t="shared" si="9"/>
        <v>5364.5902000000006</v>
      </c>
      <c r="P39" s="36">
        <f t="shared" si="9"/>
        <v>5364.5902000000006</v>
      </c>
      <c r="Q39" s="36">
        <f t="shared" si="9"/>
        <v>5364.5902000000006</v>
      </c>
      <c r="R39" s="36">
        <f t="shared" si="9"/>
        <v>5364.5902000000006</v>
      </c>
      <c r="S39" s="36">
        <f t="shared" si="9"/>
        <v>5364.5902000000006</v>
      </c>
      <c r="T39" s="36">
        <f t="shared" si="9"/>
        <v>5364.5902000000006</v>
      </c>
      <c r="U39" s="36">
        <f t="shared" si="10"/>
        <v>5525.5279060000003</v>
      </c>
      <c r="V39" s="36">
        <f t="shared" si="10"/>
        <v>5525.5279060000003</v>
      </c>
      <c r="W39" s="36">
        <f t="shared" si="10"/>
        <v>5525.5279060000003</v>
      </c>
      <c r="X39" s="30"/>
      <c r="Y39" s="30"/>
      <c r="Z39" s="30">
        <f>IF(G39&lt;110100, G39*7.65%, 110100*6.2%+G39*1.45%)</f>
        <v>4781.25612</v>
      </c>
      <c r="AA39" s="30"/>
      <c r="AB39" s="30">
        <f t="shared" si="3"/>
        <v>56</v>
      </c>
      <c r="AC39" s="30"/>
      <c r="AD39" s="29">
        <f t="shared" si="4"/>
        <v>1154.55</v>
      </c>
      <c r="AE39" s="30"/>
      <c r="AF39" s="30">
        <f t="shared" si="5"/>
        <v>5991.8061200000002</v>
      </c>
      <c r="AG39" s="30"/>
      <c r="AH39" s="30">
        <v>7482</v>
      </c>
      <c r="AI39" s="30"/>
      <c r="AJ39" s="30">
        <f>+G39*$AJ$8</f>
        <v>1875.0024000000001</v>
      </c>
      <c r="AK39" s="30"/>
      <c r="AL39" s="30">
        <f>+G39*AL$8</f>
        <v>2500.0032000000001</v>
      </c>
      <c r="AM39" s="30"/>
      <c r="AN39" s="30">
        <v>454</v>
      </c>
      <c r="AO39" s="30"/>
      <c r="AP39" s="30">
        <f t="shared" si="6"/>
        <v>12311.0056</v>
      </c>
      <c r="AR39" s="29">
        <f>2604.17*24</f>
        <v>62500.08</v>
      </c>
      <c r="AS39" s="30"/>
      <c r="AU39" s="1" t="s">
        <v>7</v>
      </c>
    </row>
    <row r="40" spans="2:47">
      <c r="B40" s="28">
        <v>31</v>
      </c>
      <c r="C40" s="1" t="s">
        <v>172</v>
      </c>
      <c r="D40" s="1" t="s">
        <v>173</v>
      </c>
      <c r="E40" s="1" t="s">
        <v>171</v>
      </c>
      <c r="F40" s="1" t="s">
        <v>208</v>
      </c>
      <c r="G40" s="29">
        <f t="shared" si="0"/>
        <v>55000.08</v>
      </c>
      <c r="I40" s="30">
        <f t="shared" si="7"/>
        <v>56650.082400000007</v>
      </c>
      <c r="J40" s="30">
        <f t="shared" si="8"/>
        <v>58349.584872000007</v>
      </c>
      <c r="L40" s="36">
        <f t="shared" si="9"/>
        <v>4720.8402000000006</v>
      </c>
      <c r="M40" s="36">
        <f t="shared" si="9"/>
        <v>4720.8402000000006</v>
      </c>
      <c r="N40" s="36">
        <f t="shared" si="9"/>
        <v>4720.8402000000006</v>
      </c>
      <c r="O40" s="36">
        <f t="shared" si="9"/>
        <v>4720.8402000000006</v>
      </c>
      <c r="P40" s="36">
        <f t="shared" si="9"/>
        <v>4720.8402000000006</v>
      </c>
      <c r="Q40" s="36">
        <f t="shared" si="9"/>
        <v>4720.8402000000006</v>
      </c>
      <c r="R40" s="36">
        <f t="shared" si="9"/>
        <v>4720.8402000000006</v>
      </c>
      <c r="S40" s="36">
        <f t="shared" si="9"/>
        <v>4720.8402000000006</v>
      </c>
      <c r="T40" s="36">
        <f t="shared" si="9"/>
        <v>4720.8402000000006</v>
      </c>
      <c r="U40" s="36">
        <f t="shared" si="10"/>
        <v>4862.4654060000003</v>
      </c>
      <c r="V40" s="36">
        <f t="shared" si="10"/>
        <v>4862.4654060000003</v>
      </c>
      <c r="W40" s="36">
        <f t="shared" si="10"/>
        <v>4862.4654060000003</v>
      </c>
      <c r="Z40" s="30">
        <f>IF(G40&lt;110100, G40*7.65%, 110100*6.2%+G40*1.45%)</f>
        <v>4207.50612</v>
      </c>
      <c r="AA40" s="30"/>
      <c r="AB40" s="30">
        <f t="shared" si="3"/>
        <v>56</v>
      </c>
      <c r="AC40" s="30"/>
      <c r="AD40" s="29">
        <f t="shared" si="4"/>
        <v>1154.55</v>
      </c>
      <c r="AE40" s="30"/>
      <c r="AF40" s="30">
        <f t="shared" si="5"/>
        <v>5418.0561200000002</v>
      </c>
      <c r="AG40" s="30"/>
      <c r="AH40" s="30">
        <v>7482</v>
      </c>
      <c r="AI40" s="30"/>
      <c r="AJ40" s="30">
        <f>+G40*$AJ$8</f>
        <v>1650.0024000000001</v>
      </c>
      <c r="AK40" s="30"/>
      <c r="AL40" s="30">
        <f>+G40*AL$8</f>
        <v>2200.0032000000001</v>
      </c>
      <c r="AM40" s="30"/>
      <c r="AN40" s="30">
        <v>454</v>
      </c>
      <c r="AO40" s="30"/>
      <c r="AP40" s="30">
        <f t="shared" si="6"/>
        <v>11786.0056</v>
      </c>
      <c r="AR40" s="29">
        <f>2291.67*24</f>
        <v>55000.08</v>
      </c>
      <c r="AU40" s="1" t="s">
        <v>7</v>
      </c>
    </row>
    <row r="41" spans="2:47">
      <c r="B41" s="28">
        <v>32</v>
      </c>
      <c r="C41" s="3" t="s">
        <v>157</v>
      </c>
      <c r="D41" s="3" t="s">
        <v>87</v>
      </c>
      <c r="E41" s="3" t="s">
        <v>158</v>
      </c>
      <c r="F41" s="3" t="s">
        <v>209</v>
      </c>
      <c r="G41" s="29">
        <f t="shared" si="0"/>
        <v>84700.08</v>
      </c>
      <c r="H41" s="30"/>
      <c r="I41" s="30">
        <f t="shared" si="7"/>
        <v>87241.082399999999</v>
      </c>
      <c r="J41" s="30">
        <f t="shared" si="8"/>
        <v>89858.314872000003</v>
      </c>
      <c r="K41" s="30"/>
      <c r="L41" s="36">
        <f t="shared" si="9"/>
        <v>7270.0901999999996</v>
      </c>
      <c r="M41" s="36">
        <f t="shared" si="9"/>
        <v>7270.0901999999996</v>
      </c>
      <c r="N41" s="36">
        <f t="shared" si="9"/>
        <v>7270.0901999999996</v>
      </c>
      <c r="O41" s="36">
        <f t="shared" si="9"/>
        <v>7270.0901999999996</v>
      </c>
      <c r="P41" s="36">
        <f t="shared" si="9"/>
        <v>7270.0901999999996</v>
      </c>
      <c r="Q41" s="36">
        <f t="shared" si="9"/>
        <v>7270.0901999999996</v>
      </c>
      <c r="R41" s="36">
        <f t="shared" si="9"/>
        <v>7270.0901999999996</v>
      </c>
      <c r="S41" s="36">
        <f t="shared" si="9"/>
        <v>7270.0901999999996</v>
      </c>
      <c r="T41" s="36">
        <f t="shared" si="9"/>
        <v>7270.0901999999996</v>
      </c>
      <c r="U41" s="36">
        <f t="shared" si="10"/>
        <v>7488.1929060000002</v>
      </c>
      <c r="V41" s="36">
        <f t="shared" si="10"/>
        <v>7488.1929060000002</v>
      </c>
      <c r="W41" s="36">
        <f t="shared" si="10"/>
        <v>7488.1929060000002</v>
      </c>
      <c r="X41" s="30"/>
      <c r="Y41" s="30"/>
      <c r="Z41" s="30">
        <f>IF(G41&lt;110100, G41*7.65%, 110100*6.2%+G41*1.45%)</f>
        <v>6479.5561200000002</v>
      </c>
      <c r="AA41" s="30"/>
      <c r="AB41" s="30">
        <f t="shared" si="3"/>
        <v>56</v>
      </c>
      <c r="AC41" s="30"/>
      <c r="AD41" s="29">
        <f t="shared" si="4"/>
        <v>1154.55</v>
      </c>
      <c r="AE41" s="30"/>
      <c r="AF41" s="30">
        <f t="shared" si="5"/>
        <v>7690.1061200000004</v>
      </c>
      <c r="AG41" s="30"/>
      <c r="AH41" s="30">
        <v>7482</v>
      </c>
      <c r="AI41" s="30"/>
      <c r="AJ41" s="30">
        <f>+G41*$AJ$8</f>
        <v>2541.0023999999999</v>
      </c>
      <c r="AK41" s="30"/>
      <c r="AL41" s="30">
        <f>+G41*AL$8</f>
        <v>3388.0032000000001</v>
      </c>
      <c r="AM41" s="30"/>
      <c r="AN41" s="30">
        <v>454</v>
      </c>
      <c r="AO41" s="30"/>
      <c r="AP41" s="30">
        <f t="shared" si="6"/>
        <v>13865.0056</v>
      </c>
      <c r="AR41" s="29">
        <f>3529.17*24</f>
        <v>84700.08</v>
      </c>
      <c r="AS41" s="30"/>
      <c r="AU41" s="1" t="s">
        <v>7</v>
      </c>
    </row>
    <row r="42" spans="2:47">
      <c r="B42" s="28">
        <v>33</v>
      </c>
      <c r="C42" s="3" t="s">
        <v>62</v>
      </c>
      <c r="D42" s="3" t="s">
        <v>63</v>
      </c>
      <c r="E42" s="3" t="s">
        <v>64</v>
      </c>
      <c r="F42" s="3" t="s">
        <v>210</v>
      </c>
      <c r="G42" s="29">
        <f t="shared" si="0"/>
        <v>40000.080000000002</v>
      </c>
      <c r="H42" s="30"/>
      <c r="I42" s="30">
        <f t="shared" si="7"/>
        <v>41200.082399999999</v>
      </c>
      <c r="J42" s="30">
        <f t="shared" si="8"/>
        <v>42436.084871999999</v>
      </c>
      <c r="K42" s="30"/>
      <c r="L42" s="36">
        <f t="shared" si="9"/>
        <v>3433.3402000000001</v>
      </c>
      <c r="M42" s="36">
        <f t="shared" si="9"/>
        <v>3433.3402000000001</v>
      </c>
      <c r="N42" s="36">
        <f t="shared" si="9"/>
        <v>3433.3402000000001</v>
      </c>
      <c r="O42" s="36">
        <f t="shared" si="9"/>
        <v>3433.3402000000001</v>
      </c>
      <c r="P42" s="36">
        <f t="shared" si="9"/>
        <v>3433.3402000000001</v>
      </c>
      <c r="Q42" s="36">
        <f t="shared" si="9"/>
        <v>3433.3402000000001</v>
      </c>
      <c r="R42" s="36">
        <f t="shared" si="9"/>
        <v>3433.3402000000001</v>
      </c>
      <c r="S42" s="36">
        <f t="shared" si="9"/>
        <v>3433.3402000000001</v>
      </c>
      <c r="T42" s="36">
        <f t="shared" si="9"/>
        <v>3433.3402000000001</v>
      </c>
      <c r="U42" s="36">
        <f t="shared" si="10"/>
        <v>3536.3404059999998</v>
      </c>
      <c r="V42" s="36">
        <f t="shared" si="10"/>
        <v>3536.3404059999998</v>
      </c>
      <c r="W42" s="36">
        <f t="shared" si="10"/>
        <v>3536.3404059999998</v>
      </c>
      <c r="X42" s="30"/>
      <c r="Y42" s="30"/>
      <c r="Z42" s="30">
        <f>IF(G42&lt;110100, G42*7.65%, 110100*6.2%+G42*1.45%)</f>
        <v>3060.00612</v>
      </c>
      <c r="AA42" s="30"/>
      <c r="AB42" s="30">
        <f t="shared" si="3"/>
        <v>56</v>
      </c>
      <c r="AC42" s="30"/>
      <c r="AD42" s="29">
        <f t="shared" si="4"/>
        <v>1154.55</v>
      </c>
      <c r="AE42" s="30"/>
      <c r="AF42" s="30">
        <f t="shared" si="5"/>
        <v>4270.5561200000002</v>
      </c>
      <c r="AG42" s="30"/>
      <c r="AH42" s="30">
        <v>7482</v>
      </c>
      <c r="AI42" s="30"/>
      <c r="AJ42" s="30">
        <f>+G42*$AJ$8</f>
        <v>1200.0024000000001</v>
      </c>
      <c r="AK42" s="30"/>
      <c r="AL42" s="30">
        <f>+G42*AL$8</f>
        <v>1600.0032000000001</v>
      </c>
      <c r="AM42" s="30"/>
      <c r="AN42" s="30">
        <v>454</v>
      </c>
      <c r="AO42" s="30"/>
      <c r="AP42" s="30">
        <f t="shared" si="6"/>
        <v>10736.0056</v>
      </c>
      <c r="AR42" s="29">
        <f>1666.67*24</f>
        <v>40000.080000000002</v>
      </c>
      <c r="AS42" s="30"/>
      <c r="AU42" s="7" t="s">
        <v>7</v>
      </c>
    </row>
    <row r="43" spans="2:47">
      <c r="B43" s="28">
        <v>34</v>
      </c>
      <c r="C43" s="3" t="s">
        <v>60</v>
      </c>
      <c r="D43" s="3" t="s">
        <v>61</v>
      </c>
      <c r="E43" s="3" t="s">
        <v>68</v>
      </c>
      <c r="F43" s="3" t="s">
        <v>211</v>
      </c>
      <c r="G43" s="29">
        <f t="shared" si="0"/>
        <v>124677.12</v>
      </c>
      <c r="H43" s="30"/>
      <c r="I43" s="30">
        <f t="shared" si="7"/>
        <v>128417.4336</v>
      </c>
      <c r="J43" s="30">
        <f t="shared" si="8"/>
        <v>132269.95660800001</v>
      </c>
      <c r="K43" s="30"/>
      <c r="L43" s="36">
        <f t="shared" ref="L43:T66" si="13">$I43/12</f>
        <v>10701.452800000001</v>
      </c>
      <c r="M43" s="36">
        <f t="shared" si="13"/>
        <v>10701.452800000001</v>
      </c>
      <c r="N43" s="36">
        <f t="shared" si="13"/>
        <v>10701.452800000001</v>
      </c>
      <c r="O43" s="36">
        <f t="shared" si="13"/>
        <v>10701.452800000001</v>
      </c>
      <c r="P43" s="36">
        <f t="shared" si="13"/>
        <v>10701.452800000001</v>
      </c>
      <c r="Q43" s="36">
        <f t="shared" si="13"/>
        <v>10701.452800000001</v>
      </c>
      <c r="R43" s="36">
        <f t="shared" si="13"/>
        <v>10701.452800000001</v>
      </c>
      <c r="S43" s="36">
        <f t="shared" si="13"/>
        <v>10701.452800000001</v>
      </c>
      <c r="T43" s="36">
        <f t="shared" si="13"/>
        <v>10701.452800000001</v>
      </c>
      <c r="U43" s="36">
        <f t="shared" ref="U43:W66" si="14">$J43/12</f>
        <v>11022.496384</v>
      </c>
      <c r="V43" s="36">
        <f t="shared" si="14"/>
        <v>11022.496384</v>
      </c>
      <c r="W43" s="36">
        <f t="shared" si="14"/>
        <v>11022.496384</v>
      </c>
      <c r="X43" s="30"/>
      <c r="Y43" s="30"/>
      <c r="Z43" s="30">
        <f>IF(G43&lt;110100, G43*7.65%, 110100*6.2%+G43*1.45%)</f>
        <v>8634.0182399999994</v>
      </c>
      <c r="AA43" s="30"/>
      <c r="AB43" s="30">
        <f t="shared" si="3"/>
        <v>56</v>
      </c>
      <c r="AC43" s="30"/>
      <c r="AD43" s="29">
        <f t="shared" si="4"/>
        <v>1154.55</v>
      </c>
      <c r="AE43" s="30"/>
      <c r="AF43" s="30">
        <f t="shared" si="5"/>
        <v>9844.5682399999987</v>
      </c>
      <c r="AG43" s="30"/>
      <c r="AH43" s="30">
        <v>7482</v>
      </c>
      <c r="AI43" s="30"/>
      <c r="AJ43" s="30">
        <f>+G43*$AJ$8</f>
        <v>3740.3135999999995</v>
      </c>
      <c r="AK43" s="30"/>
      <c r="AL43" s="30">
        <f>+G43*AL$8</f>
        <v>4987.0847999999996</v>
      </c>
      <c r="AM43" s="30"/>
      <c r="AN43" s="30">
        <v>454</v>
      </c>
      <c r="AO43" s="30"/>
      <c r="AP43" s="30">
        <f t="shared" si="6"/>
        <v>16663.398399999998</v>
      </c>
      <c r="AR43" s="29">
        <f>5194.88*24</f>
        <v>124677.12</v>
      </c>
      <c r="AS43" s="30"/>
      <c r="AU43" s="7" t="s">
        <v>7</v>
      </c>
    </row>
    <row r="44" spans="2:47">
      <c r="B44" s="28">
        <v>35</v>
      </c>
      <c r="C44" s="3" t="s">
        <v>99</v>
      </c>
      <c r="D44" s="3" t="s">
        <v>100</v>
      </c>
      <c r="E44" s="3" t="s">
        <v>101</v>
      </c>
      <c r="F44" s="3" t="s">
        <v>212</v>
      </c>
      <c r="G44" s="29">
        <f t="shared" si="0"/>
        <v>61801.440000000002</v>
      </c>
      <c r="H44" s="30"/>
      <c r="I44" s="30">
        <f t="shared" si="7"/>
        <v>63655.483200000002</v>
      </c>
      <c r="J44" s="30">
        <f t="shared" si="8"/>
        <v>65565.147696</v>
      </c>
      <c r="K44" s="30"/>
      <c r="L44" s="36">
        <f t="shared" si="13"/>
        <v>5304.6235999999999</v>
      </c>
      <c r="M44" s="36">
        <f t="shared" si="13"/>
        <v>5304.6235999999999</v>
      </c>
      <c r="N44" s="36">
        <f t="shared" si="13"/>
        <v>5304.6235999999999</v>
      </c>
      <c r="O44" s="36">
        <f t="shared" si="13"/>
        <v>5304.6235999999999</v>
      </c>
      <c r="P44" s="36">
        <f t="shared" si="13"/>
        <v>5304.6235999999999</v>
      </c>
      <c r="Q44" s="36">
        <f t="shared" si="13"/>
        <v>5304.6235999999999</v>
      </c>
      <c r="R44" s="36">
        <f t="shared" si="13"/>
        <v>5304.6235999999999</v>
      </c>
      <c r="S44" s="36">
        <f t="shared" si="13"/>
        <v>5304.6235999999999</v>
      </c>
      <c r="T44" s="36">
        <f t="shared" si="13"/>
        <v>5304.6235999999999</v>
      </c>
      <c r="U44" s="36">
        <f t="shared" si="14"/>
        <v>5463.7623080000003</v>
      </c>
      <c r="V44" s="36">
        <f t="shared" si="14"/>
        <v>5463.7623080000003</v>
      </c>
      <c r="W44" s="36">
        <f t="shared" si="14"/>
        <v>5463.7623080000003</v>
      </c>
      <c r="X44" s="30"/>
      <c r="Y44" s="30"/>
      <c r="Z44" s="30">
        <f>IF(G44&lt;110100, G44*7.65%, 110100*6.2%+G44*1.45%)</f>
        <v>4727.81016</v>
      </c>
      <c r="AA44" s="30"/>
      <c r="AB44" s="30">
        <f t="shared" si="3"/>
        <v>56</v>
      </c>
      <c r="AC44" s="30"/>
      <c r="AD44" s="29">
        <f t="shared" si="4"/>
        <v>1154.55</v>
      </c>
      <c r="AE44" s="30"/>
      <c r="AF44" s="30">
        <f t="shared" si="5"/>
        <v>5938.3601600000002</v>
      </c>
      <c r="AG44" s="30"/>
      <c r="AH44" s="30">
        <v>7482</v>
      </c>
      <c r="AI44" s="30"/>
      <c r="AJ44" s="30">
        <f>+G44*$AJ$8</f>
        <v>1854.0432000000001</v>
      </c>
      <c r="AK44" s="30"/>
      <c r="AL44" s="30">
        <f>+G44*AL$8</f>
        <v>2472.0576000000001</v>
      </c>
      <c r="AM44" s="30"/>
      <c r="AN44" s="30">
        <v>454</v>
      </c>
      <c r="AO44" s="30"/>
      <c r="AP44" s="30">
        <f t="shared" si="6"/>
        <v>12262.1008</v>
      </c>
      <c r="AR44" s="29">
        <f>2575.06*24</f>
        <v>61801.440000000002</v>
      </c>
      <c r="AS44" s="29"/>
      <c r="AU44" s="1" t="s">
        <v>7</v>
      </c>
    </row>
    <row r="45" spans="2:47">
      <c r="B45" s="28">
        <v>36</v>
      </c>
      <c r="C45" s="3" t="s">
        <v>110</v>
      </c>
      <c r="D45" s="3" t="s">
        <v>83</v>
      </c>
      <c r="E45" s="3" t="s">
        <v>113</v>
      </c>
      <c r="F45" s="3" t="s">
        <v>213</v>
      </c>
      <c r="G45" s="29">
        <f t="shared" si="0"/>
        <v>40705.599999999999</v>
      </c>
      <c r="H45" s="30"/>
      <c r="I45" s="30">
        <f t="shared" si="7"/>
        <v>41926.767999999996</v>
      </c>
      <c r="J45" s="30">
        <f t="shared" si="8"/>
        <v>43184.571039999995</v>
      </c>
      <c r="K45" s="30"/>
      <c r="L45" s="36">
        <f t="shared" si="13"/>
        <v>3493.8973333333329</v>
      </c>
      <c r="M45" s="36">
        <f t="shared" si="13"/>
        <v>3493.8973333333329</v>
      </c>
      <c r="N45" s="36">
        <f t="shared" si="13"/>
        <v>3493.8973333333329</v>
      </c>
      <c r="O45" s="36">
        <f t="shared" si="13"/>
        <v>3493.8973333333329</v>
      </c>
      <c r="P45" s="36">
        <f t="shared" si="13"/>
        <v>3493.8973333333329</v>
      </c>
      <c r="Q45" s="36">
        <f t="shared" si="13"/>
        <v>3493.8973333333329</v>
      </c>
      <c r="R45" s="36">
        <f t="shared" si="13"/>
        <v>3493.8973333333329</v>
      </c>
      <c r="S45" s="36">
        <f t="shared" si="13"/>
        <v>3493.8973333333329</v>
      </c>
      <c r="T45" s="36">
        <f t="shared" si="13"/>
        <v>3493.8973333333329</v>
      </c>
      <c r="U45" s="36">
        <f t="shared" si="14"/>
        <v>3598.7142533333331</v>
      </c>
      <c r="V45" s="36">
        <f t="shared" si="14"/>
        <v>3598.7142533333331</v>
      </c>
      <c r="W45" s="36">
        <f t="shared" si="14"/>
        <v>3598.7142533333331</v>
      </c>
      <c r="X45" s="30"/>
      <c r="Y45" s="30"/>
      <c r="Z45" s="30">
        <f>IF(G45&lt;110100, G45*7.65%, 110100*6.2%+G45*1.45%)</f>
        <v>3113.9784</v>
      </c>
      <c r="AA45" s="30"/>
      <c r="AB45" s="30">
        <f t="shared" si="3"/>
        <v>56</v>
      </c>
      <c r="AC45" s="30"/>
      <c r="AD45" s="29">
        <f t="shared" si="4"/>
        <v>1154.55</v>
      </c>
      <c r="AE45" s="30"/>
      <c r="AF45" s="30">
        <f t="shared" si="5"/>
        <v>4324.5284000000001</v>
      </c>
      <c r="AG45" s="30"/>
      <c r="AH45" s="30">
        <v>7482</v>
      </c>
      <c r="AI45" s="30"/>
      <c r="AJ45" s="30">
        <f>+G45*$AJ$8</f>
        <v>1221.1679999999999</v>
      </c>
      <c r="AK45" s="30"/>
      <c r="AL45" s="30">
        <f>+G45*AL$8</f>
        <v>1628.2239999999999</v>
      </c>
      <c r="AM45" s="30"/>
      <c r="AN45" s="30">
        <v>454</v>
      </c>
      <c r="AO45" s="30"/>
      <c r="AP45" s="30">
        <f t="shared" si="6"/>
        <v>10785.392</v>
      </c>
      <c r="AR45" s="29">
        <f>19.57*2080</f>
        <v>40705.599999999999</v>
      </c>
      <c r="AS45" s="29"/>
      <c r="AU45" s="1" t="s">
        <v>175</v>
      </c>
    </row>
    <row r="46" spans="2:47">
      <c r="B46" s="28">
        <v>37</v>
      </c>
      <c r="C46" s="3" t="s">
        <v>69</v>
      </c>
      <c r="D46" s="3" t="s">
        <v>70</v>
      </c>
      <c r="E46" s="3" t="s">
        <v>50</v>
      </c>
      <c r="F46" s="3" t="s">
        <v>214</v>
      </c>
      <c r="G46" s="29">
        <f t="shared" si="0"/>
        <v>69754.319999999992</v>
      </c>
      <c r="H46" s="30"/>
      <c r="I46" s="30">
        <f t="shared" si="7"/>
        <v>71846.949599999993</v>
      </c>
      <c r="J46" s="30">
        <f t="shared" si="8"/>
        <v>74002.358087999994</v>
      </c>
      <c r="K46" s="30"/>
      <c r="L46" s="36">
        <f t="shared" si="13"/>
        <v>5987.2457999999997</v>
      </c>
      <c r="M46" s="36">
        <f t="shared" si="13"/>
        <v>5987.2457999999997</v>
      </c>
      <c r="N46" s="36">
        <f t="shared" si="13"/>
        <v>5987.2457999999997</v>
      </c>
      <c r="O46" s="36">
        <f t="shared" si="13"/>
        <v>5987.2457999999997</v>
      </c>
      <c r="P46" s="36">
        <f t="shared" si="13"/>
        <v>5987.2457999999997</v>
      </c>
      <c r="Q46" s="36">
        <f t="shared" si="13"/>
        <v>5987.2457999999997</v>
      </c>
      <c r="R46" s="36">
        <f t="shared" si="13"/>
        <v>5987.2457999999997</v>
      </c>
      <c r="S46" s="36">
        <f t="shared" si="13"/>
        <v>5987.2457999999997</v>
      </c>
      <c r="T46" s="36">
        <f t="shared" si="13"/>
        <v>5987.2457999999997</v>
      </c>
      <c r="U46" s="36">
        <f t="shared" si="14"/>
        <v>6166.8631739999992</v>
      </c>
      <c r="V46" s="36">
        <f t="shared" si="14"/>
        <v>6166.8631739999992</v>
      </c>
      <c r="W46" s="36">
        <f t="shared" si="14"/>
        <v>6166.8631739999992</v>
      </c>
      <c r="X46" s="30"/>
      <c r="Y46" s="30"/>
      <c r="Z46" s="30">
        <f>IF(G46&lt;110100, G46*7.65%, 110100*6.2%+G46*1.45%)</f>
        <v>5336.2054799999996</v>
      </c>
      <c r="AA46" s="30"/>
      <c r="AB46" s="30">
        <f t="shared" si="3"/>
        <v>56</v>
      </c>
      <c r="AC46" s="30"/>
      <c r="AD46" s="29">
        <f t="shared" si="4"/>
        <v>1154.55</v>
      </c>
      <c r="AE46" s="30"/>
      <c r="AF46" s="30">
        <f t="shared" si="5"/>
        <v>6546.7554799999998</v>
      </c>
      <c r="AG46" s="30"/>
      <c r="AH46" s="30">
        <v>7482</v>
      </c>
      <c r="AI46" s="30"/>
      <c r="AJ46" s="30">
        <f>+G46*$AJ$8</f>
        <v>2092.6295999999998</v>
      </c>
      <c r="AK46" s="30"/>
      <c r="AL46" s="30">
        <f>+G46*AL$8</f>
        <v>2790.1727999999998</v>
      </c>
      <c r="AM46" s="30"/>
      <c r="AN46" s="30">
        <v>454</v>
      </c>
      <c r="AO46" s="30"/>
      <c r="AP46" s="30">
        <f t="shared" si="6"/>
        <v>12818.8024</v>
      </c>
      <c r="AR46" s="29">
        <f>2906.43*24</f>
        <v>69754.319999999992</v>
      </c>
      <c r="AS46" s="30"/>
      <c r="AU46" s="7" t="s">
        <v>7</v>
      </c>
    </row>
    <row r="47" spans="2:47">
      <c r="B47" s="28">
        <v>38</v>
      </c>
      <c r="C47" s="6" t="s">
        <v>26</v>
      </c>
      <c r="D47" s="6" t="s">
        <v>27</v>
      </c>
      <c r="E47" s="6" t="s">
        <v>31</v>
      </c>
      <c r="F47" s="6" t="s">
        <v>215</v>
      </c>
      <c r="G47" s="29">
        <f t="shared" si="0"/>
        <v>43470</v>
      </c>
      <c r="H47" s="30"/>
      <c r="I47" s="30">
        <f t="shared" si="7"/>
        <v>44774.1</v>
      </c>
      <c r="J47" s="30">
        <f t="shared" si="8"/>
        <v>46117.322999999997</v>
      </c>
      <c r="K47" s="30"/>
      <c r="L47" s="36">
        <f t="shared" si="13"/>
        <v>3731.1749999999997</v>
      </c>
      <c r="M47" s="36">
        <f t="shared" si="13"/>
        <v>3731.1749999999997</v>
      </c>
      <c r="N47" s="36">
        <f t="shared" si="13"/>
        <v>3731.1749999999997</v>
      </c>
      <c r="O47" s="36">
        <f t="shared" si="13"/>
        <v>3731.1749999999997</v>
      </c>
      <c r="P47" s="36">
        <f t="shared" si="13"/>
        <v>3731.1749999999997</v>
      </c>
      <c r="Q47" s="36">
        <f t="shared" si="13"/>
        <v>3731.1749999999997</v>
      </c>
      <c r="R47" s="36">
        <f t="shared" si="13"/>
        <v>3731.1749999999997</v>
      </c>
      <c r="S47" s="36">
        <f t="shared" si="13"/>
        <v>3731.1749999999997</v>
      </c>
      <c r="T47" s="36">
        <f t="shared" si="13"/>
        <v>3731.1749999999997</v>
      </c>
      <c r="U47" s="36">
        <f t="shared" si="14"/>
        <v>3843.1102499999997</v>
      </c>
      <c r="V47" s="36">
        <f t="shared" si="14"/>
        <v>3843.1102499999997</v>
      </c>
      <c r="W47" s="36">
        <f t="shared" si="14"/>
        <v>3843.1102499999997</v>
      </c>
      <c r="X47" s="30"/>
      <c r="Y47" s="30"/>
      <c r="Z47" s="30">
        <f>IF(G47&lt;110100, G47*7.65%, 110100*6.2%+G47*1.45%)</f>
        <v>3325.4549999999999</v>
      </c>
      <c r="AA47" s="30"/>
      <c r="AB47" s="30">
        <f t="shared" si="3"/>
        <v>56</v>
      </c>
      <c r="AC47" s="30"/>
      <c r="AD47" s="29">
        <f t="shared" si="4"/>
        <v>1154.55</v>
      </c>
      <c r="AE47" s="30"/>
      <c r="AF47" s="30">
        <f t="shared" si="5"/>
        <v>4536.0050000000001</v>
      </c>
      <c r="AG47" s="30"/>
      <c r="AH47" s="30">
        <v>7482</v>
      </c>
      <c r="AI47" s="30"/>
      <c r="AJ47" s="30">
        <f>+G47*$AJ$8</f>
        <v>1304.0999999999999</v>
      </c>
      <c r="AK47" s="30"/>
      <c r="AL47" s="30">
        <f>+G47*AL$8</f>
        <v>1738.8</v>
      </c>
      <c r="AM47" s="30"/>
      <c r="AN47" s="30">
        <v>454</v>
      </c>
      <c r="AO47" s="30"/>
      <c r="AP47" s="30">
        <f t="shared" si="6"/>
        <v>10978.9</v>
      </c>
      <c r="AR47" s="29">
        <f>1811.25*24</f>
        <v>43470</v>
      </c>
      <c r="AS47" s="30"/>
      <c r="AU47" s="7" t="s">
        <v>7</v>
      </c>
    </row>
    <row r="48" spans="2:47">
      <c r="B48" s="28">
        <v>39</v>
      </c>
      <c r="C48" s="3" t="s">
        <v>149</v>
      </c>
      <c r="D48" s="3" t="s">
        <v>150</v>
      </c>
      <c r="E48" s="3" t="s">
        <v>151</v>
      </c>
      <c r="F48" s="3" t="s">
        <v>216</v>
      </c>
      <c r="G48" s="29">
        <f t="shared" si="0"/>
        <v>79567.44</v>
      </c>
      <c r="H48" s="30"/>
      <c r="I48" s="30">
        <f t="shared" si="7"/>
        <v>81954.463199999998</v>
      </c>
      <c r="J48" s="30">
        <f t="shared" si="8"/>
        <v>84413.097095999998</v>
      </c>
      <c r="K48" s="30"/>
      <c r="L48" s="36">
        <f t="shared" si="13"/>
        <v>6829.5385999999999</v>
      </c>
      <c r="M48" s="36">
        <f t="shared" si="13"/>
        <v>6829.5385999999999</v>
      </c>
      <c r="N48" s="36">
        <f t="shared" si="13"/>
        <v>6829.5385999999999</v>
      </c>
      <c r="O48" s="36">
        <f t="shared" si="13"/>
        <v>6829.5385999999999</v>
      </c>
      <c r="P48" s="36">
        <f t="shared" si="13"/>
        <v>6829.5385999999999</v>
      </c>
      <c r="Q48" s="36">
        <f t="shared" si="13"/>
        <v>6829.5385999999999</v>
      </c>
      <c r="R48" s="36">
        <f t="shared" si="13"/>
        <v>6829.5385999999999</v>
      </c>
      <c r="S48" s="36">
        <f t="shared" si="13"/>
        <v>6829.5385999999999</v>
      </c>
      <c r="T48" s="36">
        <f t="shared" si="13"/>
        <v>6829.5385999999999</v>
      </c>
      <c r="U48" s="36">
        <f t="shared" si="14"/>
        <v>7034.4247580000001</v>
      </c>
      <c r="V48" s="36">
        <f t="shared" si="14"/>
        <v>7034.4247580000001</v>
      </c>
      <c r="W48" s="36">
        <f t="shared" si="14"/>
        <v>7034.4247580000001</v>
      </c>
      <c r="X48" s="30"/>
      <c r="Y48" s="30"/>
      <c r="Z48" s="30">
        <f>IF(G48&lt;110100, G48*7.65%, 110100*6.2%+G48*1.45%)</f>
        <v>6086.9091600000002</v>
      </c>
      <c r="AA48" s="30"/>
      <c r="AB48" s="30">
        <f t="shared" si="3"/>
        <v>56</v>
      </c>
      <c r="AC48" s="30"/>
      <c r="AD48" s="29">
        <f t="shared" si="4"/>
        <v>1154.55</v>
      </c>
      <c r="AE48" s="30"/>
      <c r="AF48" s="30">
        <f t="shared" si="5"/>
        <v>7297.4591600000003</v>
      </c>
      <c r="AG48" s="30"/>
      <c r="AH48" s="30">
        <v>7482</v>
      </c>
      <c r="AI48" s="30"/>
      <c r="AJ48" s="30">
        <f>+G48*$AJ$8</f>
        <v>2387.0232000000001</v>
      </c>
      <c r="AK48" s="30"/>
      <c r="AL48" s="30">
        <f>+G48*AL$8</f>
        <v>3182.6976</v>
      </c>
      <c r="AM48" s="30"/>
      <c r="AN48" s="30">
        <v>454</v>
      </c>
      <c r="AO48" s="30"/>
      <c r="AP48" s="30">
        <f t="shared" si="6"/>
        <v>13505.720799999999</v>
      </c>
      <c r="AR48" s="29">
        <f>3315.31*24</f>
        <v>79567.44</v>
      </c>
      <c r="AS48" s="30"/>
      <c r="AU48" s="1" t="s">
        <v>7</v>
      </c>
    </row>
    <row r="49" spans="2:47">
      <c r="B49" s="28">
        <v>40</v>
      </c>
      <c r="C49" s="3" t="s">
        <v>121</v>
      </c>
      <c r="D49" s="3" t="s">
        <v>122</v>
      </c>
      <c r="E49" s="3" t="s">
        <v>120</v>
      </c>
      <c r="F49" s="3" t="s">
        <v>217</v>
      </c>
      <c r="G49" s="29">
        <f t="shared" si="0"/>
        <v>80000.160000000003</v>
      </c>
      <c r="H49" s="30"/>
      <c r="I49" s="30">
        <f t="shared" si="7"/>
        <v>82400.164799999999</v>
      </c>
      <c r="J49" s="30">
        <f t="shared" si="8"/>
        <v>84872.169743999999</v>
      </c>
      <c r="K49" s="30"/>
      <c r="L49" s="36">
        <f t="shared" si="13"/>
        <v>6866.6804000000002</v>
      </c>
      <c r="M49" s="36">
        <f t="shared" si="13"/>
        <v>6866.6804000000002</v>
      </c>
      <c r="N49" s="36">
        <f t="shared" si="13"/>
        <v>6866.6804000000002</v>
      </c>
      <c r="O49" s="36">
        <f t="shared" si="13"/>
        <v>6866.6804000000002</v>
      </c>
      <c r="P49" s="36">
        <f t="shared" si="13"/>
        <v>6866.6804000000002</v>
      </c>
      <c r="Q49" s="36">
        <f t="shared" si="13"/>
        <v>6866.6804000000002</v>
      </c>
      <c r="R49" s="36">
        <f t="shared" si="13"/>
        <v>6866.6804000000002</v>
      </c>
      <c r="S49" s="36">
        <f t="shared" si="13"/>
        <v>6866.6804000000002</v>
      </c>
      <c r="T49" s="36">
        <f t="shared" si="13"/>
        <v>6866.6804000000002</v>
      </c>
      <c r="U49" s="36">
        <f t="shared" si="14"/>
        <v>7072.6808119999996</v>
      </c>
      <c r="V49" s="36">
        <f t="shared" si="14"/>
        <v>7072.6808119999996</v>
      </c>
      <c r="W49" s="36">
        <f t="shared" si="14"/>
        <v>7072.6808119999996</v>
      </c>
      <c r="X49" s="30"/>
      <c r="Y49" s="30"/>
      <c r="Z49" s="30">
        <f>IF(G49&lt;110100, G49*7.65%, 110100*6.2%+G49*1.45%)</f>
        <v>6120.01224</v>
      </c>
      <c r="AA49" s="30"/>
      <c r="AB49" s="30">
        <f t="shared" si="3"/>
        <v>56</v>
      </c>
      <c r="AC49" s="30"/>
      <c r="AD49" s="29">
        <f t="shared" si="4"/>
        <v>1154.55</v>
      </c>
      <c r="AE49" s="30"/>
      <c r="AF49" s="30">
        <f t="shared" si="5"/>
        <v>7330.5622400000002</v>
      </c>
      <c r="AG49" s="30"/>
      <c r="AH49" s="30">
        <v>7482</v>
      </c>
      <c r="AI49" s="30"/>
      <c r="AJ49" s="30">
        <f>+G49*$AJ$8</f>
        <v>2400.0048000000002</v>
      </c>
      <c r="AK49" s="30"/>
      <c r="AL49" s="30">
        <f>+G49*AL$8</f>
        <v>3200.0064000000002</v>
      </c>
      <c r="AM49" s="30"/>
      <c r="AN49" s="30">
        <v>454</v>
      </c>
      <c r="AO49" s="30"/>
      <c r="AP49" s="30">
        <f t="shared" si="6"/>
        <v>13536.011200000001</v>
      </c>
      <c r="AR49" s="29">
        <f>3333.34*24</f>
        <v>80000.160000000003</v>
      </c>
      <c r="AS49" s="30"/>
      <c r="AU49" s="1" t="s">
        <v>7</v>
      </c>
    </row>
    <row r="50" spans="2:47">
      <c r="B50" s="28">
        <v>41</v>
      </c>
      <c r="C50" s="3" t="s">
        <v>77</v>
      </c>
      <c r="D50" s="3" t="s">
        <v>78</v>
      </c>
      <c r="E50" s="3" t="s">
        <v>76</v>
      </c>
      <c r="F50" s="3" t="s">
        <v>218</v>
      </c>
      <c r="G50" s="29">
        <f t="shared" si="0"/>
        <v>55000.08</v>
      </c>
      <c r="H50" s="30"/>
      <c r="I50" s="30">
        <f t="shared" si="7"/>
        <v>56650.082400000007</v>
      </c>
      <c r="J50" s="30">
        <f t="shared" si="8"/>
        <v>58349.584872000007</v>
      </c>
      <c r="K50" s="30"/>
      <c r="L50" s="36">
        <f t="shared" si="13"/>
        <v>4720.8402000000006</v>
      </c>
      <c r="M50" s="36">
        <f t="shared" si="13"/>
        <v>4720.8402000000006</v>
      </c>
      <c r="N50" s="36">
        <f t="shared" si="13"/>
        <v>4720.8402000000006</v>
      </c>
      <c r="O50" s="36">
        <f t="shared" si="13"/>
        <v>4720.8402000000006</v>
      </c>
      <c r="P50" s="36">
        <f t="shared" si="13"/>
        <v>4720.8402000000006</v>
      </c>
      <c r="Q50" s="36">
        <f t="shared" si="13"/>
        <v>4720.8402000000006</v>
      </c>
      <c r="R50" s="36">
        <f t="shared" si="13"/>
        <v>4720.8402000000006</v>
      </c>
      <c r="S50" s="36">
        <f t="shared" si="13"/>
        <v>4720.8402000000006</v>
      </c>
      <c r="T50" s="36">
        <f t="shared" si="13"/>
        <v>4720.8402000000006</v>
      </c>
      <c r="U50" s="36">
        <f t="shared" si="14"/>
        <v>4862.4654060000003</v>
      </c>
      <c r="V50" s="36">
        <f t="shared" si="14"/>
        <v>4862.4654060000003</v>
      </c>
      <c r="W50" s="36">
        <f t="shared" si="14"/>
        <v>4862.4654060000003</v>
      </c>
      <c r="X50" s="30"/>
      <c r="Y50" s="30"/>
      <c r="Z50" s="30">
        <f>IF(G50&lt;110100, G50*7.65%, 110100*6.2%+G50*1.45%)</f>
        <v>4207.50612</v>
      </c>
      <c r="AA50" s="30"/>
      <c r="AB50" s="30">
        <f t="shared" si="3"/>
        <v>56</v>
      </c>
      <c r="AC50" s="30"/>
      <c r="AD50" s="29">
        <f t="shared" si="4"/>
        <v>1154.55</v>
      </c>
      <c r="AE50" s="30"/>
      <c r="AF50" s="30">
        <f t="shared" si="5"/>
        <v>5418.0561200000002</v>
      </c>
      <c r="AG50" s="30"/>
      <c r="AH50" s="30">
        <v>7482</v>
      </c>
      <c r="AI50" s="30"/>
      <c r="AJ50" s="30">
        <f>+G50*$AJ$8</f>
        <v>1650.0024000000001</v>
      </c>
      <c r="AK50" s="30"/>
      <c r="AL50" s="30">
        <f>+G50*AL$8</f>
        <v>2200.0032000000001</v>
      </c>
      <c r="AM50" s="30"/>
      <c r="AN50" s="30">
        <v>454</v>
      </c>
      <c r="AO50" s="30"/>
      <c r="AP50" s="30">
        <f t="shared" si="6"/>
        <v>11786.0056</v>
      </c>
      <c r="AR50" s="29">
        <f>2291.67*24</f>
        <v>55000.08</v>
      </c>
      <c r="AS50" s="30"/>
      <c r="AU50" s="7" t="s">
        <v>7</v>
      </c>
    </row>
    <row r="51" spans="2:47">
      <c r="B51" s="28">
        <v>42</v>
      </c>
      <c r="C51" s="3" t="s">
        <v>111</v>
      </c>
      <c r="D51" s="3" t="s">
        <v>112</v>
      </c>
      <c r="E51" s="3" t="s">
        <v>114</v>
      </c>
      <c r="F51" s="3" t="s">
        <v>219</v>
      </c>
      <c r="G51" s="29">
        <f t="shared" si="0"/>
        <v>78000.240000000005</v>
      </c>
      <c r="H51" s="30"/>
      <c r="I51" s="30">
        <f t="shared" si="7"/>
        <v>80340.247200000013</v>
      </c>
      <c r="J51" s="30">
        <f t="shared" si="8"/>
        <v>82750.454616000017</v>
      </c>
      <c r="K51" s="30"/>
      <c r="L51" s="36">
        <f t="shared" si="13"/>
        <v>6695.0206000000007</v>
      </c>
      <c r="M51" s="36">
        <f t="shared" si="13"/>
        <v>6695.0206000000007</v>
      </c>
      <c r="N51" s="36">
        <f t="shared" si="13"/>
        <v>6695.0206000000007</v>
      </c>
      <c r="O51" s="36">
        <f t="shared" si="13"/>
        <v>6695.0206000000007</v>
      </c>
      <c r="P51" s="36">
        <f t="shared" si="13"/>
        <v>6695.0206000000007</v>
      </c>
      <c r="Q51" s="36">
        <f t="shared" si="13"/>
        <v>6695.0206000000007</v>
      </c>
      <c r="R51" s="36">
        <f t="shared" si="13"/>
        <v>6695.0206000000007</v>
      </c>
      <c r="S51" s="36">
        <f t="shared" si="13"/>
        <v>6695.0206000000007</v>
      </c>
      <c r="T51" s="36">
        <f t="shared" si="13"/>
        <v>6695.0206000000007</v>
      </c>
      <c r="U51" s="36">
        <f t="shared" si="14"/>
        <v>6895.8712180000011</v>
      </c>
      <c r="V51" s="36">
        <f t="shared" si="14"/>
        <v>6895.8712180000011</v>
      </c>
      <c r="W51" s="36">
        <f t="shared" si="14"/>
        <v>6895.8712180000011</v>
      </c>
      <c r="X51" s="30"/>
      <c r="Y51" s="30"/>
      <c r="Z51" s="30">
        <f>IF(G51&lt;110100, G51*7.65%, 110100*6.2%+G51*1.45%)</f>
        <v>5967.01836</v>
      </c>
      <c r="AA51" s="30"/>
      <c r="AB51" s="30">
        <f t="shared" si="3"/>
        <v>56</v>
      </c>
      <c r="AC51" s="30"/>
      <c r="AD51" s="29">
        <f t="shared" si="4"/>
        <v>1154.55</v>
      </c>
      <c r="AE51" s="30"/>
      <c r="AF51" s="30">
        <f t="shared" si="5"/>
        <v>7177.5683600000002</v>
      </c>
      <c r="AG51" s="30"/>
      <c r="AH51" s="30">
        <v>7482</v>
      </c>
      <c r="AI51" s="30"/>
      <c r="AJ51" s="30">
        <f>+G51*$AJ$8</f>
        <v>2340.0072</v>
      </c>
      <c r="AK51" s="30"/>
      <c r="AL51" s="30">
        <f>+G51*AL$8</f>
        <v>3120.0096000000003</v>
      </c>
      <c r="AM51" s="30"/>
      <c r="AN51" s="30">
        <v>454</v>
      </c>
      <c r="AO51" s="30"/>
      <c r="AP51" s="30">
        <f t="shared" si="6"/>
        <v>13396.016800000001</v>
      </c>
      <c r="AR51" s="29">
        <f>3250.01*24</f>
        <v>78000.240000000005</v>
      </c>
      <c r="AS51" s="30"/>
      <c r="AU51" s="1" t="s">
        <v>7</v>
      </c>
    </row>
    <row r="52" spans="2:47">
      <c r="B52" s="28">
        <v>43</v>
      </c>
      <c r="C52" s="3" t="s">
        <v>73</v>
      </c>
      <c r="D52" s="3" t="s">
        <v>74</v>
      </c>
      <c r="E52" s="3" t="s">
        <v>75</v>
      </c>
      <c r="F52" s="3" t="s">
        <v>220</v>
      </c>
      <c r="G52" s="29">
        <f t="shared" si="0"/>
        <v>110000.16</v>
      </c>
      <c r="H52" s="30"/>
      <c r="I52" s="30">
        <f t="shared" si="7"/>
        <v>113300.16480000001</v>
      </c>
      <c r="J52" s="30">
        <f t="shared" si="8"/>
        <v>116699.16974400001</v>
      </c>
      <c r="K52" s="30"/>
      <c r="L52" s="36">
        <f t="shared" si="13"/>
        <v>9441.6804000000011</v>
      </c>
      <c r="M52" s="36">
        <f t="shared" si="13"/>
        <v>9441.6804000000011</v>
      </c>
      <c r="N52" s="36">
        <f t="shared" si="13"/>
        <v>9441.6804000000011</v>
      </c>
      <c r="O52" s="36">
        <f t="shared" si="13"/>
        <v>9441.6804000000011</v>
      </c>
      <c r="P52" s="36">
        <f t="shared" si="13"/>
        <v>9441.6804000000011</v>
      </c>
      <c r="Q52" s="36">
        <f t="shared" si="13"/>
        <v>9441.6804000000011</v>
      </c>
      <c r="R52" s="36">
        <f t="shared" si="13"/>
        <v>9441.6804000000011</v>
      </c>
      <c r="S52" s="36">
        <f t="shared" si="13"/>
        <v>9441.6804000000011</v>
      </c>
      <c r="T52" s="36">
        <f t="shared" si="13"/>
        <v>9441.6804000000011</v>
      </c>
      <c r="U52" s="36">
        <f t="shared" si="14"/>
        <v>9724.9308120000005</v>
      </c>
      <c r="V52" s="36">
        <f t="shared" si="14"/>
        <v>9724.9308120000005</v>
      </c>
      <c r="W52" s="36">
        <f t="shared" si="14"/>
        <v>9724.9308120000005</v>
      </c>
      <c r="X52" s="30"/>
      <c r="Y52" s="30"/>
      <c r="Z52" s="30">
        <f>IF(G52&lt;110100, G52*7.65%, 110100*6.2%+G52*1.45%)</f>
        <v>8415.01224</v>
      </c>
      <c r="AA52" s="30"/>
      <c r="AB52" s="30">
        <f t="shared" si="3"/>
        <v>56</v>
      </c>
      <c r="AC52" s="30"/>
      <c r="AD52" s="29">
        <f t="shared" si="4"/>
        <v>1154.55</v>
      </c>
      <c r="AE52" s="30"/>
      <c r="AF52" s="30">
        <f t="shared" si="5"/>
        <v>9625.5622399999993</v>
      </c>
      <c r="AG52" s="30"/>
      <c r="AH52" s="30">
        <v>7482</v>
      </c>
      <c r="AI52" s="30"/>
      <c r="AJ52" s="30">
        <f>+G52*$AJ$8</f>
        <v>3300.0048000000002</v>
      </c>
      <c r="AK52" s="30"/>
      <c r="AL52" s="30">
        <f>+G52*AL$8</f>
        <v>4400.0064000000002</v>
      </c>
      <c r="AM52" s="30"/>
      <c r="AN52" s="30">
        <v>454</v>
      </c>
      <c r="AO52" s="30"/>
      <c r="AP52" s="30">
        <f t="shared" si="6"/>
        <v>15636.011200000001</v>
      </c>
      <c r="AR52" s="29">
        <f>4583.34*24</f>
        <v>110000.16</v>
      </c>
      <c r="AS52" s="30"/>
      <c r="AU52" s="7" t="s">
        <v>7</v>
      </c>
    </row>
    <row r="53" spans="2:47">
      <c r="B53" s="28">
        <v>44</v>
      </c>
      <c r="C53" s="3" t="s">
        <v>162</v>
      </c>
      <c r="D53" s="3" t="s">
        <v>163</v>
      </c>
      <c r="E53" s="3" t="s">
        <v>164</v>
      </c>
      <c r="F53" s="3" t="s">
        <v>221</v>
      </c>
      <c r="G53" s="29">
        <f t="shared" si="0"/>
        <v>41891.200000000004</v>
      </c>
      <c r="H53" s="30"/>
      <c r="I53" s="30">
        <f t="shared" si="7"/>
        <v>43147.936000000009</v>
      </c>
      <c r="J53" s="30">
        <f t="shared" si="8"/>
        <v>44442.374080000009</v>
      </c>
      <c r="K53" s="30"/>
      <c r="L53" s="36">
        <f t="shared" si="13"/>
        <v>3595.6613333333339</v>
      </c>
      <c r="M53" s="36">
        <f t="shared" si="13"/>
        <v>3595.6613333333339</v>
      </c>
      <c r="N53" s="36">
        <f t="shared" si="13"/>
        <v>3595.6613333333339</v>
      </c>
      <c r="O53" s="36">
        <f t="shared" si="13"/>
        <v>3595.6613333333339</v>
      </c>
      <c r="P53" s="36">
        <f t="shared" si="13"/>
        <v>3595.6613333333339</v>
      </c>
      <c r="Q53" s="36">
        <f t="shared" si="13"/>
        <v>3595.6613333333339</v>
      </c>
      <c r="R53" s="36">
        <f t="shared" si="13"/>
        <v>3595.6613333333339</v>
      </c>
      <c r="S53" s="36">
        <f t="shared" si="13"/>
        <v>3595.6613333333339</v>
      </c>
      <c r="T53" s="36">
        <f t="shared" si="13"/>
        <v>3595.6613333333339</v>
      </c>
      <c r="U53" s="36">
        <f t="shared" si="14"/>
        <v>3703.5311733333342</v>
      </c>
      <c r="V53" s="36">
        <f t="shared" si="14"/>
        <v>3703.5311733333342</v>
      </c>
      <c r="W53" s="36">
        <f t="shared" si="14"/>
        <v>3703.5311733333342</v>
      </c>
      <c r="X53" s="30"/>
      <c r="Y53" s="30"/>
      <c r="Z53" s="30">
        <f>IF(G53&lt;110100, G53*7.65%, 110100*6.2%+G53*1.45%)</f>
        <v>3204.6768000000002</v>
      </c>
      <c r="AA53" s="30"/>
      <c r="AB53" s="30">
        <f t="shared" si="3"/>
        <v>56</v>
      </c>
      <c r="AC53" s="30"/>
      <c r="AD53" s="29">
        <f t="shared" si="4"/>
        <v>1154.55</v>
      </c>
      <c r="AE53" s="30"/>
      <c r="AF53" s="30">
        <f t="shared" si="5"/>
        <v>4415.2268000000004</v>
      </c>
      <c r="AG53" s="30"/>
      <c r="AH53" s="30">
        <v>7482</v>
      </c>
      <c r="AI53" s="30"/>
      <c r="AJ53" s="30">
        <f>+G53*$AJ$8</f>
        <v>1256.7360000000001</v>
      </c>
      <c r="AK53" s="30"/>
      <c r="AL53" s="30">
        <f>+G53*AL$8</f>
        <v>1675.6480000000001</v>
      </c>
      <c r="AM53" s="30"/>
      <c r="AN53" s="30">
        <v>454</v>
      </c>
      <c r="AO53" s="30"/>
      <c r="AP53" s="30">
        <f t="shared" si="6"/>
        <v>10868.384000000002</v>
      </c>
      <c r="AR53" s="29">
        <f>20.14*2080</f>
        <v>41891.200000000004</v>
      </c>
      <c r="AS53" s="30"/>
      <c r="AU53" s="1" t="s">
        <v>175</v>
      </c>
    </row>
    <row r="54" spans="2:47">
      <c r="B54" s="28">
        <v>45</v>
      </c>
      <c r="C54" s="3" t="s">
        <v>86</v>
      </c>
      <c r="D54" s="3" t="s">
        <v>87</v>
      </c>
      <c r="E54" s="3" t="s">
        <v>89</v>
      </c>
      <c r="F54" s="3" t="s">
        <v>222</v>
      </c>
      <c r="G54" s="29">
        <f t="shared" si="0"/>
        <v>76125.84</v>
      </c>
      <c r="H54" s="30"/>
      <c r="I54" s="30">
        <f t="shared" si="7"/>
        <v>78409.6152</v>
      </c>
      <c r="J54" s="30">
        <f t="shared" si="8"/>
        <v>80761.90365600001</v>
      </c>
      <c r="K54" s="30"/>
      <c r="L54" s="36">
        <f t="shared" si="13"/>
        <v>6534.1346000000003</v>
      </c>
      <c r="M54" s="36">
        <f t="shared" si="13"/>
        <v>6534.1346000000003</v>
      </c>
      <c r="N54" s="36">
        <f t="shared" si="13"/>
        <v>6534.1346000000003</v>
      </c>
      <c r="O54" s="36">
        <f t="shared" si="13"/>
        <v>6534.1346000000003</v>
      </c>
      <c r="P54" s="36">
        <f t="shared" si="13"/>
        <v>6534.1346000000003</v>
      </c>
      <c r="Q54" s="36">
        <f t="shared" si="13"/>
        <v>6534.1346000000003</v>
      </c>
      <c r="R54" s="36">
        <f t="shared" si="13"/>
        <v>6534.1346000000003</v>
      </c>
      <c r="S54" s="36">
        <f t="shared" si="13"/>
        <v>6534.1346000000003</v>
      </c>
      <c r="T54" s="36">
        <f t="shared" si="13"/>
        <v>6534.1346000000003</v>
      </c>
      <c r="U54" s="36">
        <f t="shared" si="14"/>
        <v>6730.1586380000008</v>
      </c>
      <c r="V54" s="36">
        <f t="shared" si="14"/>
        <v>6730.1586380000008</v>
      </c>
      <c r="W54" s="36">
        <f t="shared" si="14"/>
        <v>6730.1586380000008</v>
      </c>
      <c r="X54" s="30"/>
      <c r="Y54" s="30"/>
      <c r="Z54" s="30">
        <f>IF(G54&lt;110100, G54*7.65%, 110100*6.2%+G54*1.45%)</f>
        <v>5823.6267599999992</v>
      </c>
      <c r="AA54" s="30"/>
      <c r="AB54" s="30">
        <f t="shared" si="3"/>
        <v>56</v>
      </c>
      <c r="AC54" s="30"/>
      <c r="AD54" s="29">
        <f t="shared" si="4"/>
        <v>1154.55</v>
      </c>
      <c r="AE54" s="30"/>
      <c r="AF54" s="30">
        <f t="shared" si="5"/>
        <v>7034.1767599999994</v>
      </c>
      <c r="AG54" s="30"/>
      <c r="AH54" s="30">
        <v>7482</v>
      </c>
      <c r="AI54" s="30"/>
      <c r="AJ54" s="30">
        <f>+G54*$AJ$8</f>
        <v>2283.7751999999996</v>
      </c>
      <c r="AK54" s="30"/>
      <c r="AL54" s="30">
        <f>+G54*AL$8</f>
        <v>3045.0335999999998</v>
      </c>
      <c r="AM54" s="30"/>
      <c r="AN54" s="30">
        <v>454</v>
      </c>
      <c r="AO54" s="30"/>
      <c r="AP54" s="30">
        <f t="shared" si="6"/>
        <v>13264.808799999999</v>
      </c>
      <c r="AR54" s="29">
        <f>3171.91*24</f>
        <v>76125.84</v>
      </c>
      <c r="AS54" s="30"/>
      <c r="AU54" s="7" t="s">
        <v>7</v>
      </c>
    </row>
    <row r="55" spans="2:47">
      <c r="B55" s="28">
        <v>46</v>
      </c>
      <c r="C55" s="3" t="s">
        <v>132</v>
      </c>
      <c r="D55" s="3" t="s">
        <v>133</v>
      </c>
      <c r="E55" s="3" t="s">
        <v>134</v>
      </c>
      <c r="F55" s="3" t="s">
        <v>223</v>
      </c>
      <c r="G55" s="29">
        <f t="shared" si="0"/>
        <v>89492.4</v>
      </c>
      <c r="H55" s="30"/>
      <c r="I55" s="30">
        <f t="shared" si="7"/>
        <v>92177.171999999991</v>
      </c>
      <c r="J55" s="30">
        <f t="shared" si="8"/>
        <v>94942.48715999999</v>
      </c>
      <c r="K55" s="30"/>
      <c r="L55" s="36">
        <f t="shared" si="13"/>
        <v>7681.4309999999996</v>
      </c>
      <c r="M55" s="36">
        <f t="shared" si="13"/>
        <v>7681.4309999999996</v>
      </c>
      <c r="N55" s="36">
        <f t="shared" si="13"/>
        <v>7681.4309999999996</v>
      </c>
      <c r="O55" s="36">
        <f t="shared" si="13"/>
        <v>7681.4309999999996</v>
      </c>
      <c r="P55" s="36">
        <f t="shared" si="13"/>
        <v>7681.4309999999996</v>
      </c>
      <c r="Q55" s="36">
        <f t="shared" si="13"/>
        <v>7681.4309999999996</v>
      </c>
      <c r="R55" s="36">
        <f t="shared" si="13"/>
        <v>7681.4309999999996</v>
      </c>
      <c r="S55" s="36">
        <f t="shared" si="13"/>
        <v>7681.4309999999996</v>
      </c>
      <c r="T55" s="36">
        <f t="shared" si="13"/>
        <v>7681.4309999999996</v>
      </c>
      <c r="U55" s="36">
        <f t="shared" si="14"/>
        <v>7911.8739299999988</v>
      </c>
      <c r="V55" s="36">
        <f t="shared" si="14"/>
        <v>7911.8739299999988</v>
      </c>
      <c r="W55" s="36">
        <f t="shared" si="14"/>
        <v>7911.8739299999988</v>
      </c>
      <c r="X55" s="30"/>
      <c r="Y55" s="30"/>
      <c r="Z55" s="30">
        <f>IF(G55&lt;110100, G55*7.65%, 110100*6.2%+G55*1.45%)</f>
        <v>6846.1685999999991</v>
      </c>
      <c r="AA55" s="30"/>
      <c r="AB55" s="30">
        <f t="shared" si="3"/>
        <v>56</v>
      </c>
      <c r="AC55" s="30"/>
      <c r="AD55" s="29">
        <f t="shared" si="4"/>
        <v>1154.55</v>
      </c>
      <c r="AE55" s="30"/>
      <c r="AF55" s="30">
        <f t="shared" si="5"/>
        <v>8056.7185999999992</v>
      </c>
      <c r="AG55" s="30"/>
      <c r="AH55" s="30">
        <v>7482</v>
      </c>
      <c r="AI55" s="30"/>
      <c r="AJ55" s="30">
        <f>+G55*$AJ$8</f>
        <v>2684.7719999999999</v>
      </c>
      <c r="AK55" s="30"/>
      <c r="AL55" s="30">
        <f>+G55*AL$8</f>
        <v>3579.6959999999999</v>
      </c>
      <c r="AM55" s="30"/>
      <c r="AN55" s="30">
        <v>454</v>
      </c>
      <c r="AO55" s="30"/>
      <c r="AP55" s="30">
        <f t="shared" si="6"/>
        <v>14200.468000000001</v>
      </c>
      <c r="AR55" s="29">
        <f>3728.85*24</f>
        <v>89492.4</v>
      </c>
      <c r="AS55" s="30"/>
      <c r="AU55" s="1" t="s">
        <v>7</v>
      </c>
    </row>
    <row r="56" spans="2:47">
      <c r="B56" s="28">
        <v>47</v>
      </c>
      <c r="C56" s="6" t="s">
        <v>33</v>
      </c>
      <c r="D56" s="6" t="s">
        <v>34</v>
      </c>
      <c r="E56" s="6" t="s">
        <v>32</v>
      </c>
      <c r="F56" s="6" t="s">
        <v>224</v>
      </c>
      <c r="G56" s="29">
        <f t="shared" si="0"/>
        <v>344793.12</v>
      </c>
      <c r="H56" s="30"/>
      <c r="I56" s="30">
        <f t="shared" si="7"/>
        <v>355136.91360000003</v>
      </c>
      <c r="J56" s="30">
        <f t="shared" si="8"/>
        <v>365791.02100800001</v>
      </c>
      <c r="K56" s="30"/>
      <c r="L56" s="36">
        <f t="shared" si="13"/>
        <v>29594.742800000004</v>
      </c>
      <c r="M56" s="36">
        <f t="shared" si="13"/>
        <v>29594.742800000004</v>
      </c>
      <c r="N56" s="36">
        <f t="shared" si="13"/>
        <v>29594.742800000004</v>
      </c>
      <c r="O56" s="36">
        <f t="shared" si="13"/>
        <v>29594.742800000004</v>
      </c>
      <c r="P56" s="36">
        <f t="shared" si="13"/>
        <v>29594.742800000004</v>
      </c>
      <c r="Q56" s="36">
        <f t="shared" si="13"/>
        <v>29594.742800000004</v>
      </c>
      <c r="R56" s="306">
        <f>$J56/12</f>
        <v>30482.585084000002</v>
      </c>
      <c r="S56" s="306">
        <f t="shared" ref="S56:W58" si="15">$J56/12</f>
        <v>30482.585084000002</v>
      </c>
      <c r="T56" s="306">
        <f t="shared" si="15"/>
        <v>30482.585084000002</v>
      </c>
      <c r="U56" s="306">
        <f t="shared" si="14"/>
        <v>30482.585084000002</v>
      </c>
      <c r="V56" s="306">
        <f t="shared" si="14"/>
        <v>30482.585084000002</v>
      </c>
      <c r="W56" s="306">
        <f t="shared" si="14"/>
        <v>30482.585084000002</v>
      </c>
      <c r="X56" s="30"/>
      <c r="Y56" s="30"/>
      <c r="Z56" s="30">
        <f>IF(G56&lt;110100, G56*7.65%, 110100*6.2%+G56*1.45%)</f>
        <v>11825.700239999998</v>
      </c>
      <c r="AA56" s="30"/>
      <c r="AB56" s="30">
        <f t="shared" si="3"/>
        <v>56</v>
      </c>
      <c r="AC56" s="30"/>
      <c r="AD56" s="29">
        <f t="shared" si="4"/>
        <v>1154.55</v>
      </c>
      <c r="AE56" s="30"/>
      <c r="AF56" s="30">
        <f t="shared" si="5"/>
        <v>13036.250239999998</v>
      </c>
      <c r="AG56" s="30"/>
      <c r="AH56" s="30">
        <v>7482</v>
      </c>
      <c r="AI56" s="30"/>
      <c r="AJ56" s="30">
        <f>+G56*$AJ$8</f>
        <v>10343.793599999999</v>
      </c>
      <c r="AK56" s="30"/>
      <c r="AL56" s="30">
        <f>+G56*AL$8</f>
        <v>13791.7248</v>
      </c>
      <c r="AM56" s="30"/>
      <c r="AN56" s="30">
        <v>454</v>
      </c>
      <c r="AO56" s="30"/>
      <c r="AP56" s="30">
        <f t="shared" si="6"/>
        <v>32071.518399999997</v>
      </c>
      <c r="AR56" s="29">
        <f>14366.38*24</f>
        <v>344793.12</v>
      </c>
      <c r="AS56" s="30"/>
      <c r="AU56" s="7" t="s">
        <v>7</v>
      </c>
    </row>
    <row r="57" spans="2:47">
      <c r="B57" s="28">
        <v>48</v>
      </c>
      <c r="C57" s="3" t="s">
        <v>88</v>
      </c>
      <c r="D57" s="3" t="s">
        <v>44</v>
      </c>
      <c r="E57" s="3" t="s">
        <v>90</v>
      </c>
      <c r="F57" s="3" t="s">
        <v>225</v>
      </c>
      <c r="G57" s="29">
        <f t="shared" si="0"/>
        <v>232986</v>
      </c>
      <c r="H57" s="30"/>
      <c r="I57" s="30">
        <f t="shared" si="7"/>
        <v>239975.58000000002</v>
      </c>
      <c r="J57" s="30">
        <f t="shared" si="8"/>
        <v>247174.84740000003</v>
      </c>
      <c r="K57" s="30"/>
      <c r="L57" s="36">
        <f t="shared" si="13"/>
        <v>19997.965</v>
      </c>
      <c r="M57" s="36">
        <f t="shared" si="13"/>
        <v>19997.965</v>
      </c>
      <c r="N57" s="36">
        <f t="shared" si="13"/>
        <v>19997.965</v>
      </c>
      <c r="O57" s="36">
        <f t="shared" si="13"/>
        <v>19997.965</v>
      </c>
      <c r="P57" s="36">
        <f t="shared" si="13"/>
        <v>19997.965</v>
      </c>
      <c r="Q57" s="36">
        <f t="shared" si="13"/>
        <v>19997.965</v>
      </c>
      <c r="R57" s="306">
        <f>$J57/12</f>
        <v>20597.903950000004</v>
      </c>
      <c r="S57" s="306">
        <f t="shared" si="15"/>
        <v>20597.903950000004</v>
      </c>
      <c r="T57" s="306">
        <f t="shared" si="15"/>
        <v>20597.903950000004</v>
      </c>
      <c r="U57" s="306">
        <f t="shared" si="14"/>
        <v>20597.903950000004</v>
      </c>
      <c r="V57" s="306">
        <f t="shared" si="14"/>
        <v>20597.903950000004</v>
      </c>
      <c r="W57" s="306">
        <f t="shared" si="14"/>
        <v>20597.903950000004</v>
      </c>
      <c r="X57" s="30"/>
      <c r="Y57" s="30"/>
      <c r="Z57" s="30">
        <f>IF(G57&lt;110100, G57*7.65%, 110100*6.2%+G57*1.45%)</f>
        <v>10204.496999999999</v>
      </c>
      <c r="AA57" s="30"/>
      <c r="AB57" s="30">
        <f t="shared" si="3"/>
        <v>56</v>
      </c>
      <c r="AC57" s="30"/>
      <c r="AD57" s="29">
        <f t="shared" si="4"/>
        <v>1154.55</v>
      </c>
      <c r="AE57" s="30"/>
      <c r="AF57" s="30">
        <f t="shared" si="5"/>
        <v>11415.046999999999</v>
      </c>
      <c r="AG57" s="30"/>
      <c r="AH57" s="30">
        <v>7482</v>
      </c>
      <c r="AI57" s="30"/>
      <c r="AJ57" s="30">
        <f>+G57*$AJ$8</f>
        <v>6989.58</v>
      </c>
      <c r="AK57" s="30"/>
      <c r="AL57" s="30">
        <f>+G57*AL$8</f>
        <v>9319.44</v>
      </c>
      <c r="AM57" s="30"/>
      <c r="AN57" s="30">
        <v>454</v>
      </c>
      <c r="AO57" s="30"/>
      <c r="AP57" s="30">
        <f t="shared" si="6"/>
        <v>24245.02</v>
      </c>
      <c r="AR57" s="29">
        <f>9707.75*24</f>
        <v>232986</v>
      </c>
      <c r="AS57" s="30"/>
      <c r="AU57" s="1" t="s">
        <v>7</v>
      </c>
    </row>
    <row r="58" spans="2:47">
      <c r="B58" s="28">
        <v>49</v>
      </c>
      <c r="C58" s="3" t="s">
        <v>125</v>
      </c>
      <c r="D58" s="3" t="s">
        <v>126</v>
      </c>
      <c r="E58" s="3" t="s">
        <v>128</v>
      </c>
      <c r="F58" s="3" t="s">
        <v>226</v>
      </c>
      <c r="G58" s="29">
        <f t="shared" si="0"/>
        <v>200000.16</v>
      </c>
      <c r="H58" s="30"/>
      <c r="I58" s="30">
        <f t="shared" si="7"/>
        <v>206000.1648</v>
      </c>
      <c r="J58" s="30">
        <f t="shared" si="8"/>
        <v>212180.16974400001</v>
      </c>
      <c r="K58" s="30"/>
      <c r="L58" s="36">
        <f t="shared" si="13"/>
        <v>17166.680400000001</v>
      </c>
      <c r="M58" s="36">
        <f t="shared" si="13"/>
        <v>17166.680400000001</v>
      </c>
      <c r="N58" s="36">
        <f t="shared" si="13"/>
        <v>17166.680400000001</v>
      </c>
      <c r="O58" s="36">
        <f t="shared" si="13"/>
        <v>17166.680400000001</v>
      </c>
      <c r="P58" s="36">
        <f t="shared" si="13"/>
        <v>17166.680400000001</v>
      </c>
      <c r="Q58" s="36">
        <f t="shared" si="13"/>
        <v>17166.680400000001</v>
      </c>
      <c r="R58" s="306">
        <f>$J58/12</f>
        <v>17681.680812000002</v>
      </c>
      <c r="S58" s="306">
        <f t="shared" si="15"/>
        <v>17681.680812000002</v>
      </c>
      <c r="T58" s="306">
        <f t="shared" si="15"/>
        <v>17681.680812000002</v>
      </c>
      <c r="U58" s="306">
        <f t="shared" si="14"/>
        <v>17681.680812000002</v>
      </c>
      <c r="V58" s="306">
        <f t="shared" si="14"/>
        <v>17681.680812000002</v>
      </c>
      <c r="W58" s="306">
        <f t="shared" si="14"/>
        <v>17681.680812000002</v>
      </c>
      <c r="X58" s="30"/>
      <c r="Y58" s="30"/>
      <c r="Z58" s="30">
        <f>IF(G58&lt;110100, G58*7.65%, 110100*6.2%+G58*1.45%)</f>
        <v>9726.2023200000003</v>
      </c>
      <c r="AA58" s="30"/>
      <c r="AB58" s="30">
        <f t="shared" si="3"/>
        <v>56</v>
      </c>
      <c r="AC58" s="30"/>
      <c r="AD58" s="29">
        <f t="shared" si="4"/>
        <v>1154.55</v>
      </c>
      <c r="AE58" s="30"/>
      <c r="AF58" s="30">
        <f t="shared" si="5"/>
        <v>10936.75232</v>
      </c>
      <c r="AG58" s="30"/>
      <c r="AH58" s="30">
        <v>7482</v>
      </c>
      <c r="AI58" s="30"/>
      <c r="AJ58" s="30">
        <f>+G58*$AJ$8</f>
        <v>6000.0047999999997</v>
      </c>
      <c r="AK58" s="30"/>
      <c r="AL58" s="30">
        <f>+G58*AL$8</f>
        <v>8000.0064000000002</v>
      </c>
      <c r="AM58" s="30"/>
      <c r="AN58" s="30">
        <v>454</v>
      </c>
      <c r="AO58" s="30"/>
      <c r="AP58" s="30">
        <f t="shared" si="6"/>
        <v>21936.011200000001</v>
      </c>
      <c r="AR58" s="29">
        <f>8333.34*24</f>
        <v>200000.16</v>
      </c>
      <c r="AS58" s="30"/>
      <c r="AU58" s="1" t="s">
        <v>7</v>
      </c>
    </row>
    <row r="59" spans="2:47">
      <c r="B59" s="28">
        <v>50</v>
      </c>
      <c r="C59" s="3" t="s">
        <v>104</v>
      </c>
      <c r="D59" s="3" t="s">
        <v>105</v>
      </c>
      <c r="E59" s="6" t="s">
        <v>106</v>
      </c>
      <c r="F59" s="6" t="s">
        <v>227</v>
      </c>
      <c r="G59" s="29">
        <f t="shared" si="0"/>
        <v>44557.919999999998</v>
      </c>
      <c r="H59" s="30"/>
      <c r="I59" s="30">
        <f t="shared" si="7"/>
        <v>45894.657599999999</v>
      </c>
      <c r="J59" s="30">
        <f t="shared" si="8"/>
        <v>47271.497327999998</v>
      </c>
      <c r="K59" s="30"/>
      <c r="L59" s="36">
        <f t="shared" si="13"/>
        <v>3824.5547999999999</v>
      </c>
      <c r="M59" s="36">
        <f t="shared" si="13"/>
        <v>3824.5547999999999</v>
      </c>
      <c r="N59" s="36">
        <f t="shared" si="13"/>
        <v>3824.5547999999999</v>
      </c>
      <c r="O59" s="36">
        <f t="shared" si="13"/>
        <v>3824.5547999999999</v>
      </c>
      <c r="P59" s="36">
        <f t="shared" si="13"/>
        <v>3824.5547999999999</v>
      </c>
      <c r="Q59" s="36">
        <f t="shared" si="13"/>
        <v>3824.5547999999999</v>
      </c>
      <c r="R59" s="36">
        <f t="shared" si="13"/>
        <v>3824.5547999999999</v>
      </c>
      <c r="S59" s="36">
        <f t="shared" si="13"/>
        <v>3824.5547999999999</v>
      </c>
      <c r="T59" s="36">
        <f t="shared" si="13"/>
        <v>3824.5547999999999</v>
      </c>
      <c r="U59" s="36">
        <f t="shared" si="14"/>
        <v>3939.291444</v>
      </c>
      <c r="V59" s="36">
        <f t="shared" si="14"/>
        <v>3939.291444</v>
      </c>
      <c r="W59" s="36">
        <f t="shared" si="14"/>
        <v>3939.291444</v>
      </c>
      <c r="X59" s="30"/>
      <c r="Y59" s="30"/>
      <c r="Z59" s="30">
        <f>IF(G59&lt;110100, G59*7.65%, 110100*6.2%+G59*1.45%)</f>
        <v>3408.6808799999999</v>
      </c>
      <c r="AA59" s="30"/>
      <c r="AB59" s="30">
        <f t="shared" si="3"/>
        <v>56</v>
      </c>
      <c r="AC59" s="30"/>
      <c r="AD59" s="29">
        <f t="shared" si="4"/>
        <v>1154.55</v>
      </c>
      <c r="AE59" s="30"/>
      <c r="AF59" s="30">
        <f t="shared" si="5"/>
        <v>4619.2308800000001</v>
      </c>
      <c r="AG59" s="30"/>
      <c r="AH59" s="30">
        <v>7482</v>
      </c>
      <c r="AI59" s="30"/>
      <c r="AJ59" s="30">
        <f>+G59*$AJ$8</f>
        <v>1336.7375999999999</v>
      </c>
      <c r="AK59" s="30"/>
      <c r="AL59" s="30">
        <f>+G59*AL$8</f>
        <v>1782.3168000000001</v>
      </c>
      <c r="AM59" s="30"/>
      <c r="AN59" s="30">
        <v>454</v>
      </c>
      <c r="AO59" s="30"/>
      <c r="AP59" s="30">
        <f t="shared" si="6"/>
        <v>11055.054400000001</v>
      </c>
      <c r="AR59" s="29">
        <f>1856.58*24</f>
        <v>44557.919999999998</v>
      </c>
      <c r="AS59" s="30"/>
      <c r="AU59" s="1" t="s">
        <v>7</v>
      </c>
    </row>
    <row r="60" spans="2:47">
      <c r="B60" s="28">
        <v>51</v>
      </c>
      <c r="C60" s="3" t="s">
        <v>108</v>
      </c>
      <c r="D60" s="3" t="s">
        <v>109</v>
      </c>
      <c r="E60" s="3" t="s">
        <v>107</v>
      </c>
      <c r="F60" s="3" t="s">
        <v>228</v>
      </c>
      <c r="G60" s="29">
        <f t="shared" si="0"/>
        <v>34008</v>
      </c>
      <c r="H60" s="30"/>
      <c r="I60" s="30">
        <f t="shared" si="7"/>
        <v>35028.239999999998</v>
      </c>
      <c r="J60" s="30">
        <f t="shared" si="8"/>
        <v>36079.087200000002</v>
      </c>
      <c r="K60" s="30"/>
      <c r="L60" s="36">
        <f t="shared" si="13"/>
        <v>2919.02</v>
      </c>
      <c r="M60" s="36">
        <f t="shared" si="13"/>
        <v>2919.02</v>
      </c>
      <c r="N60" s="36">
        <f t="shared" si="13"/>
        <v>2919.02</v>
      </c>
      <c r="O60" s="36">
        <f t="shared" si="13"/>
        <v>2919.02</v>
      </c>
      <c r="P60" s="36">
        <f t="shared" si="13"/>
        <v>2919.02</v>
      </c>
      <c r="Q60" s="36">
        <f t="shared" si="13"/>
        <v>2919.02</v>
      </c>
      <c r="R60" s="36">
        <f t="shared" si="13"/>
        <v>2919.02</v>
      </c>
      <c r="S60" s="36">
        <f t="shared" si="13"/>
        <v>2919.02</v>
      </c>
      <c r="T60" s="36">
        <f t="shared" si="13"/>
        <v>2919.02</v>
      </c>
      <c r="U60" s="36">
        <f t="shared" si="14"/>
        <v>3006.5906</v>
      </c>
      <c r="V60" s="36">
        <f t="shared" si="14"/>
        <v>3006.5906</v>
      </c>
      <c r="W60" s="36">
        <f t="shared" si="14"/>
        <v>3006.5906</v>
      </c>
      <c r="X60" s="30"/>
      <c r="Y60" s="30"/>
      <c r="Z60" s="30">
        <f>IF(G60&lt;110100, G60*7.65%, 110100*6.2%+G60*1.45%)</f>
        <v>2601.6120000000001</v>
      </c>
      <c r="AA60" s="30"/>
      <c r="AB60" s="30">
        <f t="shared" si="3"/>
        <v>56</v>
      </c>
      <c r="AC60" s="30"/>
      <c r="AD60" s="29">
        <f t="shared" si="4"/>
        <v>1154.55</v>
      </c>
      <c r="AE60" s="30"/>
      <c r="AF60" s="30">
        <f t="shared" si="5"/>
        <v>3812.1620000000003</v>
      </c>
      <c r="AG60" s="30"/>
      <c r="AH60" s="30">
        <v>7482</v>
      </c>
      <c r="AI60" s="30"/>
      <c r="AJ60" s="30">
        <f>+G60*$AJ$8</f>
        <v>1020.24</v>
      </c>
      <c r="AK60" s="30"/>
      <c r="AL60" s="30">
        <f>+G60*AL$8</f>
        <v>1360.32</v>
      </c>
      <c r="AM60" s="30"/>
      <c r="AN60" s="30">
        <v>454</v>
      </c>
      <c r="AO60" s="30"/>
      <c r="AP60" s="30">
        <f t="shared" si="6"/>
        <v>10316.56</v>
      </c>
      <c r="AR60" s="29">
        <f>16.35*2080</f>
        <v>34008</v>
      </c>
      <c r="AS60" s="29"/>
      <c r="AU60" s="1" t="s">
        <v>175</v>
      </c>
    </row>
    <row r="61" spans="2:47">
      <c r="B61" s="28">
        <v>52</v>
      </c>
      <c r="C61" s="6" t="s">
        <v>43</v>
      </c>
      <c r="D61" s="6" t="s">
        <v>44</v>
      </c>
      <c r="E61" s="6" t="s">
        <v>45</v>
      </c>
      <c r="F61" s="6" t="s">
        <v>229</v>
      </c>
      <c r="G61" s="29">
        <f t="shared" si="0"/>
        <v>110380.56</v>
      </c>
      <c r="H61" s="30"/>
      <c r="I61" s="30">
        <f t="shared" si="7"/>
        <v>113691.9768</v>
      </c>
      <c r="J61" s="30">
        <f t="shared" si="8"/>
        <v>117102.73610400001</v>
      </c>
      <c r="K61" s="30"/>
      <c r="L61" s="36">
        <f t="shared" si="13"/>
        <v>9474.3314000000009</v>
      </c>
      <c r="M61" s="36">
        <f t="shared" si="13"/>
        <v>9474.3314000000009</v>
      </c>
      <c r="N61" s="36">
        <f t="shared" si="13"/>
        <v>9474.3314000000009</v>
      </c>
      <c r="O61" s="36">
        <f t="shared" si="13"/>
        <v>9474.3314000000009</v>
      </c>
      <c r="P61" s="36">
        <f t="shared" si="13"/>
        <v>9474.3314000000009</v>
      </c>
      <c r="Q61" s="36">
        <f t="shared" si="13"/>
        <v>9474.3314000000009</v>
      </c>
      <c r="R61" s="36">
        <f t="shared" si="13"/>
        <v>9474.3314000000009</v>
      </c>
      <c r="S61" s="36">
        <f t="shared" si="13"/>
        <v>9474.3314000000009</v>
      </c>
      <c r="T61" s="36">
        <f t="shared" si="13"/>
        <v>9474.3314000000009</v>
      </c>
      <c r="U61" s="36">
        <f t="shared" si="14"/>
        <v>9758.5613420000009</v>
      </c>
      <c r="V61" s="36">
        <f t="shared" si="14"/>
        <v>9758.5613420000009</v>
      </c>
      <c r="W61" s="36">
        <f t="shared" si="14"/>
        <v>9758.5613420000009</v>
      </c>
      <c r="X61" s="30"/>
      <c r="Y61" s="30"/>
      <c r="Z61" s="30">
        <f>IF(G61&lt;110100, G61*7.65%, 110100*6.2%+G61*1.45%)</f>
        <v>8426.7181199999995</v>
      </c>
      <c r="AA61" s="30"/>
      <c r="AB61" s="30">
        <f t="shared" si="3"/>
        <v>56</v>
      </c>
      <c r="AC61" s="30"/>
      <c r="AD61" s="29">
        <f t="shared" si="4"/>
        <v>1154.55</v>
      </c>
      <c r="AE61" s="30"/>
      <c r="AF61" s="30">
        <f t="shared" si="5"/>
        <v>9637.2681199999988</v>
      </c>
      <c r="AG61" s="30"/>
      <c r="AH61" s="30">
        <v>7482</v>
      </c>
      <c r="AI61" s="30"/>
      <c r="AJ61" s="30">
        <f>+G61*$AJ$8</f>
        <v>3311.4168</v>
      </c>
      <c r="AK61" s="30"/>
      <c r="AL61" s="30">
        <f>+G61*AL$8</f>
        <v>4415.2223999999997</v>
      </c>
      <c r="AM61" s="30"/>
      <c r="AN61" s="30">
        <v>454</v>
      </c>
      <c r="AO61" s="30"/>
      <c r="AP61" s="30">
        <f t="shared" si="6"/>
        <v>15662.639199999998</v>
      </c>
      <c r="AR61" s="29">
        <f>4599.19*24</f>
        <v>110380.56</v>
      </c>
      <c r="AS61" s="30"/>
      <c r="AU61" s="7" t="s">
        <v>7</v>
      </c>
    </row>
    <row r="62" spans="2:47">
      <c r="B62" s="28">
        <v>53</v>
      </c>
      <c r="C62" s="3" t="s">
        <v>140</v>
      </c>
      <c r="D62" s="3" t="s">
        <v>141</v>
      </c>
      <c r="E62" s="6" t="s">
        <v>67</v>
      </c>
      <c r="F62" s="6" t="s">
        <v>230</v>
      </c>
      <c r="G62" s="29">
        <f t="shared" si="0"/>
        <v>63824.88</v>
      </c>
      <c r="H62" s="30"/>
      <c r="I62" s="30">
        <f t="shared" si="7"/>
        <v>65739.626399999994</v>
      </c>
      <c r="J62" s="30">
        <f t="shared" si="8"/>
        <v>67711.815191999995</v>
      </c>
      <c r="K62" s="30"/>
      <c r="L62" s="36">
        <f t="shared" si="13"/>
        <v>5478.3021999999992</v>
      </c>
      <c r="M62" s="36">
        <f t="shared" si="13"/>
        <v>5478.3021999999992</v>
      </c>
      <c r="N62" s="36">
        <f t="shared" si="13"/>
        <v>5478.3021999999992</v>
      </c>
      <c r="O62" s="36">
        <f t="shared" si="13"/>
        <v>5478.3021999999992</v>
      </c>
      <c r="P62" s="36">
        <f t="shared" si="13"/>
        <v>5478.3021999999992</v>
      </c>
      <c r="Q62" s="36">
        <f t="shared" si="13"/>
        <v>5478.3021999999992</v>
      </c>
      <c r="R62" s="36">
        <f t="shared" si="13"/>
        <v>5478.3021999999992</v>
      </c>
      <c r="S62" s="36">
        <f t="shared" si="13"/>
        <v>5478.3021999999992</v>
      </c>
      <c r="T62" s="36">
        <f t="shared" si="13"/>
        <v>5478.3021999999992</v>
      </c>
      <c r="U62" s="36">
        <f t="shared" si="14"/>
        <v>5642.6512659999999</v>
      </c>
      <c r="V62" s="36">
        <f t="shared" si="14"/>
        <v>5642.6512659999999</v>
      </c>
      <c r="W62" s="36">
        <f t="shared" si="14"/>
        <v>5642.6512659999999</v>
      </c>
      <c r="X62" s="30"/>
      <c r="Y62" s="30"/>
      <c r="Z62" s="30">
        <f>IF(G62&lt;110100, G62*7.65%, 110100*6.2%+G62*1.45%)</f>
        <v>4882.6033199999993</v>
      </c>
      <c r="AA62" s="30"/>
      <c r="AB62" s="30">
        <f t="shared" si="3"/>
        <v>56</v>
      </c>
      <c r="AC62" s="30"/>
      <c r="AD62" s="29">
        <f t="shared" si="4"/>
        <v>1154.55</v>
      </c>
      <c r="AE62" s="30"/>
      <c r="AF62" s="30">
        <f t="shared" si="5"/>
        <v>6093.1533199999994</v>
      </c>
      <c r="AG62" s="30"/>
      <c r="AH62" s="30">
        <v>7482</v>
      </c>
      <c r="AI62" s="30"/>
      <c r="AJ62" s="30">
        <f>+G62*$AJ$8</f>
        <v>1914.7463999999998</v>
      </c>
      <c r="AK62" s="30"/>
      <c r="AL62" s="30">
        <f>+G62*AL$8</f>
        <v>2552.9951999999998</v>
      </c>
      <c r="AM62" s="30"/>
      <c r="AN62" s="30">
        <v>454</v>
      </c>
      <c r="AO62" s="30"/>
      <c r="AP62" s="30">
        <f t="shared" si="6"/>
        <v>12403.741599999999</v>
      </c>
      <c r="AR62" s="29">
        <f>2659.37*24</f>
        <v>63824.88</v>
      </c>
      <c r="AS62" s="29"/>
      <c r="AU62" s="1" t="s">
        <v>7</v>
      </c>
    </row>
    <row r="63" spans="2:47">
      <c r="B63" s="28">
        <v>54</v>
      </c>
      <c r="C63" s="3" t="s">
        <v>71</v>
      </c>
      <c r="D63" s="3" t="s">
        <v>72</v>
      </c>
      <c r="E63" s="6" t="s">
        <v>67</v>
      </c>
      <c r="F63" s="6" t="s">
        <v>231</v>
      </c>
      <c r="G63" s="29">
        <f t="shared" si="0"/>
        <v>71750.16</v>
      </c>
      <c r="H63" s="30"/>
      <c r="I63" s="30">
        <f t="shared" si="7"/>
        <v>73902.664799999999</v>
      </c>
      <c r="J63" s="30">
        <f t="shared" si="8"/>
        <v>76119.744743999996</v>
      </c>
      <c r="K63" s="30"/>
      <c r="L63" s="36">
        <f t="shared" si="13"/>
        <v>6158.5554000000002</v>
      </c>
      <c r="M63" s="36">
        <f t="shared" si="13"/>
        <v>6158.5554000000002</v>
      </c>
      <c r="N63" s="36">
        <f t="shared" si="13"/>
        <v>6158.5554000000002</v>
      </c>
      <c r="O63" s="36">
        <f t="shared" si="13"/>
        <v>6158.5554000000002</v>
      </c>
      <c r="P63" s="36">
        <f t="shared" si="13"/>
        <v>6158.5554000000002</v>
      </c>
      <c r="Q63" s="36">
        <f t="shared" si="13"/>
        <v>6158.5554000000002</v>
      </c>
      <c r="R63" s="36">
        <f t="shared" si="13"/>
        <v>6158.5554000000002</v>
      </c>
      <c r="S63" s="36">
        <f t="shared" si="13"/>
        <v>6158.5554000000002</v>
      </c>
      <c r="T63" s="36">
        <f t="shared" si="13"/>
        <v>6158.5554000000002</v>
      </c>
      <c r="U63" s="36">
        <f t="shared" si="14"/>
        <v>6343.312062</v>
      </c>
      <c r="V63" s="36">
        <f t="shared" si="14"/>
        <v>6343.312062</v>
      </c>
      <c r="W63" s="36">
        <f t="shared" si="14"/>
        <v>6343.312062</v>
      </c>
      <c r="X63" s="30"/>
      <c r="Y63" s="30"/>
      <c r="Z63" s="30">
        <f>IF(G63&lt;110100, G63*7.65%, 110100*6.2%+G63*1.45%)</f>
        <v>5488.88724</v>
      </c>
      <c r="AA63" s="30"/>
      <c r="AB63" s="30">
        <f t="shared" si="3"/>
        <v>56</v>
      </c>
      <c r="AC63" s="30"/>
      <c r="AD63" s="29">
        <f t="shared" si="4"/>
        <v>1154.55</v>
      </c>
      <c r="AE63" s="30"/>
      <c r="AF63" s="30">
        <f t="shared" si="5"/>
        <v>6699.4372400000002</v>
      </c>
      <c r="AG63" s="30"/>
      <c r="AH63" s="30">
        <v>7482</v>
      </c>
      <c r="AI63" s="30"/>
      <c r="AJ63" s="30">
        <f>+G63*$AJ$8</f>
        <v>2152.5048000000002</v>
      </c>
      <c r="AK63" s="30"/>
      <c r="AL63" s="30">
        <f>+G63*AL$8</f>
        <v>2870.0064000000002</v>
      </c>
      <c r="AM63" s="30"/>
      <c r="AN63" s="30">
        <v>454</v>
      </c>
      <c r="AO63" s="30"/>
      <c r="AP63" s="30">
        <f t="shared" si="6"/>
        <v>12958.511200000001</v>
      </c>
      <c r="AR63" s="29">
        <f>2989.59*24</f>
        <v>71750.16</v>
      </c>
      <c r="AS63" s="30"/>
      <c r="AU63" s="7" t="s">
        <v>7</v>
      </c>
    </row>
    <row r="64" spans="2:47">
      <c r="B64" s="28">
        <v>55</v>
      </c>
      <c r="C64" s="3" t="s">
        <v>102</v>
      </c>
      <c r="D64" s="3" t="s">
        <v>103</v>
      </c>
      <c r="E64" s="6" t="s">
        <v>85</v>
      </c>
      <c r="F64" s="6" t="s">
        <v>232</v>
      </c>
      <c r="G64" s="29">
        <f t="shared" si="0"/>
        <v>10712</v>
      </c>
      <c r="H64" s="30"/>
      <c r="I64" s="30">
        <f t="shared" si="7"/>
        <v>11033.36</v>
      </c>
      <c r="J64" s="30">
        <f t="shared" si="8"/>
        <v>11364.3608</v>
      </c>
      <c r="K64" s="30"/>
      <c r="L64" s="36">
        <f t="shared" si="13"/>
        <v>919.44666666666672</v>
      </c>
      <c r="M64" s="36">
        <f t="shared" si="13"/>
        <v>919.44666666666672</v>
      </c>
      <c r="N64" s="36">
        <f t="shared" si="13"/>
        <v>919.44666666666672</v>
      </c>
      <c r="O64" s="36">
        <f t="shared" si="13"/>
        <v>919.44666666666672</v>
      </c>
      <c r="P64" s="36">
        <f t="shared" si="13"/>
        <v>919.44666666666672</v>
      </c>
      <c r="Q64" s="36">
        <f t="shared" si="13"/>
        <v>919.44666666666672</v>
      </c>
      <c r="R64" s="36">
        <f t="shared" si="13"/>
        <v>919.44666666666672</v>
      </c>
      <c r="S64" s="36">
        <f t="shared" si="13"/>
        <v>919.44666666666672</v>
      </c>
      <c r="T64" s="36">
        <f t="shared" si="13"/>
        <v>919.44666666666672</v>
      </c>
      <c r="U64" s="36">
        <f t="shared" si="14"/>
        <v>947.0300666666667</v>
      </c>
      <c r="V64" s="36">
        <f t="shared" si="14"/>
        <v>947.0300666666667</v>
      </c>
      <c r="W64" s="36">
        <f t="shared" si="14"/>
        <v>947.0300666666667</v>
      </c>
      <c r="X64" s="30"/>
      <c r="Y64" s="30"/>
      <c r="Z64" s="30">
        <f>IF(G64&lt;110100, G64*7.65%, 110100*6.2%+G64*1.45%)</f>
        <v>819.46799999999996</v>
      </c>
      <c r="AA64" s="30"/>
      <c r="AB64" s="30">
        <f t="shared" si="3"/>
        <v>56</v>
      </c>
      <c r="AC64" s="30"/>
      <c r="AD64" s="29">
        <f t="shared" si="4"/>
        <v>1154.55</v>
      </c>
      <c r="AE64" s="30"/>
      <c r="AF64" s="30">
        <f t="shared" si="5"/>
        <v>2030.018</v>
      </c>
      <c r="AG64" s="30"/>
      <c r="AH64" s="30">
        <v>0</v>
      </c>
      <c r="AI64" s="30"/>
      <c r="AJ64" s="30">
        <v>0</v>
      </c>
      <c r="AK64" s="30"/>
      <c r="AL64" s="30">
        <v>0</v>
      </c>
      <c r="AM64" s="30"/>
      <c r="AN64" s="30">
        <v>0</v>
      </c>
      <c r="AO64" s="30"/>
      <c r="AP64" s="30">
        <f t="shared" si="6"/>
        <v>0</v>
      </c>
      <c r="AR64" s="29">
        <f>10.3*1040</f>
        <v>10712</v>
      </c>
      <c r="AS64" s="30"/>
      <c r="AU64" s="1" t="s">
        <v>175</v>
      </c>
    </row>
    <row r="65" spans="2:47">
      <c r="B65" s="28">
        <v>56</v>
      </c>
      <c r="C65" s="3" t="s">
        <v>93</v>
      </c>
      <c r="D65" s="3" t="s">
        <v>94</v>
      </c>
      <c r="E65" s="6" t="s">
        <v>31</v>
      </c>
      <c r="F65" s="6" t="s">
        <v>233</v>
      </c>
      <c r="G65" s="29">
        <f t="shared" si="0"/>
        <v>50391.12</v>
      </c>
      <c r="H65" s="30"/>
      <c r="I65" s="30">
        <f t="shared" si="7"/>
        <v>51902.853600000002</v>
      </c>
      <c r="J65" s="30">
        <f t="shared" si="8"/>
        <v>53459.939208000003</v>
      </c>
      <c r="K65" s="30"/>
      <c r="L65" s="36">
        <f t="shared" si="13"/>
        <v>4325.2377999999999</v>
      </c>
      <c r="M65" s="36">
        <f t="shared" si="13"/>
        <v>4325.2377999999999</v>
      </c>
      <c r="N65" s="36">
        <f t="shared" si="13"/>
        <v>4325.2377999999999</v>
      </c>
      <c r="O65" s="36">
        <f t="shared" si="13"/>
        <v>4325.2377999999999</v>
      </c>
      <c r="P65" s="36">
        <f t="shared" si="13"/>
        <v>4325.2377999999999</v>
      </c>
      <c r="Q65" s="36">
        <f t="shared" si="13"/>
        <v>4325.2377999999999</v>
      </c>
      <c r="R65" s="36">
        <f t="shared" si="13"/>
        <v>4325.2377999999999</v>
      </c>
      <c r="S65" s="36">
        <f t="shared" si="13"/>
        <v>4325.2377999999999</v>
      </c>
      <c r="T65" s="36">
        <f t="shared" si="13"/>
        <v>4325.2377999999999</v>
      </c>
      <c r="U65" s="36">
        <f t="shared" si="14"/>
        <v>4454.9949340000003</v>
      </c>
      <c r="V65" s="36">
        <f t="shared" si="14"/>
        <v>4454.9949340000003</v>
      </c>
      <c r="W65" s="36">
        <f t="shared" si="14"/>
        <v>4454.9949340000003</v>
      </c>
      <c r="X65" s="30"/>
      <c r="Y65" s="30"/>
      <c r="Z65" s="30">
        <f>IF(G65&lt;110100, G65*7.65%, 110100*6.2%+G65*1.45%)</f>
        <v>3854.9206800000002</v>
      </c>
      <c r="AA65" s="30"/>
      <c r="AB65" s="30">
        <f t="shared" si="3"/>
        <v>56</v>
      </c>
      <c r="AC65" s="30"/>
      <c r="AD65" s="29">
        <f t="shared" si="4"/>
        <v>1154.55</v>
      </c>
      <c r="AE65" s="30"/>
      <c r="AF65" s="30">
        <f t="shared" si="5"/>
        <v>5065.4706800000004</v>
      </c>
      <c r="AG65" s="30"/>
      <c r="AH65" s="30">
        <v>7482</v>
      </c>
      <c r="AI65" s="30"/>
      <c r="AJ65" s="30">
        <f>+G65*$AJ$8</f>
        <v>1511.7336</v>
      </c>
      <c r="AK65" s="30"/>
      <c r="AL65" s="30">
        <f>+G65*AL$8</f>
        <v>2015.6448000000003</v>
      </c>
      <c r="AM65" s="30"/>
      <c r="AN65" s="30">
        <v>454</v>
      </c>
      <c r="AO65" s="30"/>
      <c r="AP65" s="30">
        <f t="shared" si="6"/>
        <v>11463.3784</v>
      </c>
      <c r="AR65" s="29">
        <f>2099.63*24</f>
        <v>50391.12</v>
      </c>
      <c r="AS65" s="30"/>
      <c r="AU65" s="1" t="s">
        <v>7</v>
      </c>
    </row>
    <row r="66" spans="2:47">
      <c r="B66" s="28">
        <v>57</v>
      </c>
      <c r="C66" s="3" t="s">
        <v>117</v>
      </c>
      <c r="D66" s="3" t="s">
        <v>118</v>
      </c>
      <c r="E66" s="6" t="s">
        <v>85</v>
      </c>
      <c r="F66" s="6" t="s">
        <v>234</v>
      </c>
      <c r="G66" s="29">
        <f t="shared" si="0"/>
        <v>41537.599999999999</v>
      </c>
      <c r="H66" s="30"/>
      <c r="I66" s="30">
        <f t="shared" si="7"/>
        <v>42783.728000000003</v>
      </c>
      <c r="J66" s="30">
        <f t="shared" si="8"/>
        <v>44067.239840000002</v>
      </c>
      <c r="K66" s="30"/>
      <c r="L66" s="36">
        <f t="shared" si="13"/>
        <v>3565.3106666666667</v>
      </c>
      <c r="M66" s="36">
        <f t="shared" si="13"/>
        <v>3565.3106666666667</v>
      </c>
      <c r="N66" s="36">
        <f t="shared" si="13"/>
        <v>3565.3106666666667</v>
      </c>
      <c r="O66" s="36">
        <f t="shared" si="13"/>
        <v>3565.3106666666667</v>
      </c>
      <c r="P66" s="36">
        <f t="shared" si="13"/>
        <v>3565.3106666666667</v>
      </c>
      <c r="Q66" s="36">
        <f t="shared" si="13"/>
        <v>3565.3106666666667</v>
      </c>
      <c r="R66" s="36">
        <f t="shared" si="13"/>
        <v>3565.3106666666667</v>
      </c>
      <c r="S66" s="36">
        <f t="shared" si="13"/>
        <v>3565.3106666666667</v>
      </c>
      <c r="T66" s="36">
        <f t="shared" si="13"/>
        <v>3565.3106666666667</v>
      </c>
      <c r="U66" s="36">
        <f t="shared" si="14"/>
        <v>3672.2699866666667</v>
      </c>
      <c r="V66" s="36">
        <f t="shared" si="14"/>
        <v>3672.2699866666667</v>
      </c>
      <c r="W66" s="36">
        <f t="shared" si="14"/>
        <v>3672.2699866666667</v>
      </c>
      <c r="X66" s="30"/>
      <c r="Y66" s="30"/>
      <c r="Z66" s="30">
        <f>IF(G66&lt;110100, G66*7.65%, 110100*6.2%+G66*1.45%)</f>
        <v>3177.6263999999996</v>
      </c>
      <c r="AA66" s="30"/>
      <c r="AB66" s="30">
        <f t="shared" si="3"/>
        <v>56</v>
      </c>
      <c r="AC66" s="30"/>
      <c r="AD66" s="29">
        <f t="shared" si="4"/>
        <v>1154.55</v>
      </c>
      <c r="AE66" s="30"/>
      <c r="AF66" s="30">
        <f t="shared" si="5"/>
        <v>4388.1763999999994</v>
      </c>
      <c r="AG66" s="30"/>
      <c r="AH66" s="30">
        <v>7482</v>
      </c>
      <c r="AI66" s="30"/>
      <c r="AJ66" s="30">
        <f>+G66*$AJ$8</f>
        <v>1246.1279999999999</v>
      </c>
      <c r="AK66" s="30"/>
      <c r="AL66" s="30">
        <f>+G66*AL$8</f>
        <v>1661.5039999999999</v>
      </c>
      <c r="AM66" s="30"/>
      <c r="AN66" s="30">
        <v>454</v>
      </c>
      <c r="AO66" s="30"/>
      <c r="AP66" s="30">
        <f t="shared" si="6"/>
        <v>10843.632000000001</v>
      </c>
      <c r="AR66" s="29">
        <f>19.97*2080</f>
        <v>41537.599999999999</v>
      </c>
      <c r="AS66" s="29"/>
      <c r="AU66" s="1" t="s">
        <v>175</v>
      </c>
    </row>
    <row r="67" spans="2:47">
      <c r="G67" s="29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1"/>
      <c r="AA67" s="30"/>
      <c r="AB67" s="31"/>
      <c r="AC67" s="30"/>
      <c r="AD67" s="31"/>
      <c r="AE67" s="30"/>
      <c r="AF67" s="31"/>
      <c r="AG67" s="30"/>
      <c r="AH67" s="31"/>
      <c r="AI67" s="30"/>
      <c r="AJ67" s="31"/>
      <c r="AK67" s="30"/>
      <c r="AL67" s="31"/>
      <c r="AM67" s="30"/>
      <c r="AN67" s="31"/>
      <c r="AO67" s="30"/>
      <c r="AP67" s="31"/>
      <c r="AQ67" s="8"/>
      <c r="AR67" s="31"/>
      <c r="AS67" s="30"/>
    </row>
    <row r="68" spans="2:47" ht="15.75" thickBot="1">
      <c r="B68" s="1" t="s">
        <v>17</v>
      </c>
      <c r="G68" s="32">
        <f>SUM(G10:G67)</f>
        <v>4851704.3200000012</v>
      </c>
      <c r="H68" s="33"/>
      <c r="I68" s="32">
        <f t="shared" ref="I68:J68" si="16">SUM(I10:I67)</f>
        <v>4997255.4496000027</v>
      </c>
      <c r="J68" s="32">
        <f t="shared" si="16"/>
        <v>5147173.1130879996</v>
      </c>
      <c r="K68" s="33"/>
      <c r="L68" s="32">
        <f t="shared" ref="L68:W68" si="17">SUM(L10:L67)</f>
        <v>416437.95413333335</v>
      </c>
      <c r="M68" s="32">
        <f t="shared" si="17"/>
        <v>416437.95413333335</v>
      </c>
      <c r="N68" s="32">
        <f t="shared" si="17"/>
        <v>416437.95413333335</v>
      </c>
      <c r="O68" s="32">
        <f t="shared" si="17"/>
        <v>416437.95413333335</v>
      </c>
      <c r="P68" s="32">
        <f t="shared" si="17"/>
        <v>416437.95413333335</v>
      </c>
      <c r="Q68" s="32">
        <f t="shared" si="17"/>
        <v>416437.95413333335</v>
      </c>
      <c r="R68" s="32">
        <f t="shared" si="17"/>
        <v>420114.61226333334</v>
      </c>
      <c r="S68" s="32">
        <f t="shared" si="17"/>
        <v>420114.61226333334</v>
      </c>
      <c r="T68" s="32">
        <f t="shared" si="17"/>
        <v>420114.61226333334</v>
      </c>
      <c r="U68" s="32">
        <f t="shared" si="17"/>
        <v>428931.09275733348</v>
      </c>
      <c r="V68" s="32">
        <f t="shared" si="17"/>
        <v>428931.09275733348</v>
      </c>
      <c r="W68" s="32">
        <f t="shared" si="17"/>
        <v>428931.09275733348</v>
      </c>
      <c r="X68" s="33"/>
      <c r="Y68" s="33"/>
      <c r="Z68" s="33">
        <f>SUM(Z10:Z67)</f>
        <v>317992.13135999994</v>
      </c>
      <c r="AA68" s="33"/>
      <c r="AB68" s="33">
        <f>SUM(AB10:AB67)</f>
        <v>3192</v>
      </c>
      <c r="AC68" s="33"/>
      <c r="AD68" s="33">
        <f>SUM(AD10:AD67)</f>
        <v>65809.350000000064</v>
      </c>
      <c r="AE68" s="33"/>
      <c r="AF68" s="32">
        <f>SUM(AF10:AF67)</f>
        <v>386993.48136000015</v>
      </c>
      <c r="AG68" s="33"/>
      <c r="AH68" s="33">
        <f>SUM(AH10:AH67)</f>
        <v>418992</v>
      </c>
      <c r="AI68" s="33"/>
      <c r="AJ68" s="33">
        <f>SUM(AJ10:AJ67)</f>
        <v>145229.76959999997</v>
      </c>
      <c r="AK68" s="33"/>
      <c r="AL68" s="33">
        <f>SUM(AL10:AL67)</f>
        <v>193639.69280000005</v>
      </c>
      <c r="AM68" s="33"/>
      <c r="AN68" s="33">
        <f>SUM(AN10:AN67)</f>
        <v>25424</v>
      </c>
      <c r="AO68" s="33"/>
      <c r="AP68" s="32">
        <f>SUM(AP10:AP67)</f>
        <v>783285.46239999961</v>
      </c>
      <c r="AQ68" s="33"/>
      <c r="AR68" s="33">
        <f>SUM(AR10:AR67)</f>
        <v>4851704.3200000012</v>
      </c>
      <c r="AS68" s="33"/>
    </row>
    <row r="69" spans="2:47" ht="15" thickTop="1"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29"/>
      <c r="AA69" s="30"/>
      <c r="AB69" s="29"/>
      <c r="AC69" s="30"/>
      <c r="AD69" s="29"/>
      <c r="AE69" s="30"/>
      <c r="AF69" s="29"/>
      <c r="AG69" s="30"/>
      <c r="AH69" s="29"/>
      <c r="AI69" s="30"/>
      <c r="AJ69" s="29"/>
      <c r="AK69" s="30"/>
      <c r="AL69" s="29"/>
      <c r="AM69" s="30"/>
      <c r="AN69" s="29"/>
      <c r="AO69" s="30"/>
      <c r="AP69" s="29"/>
      <c r="AQ69" s="8"/>
      <c r="AR69" s="29"/>
      <c r="AS69" s="30"/>
    </row>
    <row r="70" spans="2:47">
      <c r="AR70" s="1"/>
    </row>
    <row r="71" spans="2:47">
      <c r="AL71" s="7"/>
    </row>
    <row r="72" spans="2:47">
      <c r="C72" s="34"/>
      <c r="D72" s="34"/>
      <c r="E72" s="34"/>
      <c r="F72" s="34"/>
      <c r="G72" s="143">
        <v>2.775347522522463E-2</v>
      </c>
      <c r="L72" s="307">
        <f>'WSKY Allocation Factors'!B34</f>
        <v>2.7432304810892396E-2</v>
      </c>
      <c r="M72" s="307">
        <f>'WSKY Allocation Factors'!C34</f>
        <v>2.7345688505251816E-2</v>
      </c>
      <c r="N72" s="307">
        <f>'WSKY Allocation Factors'!D34</f>
        <v>2.7234563229742808E-2</v>
      </c>
      <c r="O72" s="307">
        <f>'WSKY Allocation Factors'!E34</f>
        <v>2.7101962141741664E-2</v>
      </c>
      <c r="P72" s="307">
        <f>'WSKY Allocation Factors'!F34</f>
        <v>2.6979323481121933E-2</v>
      </c>
      <c r="Q72" s="307">
        <f>'WSKY Allocation Factors'!G34</f>
        <v>2.6942447133986767E-2</v>
      </c>
      <c r="R72" s="307">
        <f>'WSKY Allocation Factors'!H34</f>
        <v>2.6918921515555711E-2</v>
      </c>
      <c r="S72" s="307">
        <f>'WSKY Allocation Factors'!I34</f>
        <v>2.6439209162544428E-2</v>
      </c>
      <c r="T72" s="307">
        <f>'WSKY Allocation Factors'!J34</f>
        <v>2.6326288644655849E-2</v>
      </c>
      <c r="U72" s="307">
        <f>'WSKY Allocation Factors'!K34</f>
        <v>2.6428259496035125E-2</v>
      </c>
      <c r="V72" s="307">
        <f>'WSKY Allocation Factors'!L34</f>
        <v>2.6361653371309562E-2</v>
      </c>
      <c r="W72" s="307">
        <f>'WSKY Allocation Factors'!M34</f>
        <v>2.6393242386234278E-2</v>
      </c>
    </row>
    <row r="73" spans="2:47">
      <c r="E73" s="6"/>
      <c r="F73" s="6"/>
      <c r="AR73" s="1"/>
    </row>
    <row r="74" spans="2:47">
      <c r="E74" s="6"/>
      <c r="F74" s="6"/>
      <c r="AR74" s="1"/>
    </row>
    <row r="75" spans="2:47">
      <c r="G75" s="1">
        <f>G68*G72</f>
        <v>134651.65564523535</v>
      </c>
      <c r="L75" s="1">
        <f>L68*L72</f>
        <v>11423.852892610028</v>
      </c>
      <c r="M75" s="1">
        <f t="shared" ref="M75:W75" si="18">M68*M72</f>
        <v>11387.782575494477</v>
      </c>
      <c r="N75" s="1">
        <f t="shared" si="18"/>
        <v>11341.505793109003</v>
      </c>
      <c r="O75" s="1">
        <f t="shared" si="18"/>
        <v>11286.285667305952</v>
      </c>
      <c r="P75" s="1">
        <f t="shared" si="18"/>
        <v>11235.214274379819</v>
      </c>
      <c r="Q75" s="1">
        <f t="shared" si="18"/>
        <v>11219.857563822939</v>
      </c>
      <c r="R75" s="1">
        <f t="shared" si="18"/>
        <v>11309.032275054789</v>
      </c>
      <c r="S75" s="1">
        <f t="shared" si="18"/>
        <v>11107.498105871522</v>
      </c>
      <c r="T75" s="1">
        <f t="shared" si="18"/>
        <v>11060.058546282187</v>
      </c>
      <c r="U75" s="1">
        <f t="shared" si="18"/>
        <v>11335.902225308722</v>
      </c>
      <c r="V75" s="1">
        <f t="shared" si="18"/>
        <v>11307.332787445854</v>
      </c>
      <c r="W75" s="1">
        <f t="shared" si="18"/>
        <v>11320.882298136641</v>
      </c>
      <c r="AR75" s="1"/>
    </row>
  </sheetData>
  <pageMargins left="0.7" right="0.7" top="0.75" bottom="0.75" header="0.3" footer="0.3"/>
  <pageSetup scale="28" orientation="portrait" r:id="rId1"/>
  <colBreaks count="1" manualBreakCount="1">
    <brk id="4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8"/>
  <sheetViews>
    <sheetView view="pageBreakPreview" zoomScale="75" zoomScaleNormal="100" zoomScaleSheetLayoutView="75" workbookViewId="0">
      <pane xSplit="3" ySplit="9" topLeftCell="D10" activePane="bottomRight" state="frozen"/>
      <selection activeCell="B71" sqref="B71:C71"/>
      <selection pane="topRight" activeCell="B71" sqref="B71:C71"/>
      <selection pane="bottomLeft" activeCell="B71" sqref="B71:C71"/>
      <selection pane="bottomRight" activeCell="A75" sqref="A75:XFD91"/>
    </sheetView>
  </sheetViews>
  <sheetFormatPr defaultRowHeight="12"/>
  <cols>
    <col min="1" max="1" width="2.28515625" style="50" customWidth="1"/>
    <col min="2" max="2" width="3" style="50" customWidth="1"/>
    <col min="3" max="4" width="33.42578125" style="50" customWidth="1"/>
    <col min="5" max="5" width="1.42578125" style="50" customWidth="1"/>
    <col min="6" max="6" width="16.7109375" style="50" bestFit="1" customWidth="1"/>
    <col min="7" max="7" width="4.7109375" style="50" customWidth="1"/>
    <col min="8" max="8" width="16.7109375" style="50" bestFit="1" customWidth="1"/>
    <col min="9" max="9" width="12.28515625" style="50" hidden="1" customWidth="1"/>
    <col min="10" max="10" width="5.85546875" style="50" hidden="1" customWidth="1"/>
    <col min="11" max="11" width="12.7109375" style="50" hidden="1" customWidth="1"/>
    <col min="12" max="12" width="1.85546875" style="50" hidden="1" customWidth="1"/>
    <col min="13" max="13" width="13.28515625" style="50" hidden="1" customWidth="1"/>
    <col min="14" max="14" width="2.42578125" style="50" hidden="1" customWidth="1"/>
    <col min="15" max="15" width="14" style="50" hidden="1" customWidth="1"/>
    <col min="16" max="16" width="3.140625" style="50" hidden="1" customWidth="1"/>
    <col min="17" max="17" width="9.42578125" style="50" hidden="1" customWidth="1"/>
    <col min="18" max="18" width="2.28515625" style="50" hidden="1" customWidth="1"/>
    <col min="19" max="19" width="11.85546875" style="50" hidden="1" customWidth="1"/>
    <col min="20" max="20" width="2.42578125" style="50" hidden="1" customWidth="1"/>
    <col min="21" max="21" width="0" style="50" hidden="1" customWidth="1"/>
    <col min="22" max="22" width="2.42578125" style="50" hidden="1" customWidth="1"/>
    <col min="23" max="23" width="13.28515625" style="50" hidden="1" customWidth="1"/>
    <col min="24" max="24" width="2.42578125" style="50" hidden="1" customWidth="1"/>
    <col min="25" max="25" width="11.5703125" style="50" hidden="1" customWidth="1"/>
    <col min="26" max="26" width="2.42578125" style="50" hidden="1" customWidth="1"/>
    <col min="27" max="27" width="0" style="50" hidden="1" customWidth="1"/>
    <col min="28" max="28" width="2.140625" style="50" hidden="1" customWidth="1"/>
    <col min="29" max="29" width="13" style="50" bestFit="1" customWidth="1"/>
    <col min="30" max="30" width="2.5703125" style="50" customWidth="1"/>
    <col min="31" max="31" width="10.28515625" style="50" customWidth="1"/>
    <col min="32" max="32" width="2.5703125" style="50" customWidth="1"/>
    <col min="33" max="33" width="10.28515625" style="50" customWidth="1"/>
    <col min="34" max="34" width="2.5703125" style="50" customWidth="1"/>
    <col min="35" max="35" width="11" style="50" bestFit="1" customWidth="1"/>
    <col min="36" max="36" width="3.28515625" style="50" customWidth="1"/>
    <col min="37" max="37" width="9.140625" style="50"/>
    <col min="38" max="38" width="2.5703125" style="50" customWidth="1"/>
    <col min="39" max="39" width="9.140625" style="50"/>
    <col min="40" max="40" width="2.5703125" style="50" customWidth="1"/>
    <col min="41" max="41" width="10.5703125" style="50" bestFit="1" customWidth="1"/>
    <col min="42" max="42" width="9.140625" style="50"/>
    <col min="43" max="43" width="23" style="50" bestFit="1" customWidth="1"/>
    <col min="44" max="16384" width="9.140625" style="50"/>
  </cols>
  <sheetData>
    <row r="1" spans="1:45" ht="15.75" thickBot="1">
      <c r="A1" s="39" t="s">
        <v>235</v>
      </c>
      <c r="B1" s="40"/>
      <c r="C1" s="39"/>
      <c r="D1" s="39"/>
      <c r="E1" s="41"/>
      <c r="F1" s="40"/>
      <c r="G1" s="40"/>
      <c r="H1" s="40"/>
      <c r="I1" s="40"/>
      <c r="J1" s="40"/>
      <c r="K1" s="40"/>
      <c r="L1" s="40"/>
      <c r="M1" s="42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3" t="s">
        <v>236</v>
      </c>
      <c r="AB1" s="40"/>
      <c r="AC1" s="40"/>
      <c r="AD1" s="40"/>
      <c r="AE1" s="39"/>
      <c r="AF1" s="39"/>
      <c r="AG1" s="39"/>
      <c r="AH1" s="39"/>
      <c r="AI1" s="39"/>
      <c r="AJ1" s="39"/>
      <c r="AK1" s="39"/>
      <c r="AL1" s="39"/>
      <c r="AM1" s="43"/>
      <c r="AN1" s="44"/>
      <c r="AO1" s="45"/>
      <c r="AP1" s="46"/>
      <c r="AQ1" s="47" t="s">
        <v>4</v>
      </c>
      <c r="AR1" s="48" t="s">
        <v>237</v>
      </c>
      <c r="AS1" s="49"/>
    </row>
    <row r="2" spans="1:45" ht="15.75" thickBot="1">
      <c r="A2" s="39"/>
      <c r="B2" s="40"/>
      <c r="C2" s="39"/>
      <c r="D2" s="39"/>
      <c r="E2" s="41"/>
      <c r="F2" s="40"/>
      <c r="G2" s="40"/>
      <c r="H2" s="40"/>
      <c r="I2" s="40"/>
      <c r="J2" s="40"/>
      <c r="K2" s="40"/>
      <c r="L2" s="40"/>
      <c r="M2" s="42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3"/>
      <c r="AB2" s="40"/>
      <c r="AC2" s="40"/>
      <c r="AD2" s="40"/>
      <c r="AE2" s="39"/>
      <c r="AF2" s="39"/>
      <c r="AG2" s="39"/>
      <c r="AH2" s="39"/>
      <c r="AI2" s="39"/>
      <c r="AJ2" s="39"/>
      <c r="AK2" s="39"/>
      <c r="AL2" s="39"/>
      <c r="AM2" s="43"/>
      <c r="AN2" s="44"/>
      <c r="AO2" s="45"/>
      <c r="AP2" s="46"/>
      <c r="AQ2" s="47"/>
      <c r="AR2" s="48"/>
      <c r="AS2" s="49"/>
    </row>
    <row r="3" spans="1:45" ht="15.75" thickBot="1">
      <c r="A3" s="1" t="s">
        <v>362</v>
      </c>
      <c r="B3" s="40"/>
      <c r="C3" s="40"/>
      <c r="D3" s="218" t="s">
        <v>0</v>
      </c>
      <c r="E3" s="41"/>
      <c r="F3" s="40"/>
      <c r="G3" s="40"/>
      <c r="H3" s="40"/>
      <c r="I3" s="40"/>
      <c r="J3" s="40"/>
      <c r="K3" s="40"/>
      <c r="L3" s="40"/>
      <c r="M3" s="51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52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53" t="s">
        <v>238</v>
      </c>
      <c r="AQ3" s="54">
        <v>9300</v>
      </c>
      <c r="AR3" s="55">
        <v>3.3000000000000002E-2</v>
      </c>
      <c r="AS3" s="49"/>
    </row>
    <row r="4" spans="1:45" ht="15">
      <c r="A4" s="42"/>
      <c r="B4" s="40"/>
      <c r="C4" s="40"/>
      <c r="D4" s="40"/>
      <c r="E4" s="41"/>
      <c r="F4" s="40"/>
      <c r="G4" s="40"/>
      <c r="H4" s="40"/>
      <c r="I4" s="40"/>
      <c r="J4" s="40"/>
      <c r="K4" s="40"/>
      <c r="L4" s="40"/>
      <c r="M4" s="56"/>
      <c r="N4" s="40"/>
      <c r="O4" s="57" t="s">
        <v>239</v>
      </c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52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58"/>
      <c r="AQ4" s="59"/>
      <c r="AR4" s="60"/>
      <c r="AS4" s="49"/>
    </row>
    <row r="5" spans="1:45" ht="15">
      <c r="A5" s="42"/>
      <c r="B5" s="40"/>
      <c r="C5" s="40"/>
      <c r="D5" s="40"/>
      <c r="E5" s="41"/>
      <c r="F5" s="40"/>
      <c r="G5" s="40"/>
      <c r="H5" s="40"/>
      <c r="I5" s="40"/>
      <c r="J5" s="40"/>
      <c r="K5" s="40"/>
      <c r="L5" s="40"/>
      <c r="M5" s="56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52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58"/>
      <c r="AQ5" s="59"/>
      <c r="AR5" s="60"/>
      <c r="AS5" s="49"/>
    </row>
    <row r="6" spans="1:45" ht="15">
      <c r="A6" s="40"/>
      <c r="B6" s="40"/>
      <c r="C6" s="40"/>
      <c r="D6" s="40"/>
      <c r="E6" s="41"/>
      <c r="F6" s="40"/>
      <c r="G6" s="40"/>
      <c r="H6" s="40"/>
      <c r="I6" s="40"/>
      <c r="J6" s="40"/>
      <c r="K6" s="40"/>
      <c r="L6" s="40"/>
      <c r="M6" s="56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58"/>
      <c r="AQ6" s="59"/>
      <c r="AR6" s="60"/>
      <c r="AS6" s="49"/>
    </row>
    <row r="7" spans="1:45" ht="15">
      <c r="A7" s="40"/>
      <c r="B7" s="42"/>
      <c r="C7" s="40"/>
      <c r="D7" s="40"/>
      <c r="E7" s="41"/>
      <c r="F7" s="217" t="s">
        <v>336</v>
      </c>
      <c r="G7" s="1"/>
      <c r="H7" s="217" t="s">
        <v>337</v>
      </c>
      <c r="I7" s="61"/>
      <c r="J7" s="40"/>
      <c r="K7" s="40"/>
      <c r="L7" s="40"/>
      <c r="M7" s="40"/>
      <c r="N7" s="40"/>
      <c r="O7" s="62"/>
      <c r="P7" s="40"/>
      <c r="Q7" s="40"/>
      <c r="R7" s="40"/>
      <c r="S7" s="63">
        <v>41274</v>
      </c>
      <c r="T7" s="64"/>
      <c r="U7" s="64"/>
      <c r="V7" s="65"/>
      <c r="W7" s="66" t="s">
        <v>24</v>
      </c>
      <c r="X7" s="64"/>
      <c r="Y7" s="64"/>
      <c r="Z7" s="64"/>
      <c r="AA7" s="40"/>
      <c r="AB7" s="40"/>
      <c r="AC7" s="66" t="s">
        <v>241</v>
      </c>
      <c r="AD7" s="66"/>
      <c r="AE7" s="49"/>
      <c r="AF7" s="67"/>
      <c r="AG7" s="67"/>
      <c r="AH7" s="67"/>
      <c r="AI7" s="61"/>
      <c r="AJ7" s="61"/>
      <c r="AK7" s="61"/>
      <c r="AL7" s="61"/>
      <c r="AM7" s="61"/>
      <c r="AN7" s="61"/>
      <c r="AO7" s="65" t="s">
        <v>240</v>
      </c>
      <c r="AP7" s="64"/>
      <c r="AQ7" s="64"/>
      <c r="AR7" s="64"/>
      <c r="AS7" s="68"/>
    </row>
    <row r="8" spans="1:45" ht="15">
      <c r="A8" s="66"/>
      <c r="B8" s="66"/>
      <c r="C8" s="66"/>
      <c r="D8" s="66"/>
      <c r="E8" s="66"/>
      <c r="F8" s="15" t="s">
        <v>1</v>
      </c>
      <c r="G8" s="19"/>
      <c r="H8" s="15" t="s">
        <v>1</v>
      </c>
      <c r="I8" s="61"/>
      <c r="J8" s="66"/>
      <c r="K8" s="66" t="s">
        <v>2</v>
      </c>
      <c r="L8" s="66"/>
      <c r="M8" s="66" t="s">
        <v>3</v>
      </c>
      <c r="N8" s="66"/>
      <c r="O8" s="66" t="s">
        <v>4</v>
      </c>
      <c r="P8" s="66"/>
      <c r="Q8" s="66" t="s">
        <v>5</v>
      </c>
      <c r="R8" s="66"/>
      <c r="S8" s="66" t="s">
        <v>6</v>
      </c>
      <c r="T8" s="66"/>
      <c r="U8" s="66" t="s">
        <v>243</v>
      </c>
      <c r="V8" s="66"/>
      <c r="W8" s="66" t="s">
        <v>25</v>
      </c>
      <c r="X8" s="66"/>
      <c r="Y8" s="63">
        <v>41274</v>
      </c>
      <c r="Z8" s="66"/>
      <c r="AA8" s="66" t="s">
        <v>5</v>
      </c>
      <c r="AB8" s="66"/>
      <c r="AC8" s="66" t="s">
        <v>244</v>
      </c>
      <c r="AD8" s="66"/>
      <c r="AE8" s="66" t="s">
        <v>245</v>
      </c>
      <c r="AF8" s="66"/>
      <c r="AG8" s="66" t="s">
        <v>245</v>
      </c>
      <c r="AH8" s="66"/>
      <c r="AI8" s="65" t="s">
        <v>242</v>
      </c>
      <c r="AJ8" s="65"/>
      <c r="AK8" s="65" t="s">
        <v>246</v>
      </c>
      <c r="AL8" s="65"/>
      <c r="AM8" s="69"/>
      <c r="AN8" s="65"/>
      <c r="AO8" s="65" t="s">
        <v>242</v>
      </c>
      <c r="AP8" s="58"/>
      <c r="AQ8" s="59"/>
      <c r="AR8" s="70"/>
      <c r="AS8" s="71"/>
    </row>
    <row r="9" spans="1:45" ht="15">
      <c r="A9" s="66"/>
      <c r="B9" s="66"/>
      <c r="C9" s="66"/>
      <c r="D9" s="66" t="s">
        <v>247</v>
      </c>
      <c r="E9" s="66"/>
      <c r="F9" s="22" t="s">
        <v>7</v>
      </c>
      <c r="G9" s="19"/>
      <c r="H9" s="22" t="s">
        <v>7</v>
      </c>
      <c r="I9" s="61"/>
      <c r="J9" s="66" t="s">
        <v>248</v>
      </c>
      <c r="K9" s="73" t="str">
        <f>"7.65%"</f>
        <v>7.65%</v>
      </c>
      <c r="L9" s="66"/>
      <c r="M9" s="73" t="s">
        <v>9</v>
      </c>
      <c r="N9" s="66"/>
      <c r="O9" s="73" t="s">
        <v>249</v>
      </c>
      <c r="P9" s="66"/>
      <c r="Q9" s="73" t="s">
        <v>10</v>
      </c>
      <c r="R9" s="66"/>
      <c r="S9" s="73" t="s">
        <v>11</v>
      </c>
      <c r="T9" s="66"/>
      <c r="U9" s="73" t="s">
        <v>250</v>
      </c>
      <c r="V9" s="66"/>
      <c r="W9" s="73" t="s">
        <v>251</v>
      </c>
      <c r="X9" s="66"/>
      <c r="Y9" s="73" t="s">
        <v>12</v>
      </c>
      <c r="Z9" s="66"/>
      <c r="AA9" s="73" t="s">
        <v>13</v>
      </c>
      <c r="AB9" s="65"/>
      <c r="AC9" s="73"/>
      <c r="AD9" s="73"/>
      <c r="AE9" s="74"/>
      <c r="AF9" s="67"/>
      <c r="AG9" s="72" t="s">
        <v>252</v>
      </c>
      <c r="AH9" s="67"/>
      <c r="AI9" s="72" t="s">
        <v>7</v>
      </c>
      <c r="AJ9" s="61"/>
      <c r="AK9" s="61" t="s">
        <v>253</v>
      </c>
      <c r="AL9" s="67"/>
      <c r="AM9" s="72" t="s">
        <v>254</v>
      </c>
      <c r="AN9" s="61"/>
      <c r="AO9" s="72" t="s">
        <v>7</v>
      </c>
      <c r="AP9" s="65"/>
      <c r="AQ9" s="65"/>
      <c r="AR9" s="65"/>
      <c r="AS9" s="75"/>
    </row>
    <row r="10" spans="1:45" ht="15.75" thickBot="1">
      <c r="A10" s="40"/>
      <c r="B10" s="76" t="s">
        <v>255</v>
      </c>
      <c r="C10" s="64"/>
      <c r="D10" s="64"/>
      <c r="E10" s="41"/>
      <c r="F10" s="77"/>
      <c r="G10" s="77"/>
      <c r="H10" s="77"/>
      <c r="I10" s="77"/>
      <c r="J10" s="40"/>
      <c r="K10" s="40"/>
      <c r="L10" s="40"/>
      <c r="M10" s="40"/>
      <c r="N10" s="40"/>
      <c r="O10" s="78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79"/>
      <c r="AF10" s="80"/>
      <c r="AG10" s="67"/>
      <c r="AH10" s="80"/>
      <c r="AI10" s="80"/>
      <c r="AJ10" s="80"/>
      <c r="AK10" s="80"/>
      <c r="AL10" s="80"/>
      <c r="AM10" s="77"/>
      <c r="AN10" s="77"/>
      <c r="AO10" s="77"/>
      <c r="AP10" s="40"/>
      <c r="AQ10" s="40"/>
      <c r="AR10" s="40"/>
      <c r="AS10" s="68"/>
    </row>
    <row r="11" spans="1:45" ht="15.75" thickBot="1">
      <c r="A11" s="40"/>
      <c r="B11" s="81"/>
      <c r="C11" s="82" t="str">
        <f t="shared" ref="C11:C21" si="0">CONCATENATE("Maintenance ", AS11)</f>
        <v>Maintenance 1</v>
      </c>
      <c r="D11" s="82" t="s">
        <v>256</v>
      </c>
      <c r="E11" s="40"/>
      <c r="F11" s="83">
        <f t="shared" ref="F11:F20" si="1">AO11</f>
        <v>50756.05</v>
      </c>
      <c r="G11" s="83"/>
      <c r="H11" s="83">
        <f>F11*(1.03^3)</f>
        <v>55462.506248350001</v>
      </c>
      <c r="I11" s="83"/>
      <c r="J11" s="84"/>
      <c r="K11" s="84">
        <f t="shared" ref="K11:K21" si="2">+ROUND((IF(F11&gt;=113700,113700*0.062,F11*0.062)+(F11*0.0145)),0)</f>
        <v>3883</v>
      </c>
      <c r="L11" s="84"/>
      <c r="M11" s="84">
        <f>ROUND(7000*0.008,0)</f>
        <v>56</v>
      </c>
      <c r="N11" s="84"/>
      <c r="O11" s="83">
        <f>IF(F11&lt;=9300,F11*0.033,9300*0.033)</f>
        <v>306.90000000000003</v>
      </c>
      <c r="P11" s="84"/>
      <c r="Q11" s="84">
        <f>SUM(K11:O11)</f>
        <v>4245.8999999999996</v>
      </c>
      <c r="R11" s="84"/>
      <c r="S11" s="84">
        <v>7481.8509443099274</v>
      </c>
      <c r="T11" s="84"/>
      <c r="U11" s="84">
        <f>F11*0.03</f>
        <v>1522.6815000000001</v>
      </c>
      <c r="V11" s="84"/>
      <c r="W11" s="84">
        <f>F11*0.04</f>
        <v>2030.2420000000002</v>
      </c>
      <c r="X11" s="84"/>
      <c r="Y11" s="84">
        <v>453.52290556900732</v>
      </c>
      <c r="Z11" s="84"/>
      <c r="AA11" s="84">
        <f>SUM(S11:Y11)</f>
        <v>11488.297349878934</v>
      </c>
      <c r="AB11" s="40"/>
      <c r="AC11" s="85">
        <v>1</v>
      </c>
      <c r="AD11" s="52"/>
      <c r="AE11" s="86">
        <v>21.1</v>
      </c>
      <c r="AF11" s="77"/>
      <c r="AG11" s="65">
        <v>2080</v>
      </c>
      <c r="AH11" s="40"/>
      <c r="AI11" s="87">
        <f>AE11*AG11</f>
        <v>43888</v>
      </c>
      <c r="AJ11" s="83"/>
      <c r="AK11" s="83">
        <v>217</v>
      </c>
      <c r="AL11" s="84"/>
      <c r="AM11" s="88">
        <f>AK11*AE11*1.5</f>
        <v>6868.0500000000011</v>
      </c>
      <c r="AN11" s="84"/>
      <c r="AO11" s="84">
        <f>AM11+AI11</f>
        <v>50756.05</v>
      </c>
      <c r="AP11" s="58"/>
      <c r="AQ11" s="89"/>
      <c r="AR11" s="90"/>
      <c r="AS11" s="91">
        <v>1</v>
      </c>
    </row>
    <row r="12" spans="1:45" ht="15.75" thickBot="1">
      <c r="A12" s="40"/>
      <c r="B12" s="81"/>
      <c r="C12" s="82" t="str">
        <f t="shared" si="0"/>
        <v>Maintenance 2</v>
      </c>
      <c r="D12" s="82" t="s">
        <v>257</v>
      </c>
      <c r="E12" s="41"/>
      <c r="F12" s="83">
        <f t="shared" si="1"/>
        <v>39906.829999999994</v>
      </c>
      <c r="G12" s="83"/>
      <c r="H12" s="83">
        <f t="shared" ref="H12:H21" si="3">F12*(1.03^3)</f>
        <v>43607.270625409998</v>
      </c>
      <c r="I12" s="83"/>
      <c r="J12" s="84"/>
      <c r="K12" s="84">
        <f t="shared" si="2"/>
        <v>3053</v>
      </c>
      <c r="L12" s="84"/>
      <c r="M12" s="84">
        <f t="shared" ref="M12:M21" si="4">ROUND(7000*0.008,0)</f>
        <v>56</v>
      </c>
      <c r="N12" s="84"/>
      <c r="O12" s="83">
        <f t="shared" ref="O12:O21" si="5">IF(F12&lt;=9300,F12*0.033,9300*0.033)</f>
        <v>306.90000000000003</v>
      </c>
      <c r="P12" s="84"/>
      <c r="Q12" s="84">
        <f>SUM(K12:O12)</f>
        <v>3415.9</v>
      </c>
      <c r="R12" s="84"/>
      <c r="S12" s="84">
        <f t="shared" ref="S12:S21" si="6">+S11</f>
        <v>7481.8509443099274</v>
      </c>
      <c r="T12" s="84"/>
      <c r="U12" s="84">
        <f t="shared" ref="U12:U20" si="7">F12*0.03</f>
        <v>1197.2048999999997</v>
      </c>
      <c r="V12" s="84"/>
      <c r="W12" s="84">
        <f t="shared" ref="W12:W20" si="8">F12*0.04</f>
        <v>1596.2731999999999</v>
      </c>
      <c r="X12" s="84"/>
      <c r="Y12" s="84">
        <f>+Y11</f>
        <v>453.52290556900732</v>
      </c>
      <c r="Z12" s="84"/>
      <c r="AA12" s="84">
        <f>SUM(S12:Y12)</f>
        <v>10728.851949878934</v>
      </c>
      <c r="AB12" s="40"/>
      <c r="AC12" s="85">
        <v>1</v>
      </c>
      <c r="AD12" s="52"/>
      <c r="AE12" s="86">
        <v>18.739999999999998</v>
      </c>
      <c r="AF12" s="77"/>
      <c r="AG12" s="65">
        <v>2080</v>
      </c>
      <c r="AH12" s="40"/>
      <c r="AI12" s="87">
        <f t="shared" ref="AI12:AI21" si="9">AE12*AG12</f>
        <v>38979.199999999997</v>
      </c>
      <c r="AJ12" s="83"/>
      <c r="AK12" s="83">
        <v>33</v>
      </c>
      <c r="AL12" s="84"/>
      <c r="AM12" s="88">
        <f t="shared" ref="AM12:AM21" si="10">AK12*AE12*1.5</f>
        <v>927.62999999999988</v>
      </c>
      <c r="AN12" s="84"/>
      <c r="AO12" s="84">
        <f t="shared" ref="AO12:AO21" si="11">AM12+AI12</f>
        <v>39906.829999999994</v>
      </c>
      <c r="AP12" s="58"/>
      <c r="AQ12" s="89"/>
      <c r="AR12" s="90"/>
      <c r="AS12" s="91">
        <f>+AS11+1</f>
        <v>2</v>
      </c>
    </row>
    <row r="13" spans="1:45" ht="15.75" thickBot="1">
      <c r="A13" s="40"/>
      <c r="B13" s="81"/>
      <c r="C13" s="82" t="str">
        <f t="shared" si="0"/>
        <v>Maintenance 3</v>
      </c>
      <c r="D13" s="82" t="s">
        <v>258</v>
      </c>
      <c r="E13" s="41"/>
      <c r="F13" s="83">
        <f t="shared" si="1"/>
        <v>32332.0625</v>
      </c>
      <c r="G13" s="83"/>
      <c r="H13" s="83">
        <f t="shared" si="3"/>
        <v>35330.117659437499</v>
      </c>
      <c r="I13" s="83"/>
      <c r="J13" s="84"/>
      <c r="K13" s="84">
        <f t="shared" si="2"/>
        <v>2473</v>
      </c>
      <c r="L13" s="84"/>
      <c r="M13" s="84">
        <f t="shared" si="4"/>
        <v>56</v>
      </c>
      <c r="N13" s="84"/>
      <c r="O13" s="83">
        <f t="shared" si="5"/>
        <v>306.90000000000003</v>
      </c>
      <c r="P13" s="84"/>
      <c r="Q13" s="84">
        <f>SUM(K13:O13)</f>
        <v>2835.9</v>
      </c>
      <c r="R13" s="84"/>
      <c r="S13" s="84">
        <f t="shared" si="6"/>
        <v>7481.8509443099274</v>
      </c>
      <c r="T13" s="84"/>
      <c r="U13" s="84">
        <f>F13*0.03</f>
        <v>969.96187499999996</v>
      </c>
      <c r="V13" s="84"/>
      <c r="W13" s="84">
        <f>F13*0.04</f>
        <v>1293.2825</v>
      </c>
      <c r="X13" s="84"/>
      <c r="Y13" s="84">
        <f>+Y12</f>
        <v>453.52290556900732</v>
      </c>
      <c r="Z13" s="84"/>
      <c r="AA13" s="84">
        <f>SUM(S13:Y13)</f>
        <v>10198.618224878934</v>
      </c>
      <c r="AB13" s="40"/>
      <c r="AC13" s="85">
        <v>1</v>
      </c>
      <c r="AD13" s="52"/>
      <c r="AE13" s="86">
        <v>14.33</v>
      </c>
      <c r="AF13" s="77"/>
      <c r="AG13" s="65">
        <v>2080</v>
      </c>
      <c r="AH13" s="40"/>
      <c r="AI13" s="87">
        <f t="shared" si="9"/>
        <v>29806.400000000001</v>
      </c>
      <c r="AJ13" s="83"/>
      <c r="AK13" s="83">
        <v>117.5</v>
      </c>
      <c r="AL13" s="84"/>
      <c r="AM13" s="88">
        <f t="shared" si="10"/>
        <v>2525.6625000000004</v>
      </c>
      <c r="AN13" s="84"/>
      <c r="AO13" s="84">
        <f t="shared" si="11"/>
        <v>32332.0625</v>
      </c>
      <c r="AP13" s="58"/>
      <c r="AQ13" s="89"/>
      <c r="AR13" s="90"/>
      <c r="AS13" s="91">
        <f t="shared" ref="AS13:AS21" si="12">+AS12+1</f>
        <v>3</v>
      </c>
    </row>
    <row r="14" spans="1:45" ht="15.75" thickBot="1">
      <c r="A14" s="40"/>
      <c r="B14" s="81"/>
      <c r="C14" s="82" t="str">
        <f t="shared" si="0"/>
        <v>Maintenance 4</v>
      </c>
      <c r="D14" s="82" t="s">
        <v>259</v>
      </c>
      <c r="E14" s="41"/>
      <c r="F14" s="83">
        <f t="shared" si="1"/>
        <v>73654.799999999988</v>
      </c>
      <c r="G14" s="83"/>
      <c r="H14" s="83">
        <f t="shared" si="3"/>
        <v>80484.588639599984</v>
      </c>
      <c r="I14" s="83"/>
      <c r="J14" s="84"/>
      <c r="K14" s="84">
        <f t="shared" si="2"/>
        <v>5635</v>
      </c>
      <c r="L14" s="84"/>
      <c r="M14" s="84">
        <f t="shared" si="4"/>
        <v>56</v>
      </c>
      <c r="N14" s="84"/>
      <c r="O14" s="83">
        <f t="shared" si="5"/>
        <v>306.90000000000003</v>
      </c>
      <c r="P14" s="84"/>
      <c r="Q14" s="84">
        <f t="shared" ref="Q14:Q20" si="13">SUM(K14:O14)</f>
        <v>5997.9</v>
      </c>
      <c r="R14" s="84"/>
      <c r="S14" s="84">
        <f t="shared" si="6"/>
        <v>7481.8509443099274</v>
      </c>
      <c r="T14" s="84"/>
      <c r="U14" s="84">
        <f t="shared" si="7"/>
        <v>2209.6439999999998</v>
      </c>
      <c r="V14" s="84"/>
      <c r="W14" s="84">
        <f t="shared" si="8"/>
        <v>2946.1919999999996</v>
      </c>
      <c r="X14" s="84"/>
      <c r="Y14" s="84">
        <f>+Y13</f>
        <v>453.52290556900732</v>
      </c>
      <c r="Z14" s="84"/>
      <c r="AA14" s="84">
        <f t="shared" ref="AA14:AA19" si="14">SUM(S14:Y14)</f>
        <v>13091.209849878933</v>
      </c>
      <c r="AB14" s="40"/>
      <c r="AC14" s="85">
        <v>1</v>
      </c>
      <c r="AD14" s="52"/>
      <c r="AE14" s="86">
        <v>3068.95</v>
      </c>
      <c r="AF14" s="77"/>
      <c r="AG14" s="65">
        <v>24</v>
      </c>
      <c r="AH14" s="40"/>
      <c r="AI14" s="87">
        <f t="shared" si="9"/>
        <v>73654.799999999988</v>
      </c>
      <c r="AJ14" s="83"/>
      <c r="AK14" s="83">
        <v>0</v>
      </c>
      <c r="AL14" s="84"/>
      <c r="AM14" s="88">
        <f t="shared" si="10"/>
        <v>0</v>
      </c>
      <c r="AN14" s="84"/>
      <c r="AO14" s="84">
        <f t="shared" si="11"/>
        <v>73654.799999999988</v>
      </c>
      <c r="AP14" s="58"/>
      <c r="AQ14" s="89"/>
      <c r="AR14" s="90"/>
      <c r="AS14" s="91">
        <f t="shared" si="12"/>
        <v>4</v>
      </c>
    </row>
    <row r="15" spans="1:45" ht="15.75" thickBot="1">
      <c r="A15" s="40"/>
      <c r="B15" s="81"/>
      <c r="C15" s="82" t="str">
        <f t="shared" si="0"/>
        <v>Maintenance 5</v>
      </c>
      <c r="D15" s="82" t="s">
        <v>260</v>
      </c>
      <c r="E15" s="40"/>
      <c r="F15" s="83">
        <f t="shared" si="1"/>
        <v>51470.21</v>
      </c>
      <c r="G15" s="83"/>
      <c r="H15" s="83">
        <f t="shared" si="3"/>
        <v>56242.888162670002</v>
      </c>
      <c r="I15" s="83"/>
      <c r="J15" s="84"/>
      <c r="K15" s="84">
        <f t="shared" si="2"/>
        <v>3937</v>
      </c>
      <c r="L15" s="84"/>
      <c r="M15" s="84">
        <f t="shared" si="4"/>
        <v>56</v>
      </c>
      <c r="N15" s="84"/>
      <c r="O15" s="83">
        <f t="shared" si="5"/>
        <v>306.90000000000003</v>
      </c>
      <c r="P15" s="84"/>
      <c r="Q15" s="84">
        <f t="shared" si="13"/>
        <v>4299.8999999999996</v>
      </c>
      <c r="R15" s="84"/>
      <c r="S15" s="84">
        <f t="shared" si="6"/>
        <v>7481.8509443099274</v>
      </c>
      <c r="T15" s="84"/>
      <c r="U15" s="84">
        <f t="shared" si="7"/>
        <v>1544.1062999999999</v>
      </c>
      <c r="V15" s="84"/>
      <c r="W15" s="84">
        <f t="shared" si="8"/>
        <v>2058.8083999999999</v>
      </c>
      <c r="X15" s="84"/>
      <c r="Y15" s="84">
        <f t="shared" ref="Y15:Y21" si="15">+Y14</f>
        <v>453.52290556900732</v>
      </c>
      <c r="Z15" s="84"/>
      <c r="AA15" s="84">
        <f t="shared" si="14"/>
        <v>11538.288549878935</v>
      </c>
      <c r="AB15" s="40"/>
      <c r="AC15" s="85">
        <v>1</v>
      </c>
      <c r="AD15" s="52"/>
      <c r="AE15" s="92">
        <v>23.54</v>
      </c>
      <c r="AF15" s="80"/>
      <c r="AG15" s="65">
        <v>2080</v>
      </c>
      <c r="AH15" s="40"/>
      <c r="AI15" s="87">
        <f t="shared" si="9"/>
        <v>48963.199999999997</v>
      </c>
      <c r="AJ15" s="83"/>
      <c r="AK15" s="83">
        <v>71</v>
      </c>
      <c r="AL15" s="84"/>
      <c r="AM15" s="88">
        <f t="shared" si="10"/>
        <v>2507.0099999999998</v>
      </c>
      <c r="AN15" s="84"/>
      <c r="AO15" s="84">
        <f t="shared" si="11"/>
        <v>51470.21</v>
      </c>
      <c r="AP15" s="58"/>
      <c r="AQ15" s="89"/>
      <c r="AR15" s="90"/>
      <c r="AS15" s="91">
        <f t="shared" si="12"/>
        <v>5</v>
      </c>
    </row>
    <row r="16" spans="1:45" ht="15.75" thickBot="1">
      <c r="A16" s="40"/>
      <c r="B16" s="81"/>
      <c r="C16" s="82" t="str">
        <f t="shared" si="0"/>
        <v>Maintenance 6</v>
      </c>
      <c r="D16" s="82" t="s">
        <v>258</v>
      </c>
      <c r="E16" s="40"/>
      <c r="F16" s="83">
        <f t="shared" si="1"/>
        <v>34134.1</v>
      </c>
      <c r="G16" s="83"/>
      <c r="H16" s="83">
        <f t="shared" si="3"/>
        <v>37299.252690699999</v>
      </c>
      <c r="I16" s="83"/>
      <c r="J16" s="84"/>
      <c r="K16" s="84">
        <f t="shared" si="2"/>
        <v>2611</v>
      </c>
      <c r="L16" s="84"/>
      <c r="M16" s="84">
        <f t="shared" si="4"/>
        <v>56</v>
      </c>
      <c r="N16" s="84"/>
      <c r="O16" s="83">
        <f t="shared" si="5"/>
        <v>306.90000000000003</v>
      </c>
      <c r="P16" s="84"/>
      <c r="Q16" s="84">
        <f t="shared" si="13"/>
        <v>2973.9</v>
      </c>
      <c r="R16" s="84"/>
      <c r="S16" s="84">
        <f t="shared" si="6"/>
        <v>7481.8509443099274</v>
      </c>
      <c r="T16" s="84"/>
      <c r="U16" s="84">
        <f t="shared" si="7"/>
        <v>1024.0229999999999</v>
      </c>
      <c r="V16" s="84"/>
      <c r="W16" s="84">
        <f t="shared" si="8"/>
        <v>1365.364</v>
      </c>
      <c r="X16" s="84"/>
      <c r="Y16" s="84">
        <f t="shared" si="15"/>
        <v>453.52290556900732</v>
      </c>
      <c r="Z16" s="84"/>
      <c r="AA16" s="84">
        <f t="shared" si="14"/>
        <v>10324.760849878934</v>
      </c>
      <c r="AB16" s="40"/>
      <c r="AC16" s="85">
        <v>1</v>
      </c>
      <c r="AD16" s="52"/>
      <c r="AE16" s="92">
        <v>15.4</v>
      </c>
      <c r="AF16" s="80"/>
      <c r="AG16" s="65">
        <v>2080</v>
      </c>
      <c r="AH16" s="40"/>
      <c r="AI16" s="87">
        <f t="shared" si="9"/>
        <v>32032</v>
      </c>
      <c r="AJ16" s="83"/>
      <c r="AK16" s="83">
        <v>91</v>
      </c>
      <c r="AL16" s="84"/>
      <c r="AM16" s="88">
        <f t="shared" si="10"/>
        <v>2102.1000000000004</v>
      </c>
      <c r="AN16" s="84"/>
      <c r="AO16" s="84">
        <f t="shared" si="11"/>
        <v>34134.1</v>
      </c>
      <c r="AP16" s="58"/>
      <c r="AQ16" s="89"/>
      <c r="AR16" s="90"/>
      <c r="AS16" s="91">
        <f t="shared" si="12"/>
        <v>6</v>
      </c>
    </row>
    <row r="17" spans="1:45" ht="15.75" thickBot="1">
      <c r="A17" s="40"/>
      <c r="B17" s="81"/>
      <c r="C17" s="82" t="str">
        <f t="shared" si="0"/>
        <v>Maintenance 7</v>
      </c>
      <c r="D17" s="82" t="s">
        <v>257</v>
      </c>
      <c r="E17" s="40"/>
      <c r="F17" s="83">
        <f t="shared" si="1"/>
        <v>40127.425000000003</v>
      </c>
      <c r="G17" s="83"/>
      <c r="H17" s="83">
        <f t="shared" si="3"/>
        <v>43848.320737975002</v>
      </c>
      <c r="I17" s="83"/>
      <c r="J17" s="84"/>
      <c r="K17" s="84">
        <f t="shared" si="2"/>
        <v>3070</v>
      </c>
      <c r="L17" s="84"/>
      <c r="M17" s="84">
        <f t="shared" si="4"/>
        <v>56</v>
      </c>
      <c r="N17" s="84"/>
      <c r="O17" s="83">
        <f t="shared" si="5"/>
        <v>306.90000000000003</v>
      </c>
      <c r="P17" s="84"/>
      <c r="Q17" s="84">
        <f t="shared" si="13"/>
        <v>3432.9</v>
      </c>
      <c r="R17" s="84"/>
      <c r="S17" s="84">
        <f t="shared" si="6"/>
        <v>7481.8509443099274</v>
      </c>
      <c r="T17" s="84"/>
      <c r="U17" s="84">
        <f t="shared" si="7"/>
        <v>1203.82275</v>
      </c>
      <c r="V17" s="84"/>
      <c r="W17" s="84">
        <f t="shared" si="8"/>
        <v>1605.0970000000002</v>
      </c>
      <c r="X17" s="84"/>
      <c r="Y17" s="84">
        <f t="shared" si="15"/>
        <v>453.52290556900732</v>
      </c>
      <c r="Z17" s="84"/>
      <c r="AA17" s="84">
        <f t="shared" si="14"/>
        <v>10744.293599878934</v>
      </c>
      <c r="AB17" s="40"/>
      <c r="AC17" s="85">
        <v>1</v>
      </c>
      <c r="AD17" s="52"/>
      <c r="AE17" s="92">
        <v>18.46</v>
      </c>
      <c r="AF17" s="80"/>
      <c r="AG17" s="65">
        <v>2080</v>
      </c>
      <c r="AH17" s="40"/>
      <c r="AI17" s="87">
        <f t="shared" si="9"/>
        <v>38396.800000000003</v>
      </c>
      <c r="AJ17" s="83"/>
      <c r="AK17" s="83">
        <v>62.5</v>
      </c>
      <c r="AL17" s="84"/>
      <c r="AM17" s="88">
        <f t="shared" si="10"/>
        <v>1730.625</v>
      </c>
      <c r="AN17" s="84"/>
      <c r="AO17" s="84">
        <f t="shared" si="11"/>
        <v>40127.425000000003</v>
      </c>
      <c r="AP17" s="58"/>
      <c r="AQ17" s="89"/>
      <c r="AR17" s="90"/>
      <c r="AS17" s="91">
        <f t="shared" si="12"/>
        <v>7</v>
      </c>
    </row>
    <row r="18" spans="1:45" ht="15.75" thickBot="1">
      <c r="A18" s="40"/>
      <c r="B18" s="81"/>
      <c r="C18" s="82" t="str">
        <f t="shared" si="0"/>
        <v>Maintenance 8</v>
      </c>
      <c r="D18" s="82" t="s">
        <v>258</v>
      </c>
      <c r="E18" s="40"/>
      <c r="F18" s="83">
        <f t="shared" si="1"/>
        <v>26858.28</v>
      </c>
      <c r="G18" s="83"/>
      <c r="H18" s="83">
        <f t="shared" si="3"/>
        <v>29348.767729560001</v>
      </c>
      <c r="I18" s="83"/>
      <c r="J18" s="84"/>
      <c r="K18" s="84">
        <f t="shared" si="2"/>
        <v>2055</v>
      </c>
      <c r="L18" s="84"/>
      <c r="M18" s="84">
        <f t="shared" si="4"/>
        <v>56</v>
      </c>
      <c r="N18" s="84"/>
      <c r="O18" s="83">
        <f t="shared" si="5"/>
        <v>306.90000000000003</v>
      </c>
      <c r="P18" s="84"/>
      <c r="Q18" s="84">
        <f t="shared" si="13"/>
        <v>2417.9</v>
      </c>
      <c r="R18" s="84"/>
      <c r="S18" s="84">
        <f t="shared" si="6"/>
        <v>7481.8509443099274</v>
      </c>
      <c r="T18" s="84"/>
      <c r="U18" s="84">
        <f t="shared" si="7"/>
        <v>805.74839999999995</v>
      </c>
      <c r="V18" s="84"/>
      <c r="W18" s="84">
        <f t="shared" si="8"/>
        <v>1074.3312000000001</v>
      </c>
      <c r="X18" s="84"/>
      <c r="Y18" s="84">
        <f t="shared" si="15"/>
        <v>453.52290556900732</v>
      </c>
      <c r="Z18" s="84"/>
      <c r="AA18" s="84">
        <f t="shared" si="14"/>
        <v>9815.4534498789344</v>
      </c>
      <c r="AB18" s="40"/>
      <c r="AC18" s="85">
        <v>1</v>
      </c>
      <c r="AD18" s="52"/>
      <c r="AE18" s="92">
        <v>12.36</v>
      </c>
      <c r="AF18" s="80"/>
      <c r="AG18" s="65">
        <v>2080</v>
      </c>
      <c r="AH18" s="40"/>
      <c r="AI18" s="87">
        <f t="shared" si="9"/>
        <v>25708.799999999999</v>
      </c>
      <c r="AJ18" s="83"/>
      <c r="AK18" s="83">
        <v>62</v>
      </c>
      <c r="AL18" s="84"/>
      <c r="AM18" s="88">
        <f t="shared" si="10"/>
        <v>1149.48</v>
      </c>
      <c r="AN18" s="84"/>
      <c r="AO18" s="84">
        <f t="shared" si="11"/>
        <v>26858.28</v>
      </c>
      <c r="AP18" s="58"/>
      <c r="AQ18" s="89"/>
      <c r="AR18" s="90"/>
      <c r="AS18" s="91">
        <f t="shared" si="12"/>
        <v>8</v>
      </c>
    </row>
    <row r="19" spans="1:45" ht="15.75" thickBot="1">
      <c r="A19" s="40"/>
      <c r="B19" s="81"/>
      <c r="C19" s="82" t="str">
        <f t="shared" si="0"/>
        <v>Maintenance 9</v>
      </c>
      <c r="D19" s="82" t="s">
        <v>258</v>
      </c>
      <c r="E19" s="40"/>
      <c r="F19" s="83">
        <f t="shared" si="1"/>
        <v>33866.157500000001</v>
      </c>
      <c r="G19" s="83"/>
      <c r="H19" s="83">
        <f t="shared" si="3"/>
        <v>37006.464686502499</v>
      </c>
      <c r="I19" s="83"/>
      <c r="J19" s="84"/>
      <c r="K19" s="84">
        <f t="shared" si="2"/>
        <v>2591</v>
      </c>
      <c r="L19" s="84"/>
      <c r="M19" s="84">
        <f t="shared" si="4"/>
        <v>56</v>
      </c>
      <c r="N19" s="84"/>
      <c r="O19" s="83">
        <f t="shared" si="5"/>
        <v>306.90000000000003</v>
      </c>
      <c r="P19" s="84"/>
      <c r="Q19" s="84">
        <f t="shared" si="13"/>
        <v>2953.9</v>
      </c>
      <c r="R19" s="84"/>
      <c r="S19" s="84">
        <f t="shared" si="6"/>
        <v>7481.8509443099274</v>
      </c>
      <c r="T19" s="84"/>
      <c r="U19" s="84">
        <f t="shared" si="7"/>
        <v>1015.984725</v>
      </c>
      <c r="V19" s="84"/>
      <c r="W19" s="84">
        <f t="shared" si="8"/>
        <v>1354.6463000000001</v>
      </c>
      <c r="X19" s="84"/>
      <c r="Y19" s="84">
        <f t="shared" si="15"/>
        <v>453.52290556900732</v>
      </c>
      <c r="Z19" s="84"/>
      <c r="AA19" s="84">
        <f t="shared" si="14"/>
        <v>10306.004874878934</v>
      </c>
      <c r="AB19" s="40"/>
      <c r="AC19" s="85">
        <v>1</v>
      </c>
      <c r="AD19" s="52"/>
      <c r="AE19" s="92">
        <v>14.99</v>
      </c>
      <c r="AF19" s="80"/>
      <c r="AG19" s="65">
        <v>2080</v>
      </c>
      <c r="AH19" s="40"/>
      <c r="AI19" s="87">
        <f t="shared" si="9"/>
        <v>31179.200000000001</v>
      </c>
      <c r="AJ19" s="83"/>
      <c r="AK19" s="83">
        <v>119.5</v>
      </c>
      <c r="AL19" s="84"/>
      <c r="AM19" s="88">
        <f t="shared" si="10"/>
        <v>2686.9575</v>
      </c>
      <c r="AN19" s="84"/>
      <c r="AO19" s="84">
        <f t="shared" si="11"/>
        <v>33866.157500000001</v>
      </c>
      <c r="AP19" s="58"/>
      <c r="AQ19" s="89"/>
      <c r="AR19" s="90"/>
      <c r="AS19" s="91">
        <f t="shared" si="12"/>
        <v>9</v>
      </c>
    </row>
    <row r="20" spans="1:45" ht="15.75" thickBot="1">
      <c r="A20" s="40"/>
      <c r="B20" s="40"/>
      <c r="C20" s="82" t="str">
        <f t="shared" si="0"/>
        <v>Maintenance 10</v>
      </c>
      <c r="D20" s="82" t="s">
        <v>257</v>
      </c>
      <c r="E20" s="41"/>
      <c r="F20" s="83">
        <f t="shared" si="1"/>
        <v>42966.3</v>
      </c>
      <c r="G20" s="83"/>
      <c r="H20" s="83">
        <f t="shared" si="3"/>
        <v>46950.4361001</v>
      </c>
      <c r="I20" s="83"/>
      <c r="J20" s="84"/>
      <c r="K20" s="84">
        <f t="shared" si="2"/>
        <v>3287</v>
      </c>
      <c r="L20" s="84"/>
      <c r="M20" s="84">
        <f t="shared" si="4"/>
        <v>56</v>
      </c>
      <c r="N20" s="84"/>
      <c r="O20" s="83">
        <f t="shared" si="5"/>
        <v>306.90000000000003</v>
      </c>
      <c r="P20" s="84"/>
      <c r="Q20" s="84">
        <f t="shared" si="13"/>
        <v>3649.9</v>
      </c>
      <c r="R20" s="84"/>
      <c r="S20" s="84">
        <f t="shared" si="6"/>
        <v>7481.8509443099274</v>
      </c>
      <c r="T20" s="84"/>
      <c r="U20" s="84">
        <f t="shared" si="7"/>
        <v>1288.989</v>
      </c>
      <c r="V20" s="84"/>
      <c r="W20" s="84">
        <f t="shared" si="8"/>
        <v>1718.652</v>
      </c>
      <c r="X20" s="84"/>
      <c r="Y20" s="84">
        <f t="shared" si="15"/>
        <v>453.52290556900732</v>
      </c>
      <c r="Z20" s="84"/>
      <c r="AA20" s="84">
        <f>SUM(S20:Y20)</f>
        <v>10943.014849878935</v>
      </c>
      <c r="AB20" s="40"/>
      <c r="AC20" s="85">
        <v>1</v>
      </c>
      <c r="AD20" s="52"/>
      <c r="AE20" s="92">
        <v>17.940000000000001</v>
      </c>
      <c r="AF20" s="80"/>
      <c r="AG20" s="65">
        <v>2080</v>
      </c>
      <c r="AH20" s="80"/>
      <c r="AI20" s="87">
        <f t="shared" si="9"/>
        <v>37315.200000000004</v>
      </c>
      <c r="AJ20" s="83"/>
      <c r="AK20" s="83">
        <v>210</v>
      </c>
      <c r="AL20" s="84"/>
      <c r="AM20" s="88">
        <f t="shared" si="10"/>
        <v>5651.1</v>
      </c>
      <c r="AN20" s="83"/>
      <c r="AO20" s="84">
        <f t="shared" si="11"/>
        <v>42966.3</v>
      </c>
      <c r="AP20" s="58"/>
      <c r="AQ20" s="89"/>
      <c r="AR20" s="90"/>
      <c r="AS20" s="91">
        <f t="shared" si="12"/>
        <v>10</v>
      </c>
    </row>
    <row r="21" spans="1:45" ht="15.75" thickBot="1">
      <c r="A21" s="40"/>
      <c r="B21" s="40"/>
      <c r="C21" s="82" t="str">
        <f t="shared" si="0"/>
        <v>Maintenance 11</v>
      </c>
      <c r="D21" s="82" t="s">
        <v>261</v>
      </c>
      <c r="E21" s="41"/>
      <c r="F21" s="83">
        <f t="shared" ref="F21" si="16">AO21*1.03</f>
        <v>38883.308550000002</v>
      </c>
      <c r="G21" s="83"/>
      <c r="H21" s="83">
        <f t="shared" si="3"/>
        <v>42488.841101915852</v>
      </c>
      <c r="I21" s="83"/>
      <c r="J21" s="84"/>
      <c r="K21" s="84">
        <f t="shared" si="2"/>
        <v>2975</v>
      </c>
      <c r="L21" s="84"/>
      <c r="M21" s="84">
        <f t="shared" si="4"/>
        <v>56</v>
      </c>
      <c r="N21" s="84"/>
      <c r="O21" s="83">
        <f t="shared" si="5"/>
        <v>306.90000000000003</v>
      </c>
      <c r="P21" s="84"/>
      <c r="Q21" s="84">
        <f>SUM(K21:O21)</f>
        <v>3337.9</v>
      </c>
      <c r="R21" s="84"/>
      <c r="S21" s="84">
        <f t="shared" si="6"/>
        <v>7481.8509443099274</v>
      </c>
      <c r="T21" s="84"/>
      <c r="U21" s="84">
        <f>F21*0.03</f>
        <v>1166.4992565</v>
      </c>
      <c r="V21" s="84"/>
      <c r="W21" s="84">
        <f>F21*0.04</f>
        <v>1555.3323420000002</v>
      </c>
      <c r="X21" s="84"/>
      <c r="Y21" s="84">
        <f t="shared" si="15"/>
        <v>453.52290556900732</v>
      </c>
      <c r="Z21" s="84"/>
      <c r="AA21" s="84">
        <f>SUM(S21:Y21)</f>
        <v>10657.205448378934</v>
      </c>
      <c r="AB21" s="40"/>
      <c r="AC21" s="85">
        <v>1</v>
      </c>
      <c r="AD21" s="52"/>
      <c r="AE21" s="92">
        <v>16.98</v>
      </c>
      <c r="AF21" s="80"/>
      <c r="AG21" s="65">
        <v>2080</v>
      </c>
      <c r="AH21" s="80"/>
      <c r="AI21" s="87">
        <f t="shared" si="9"/>
        <v>35318.400000000001</v>
      </c>
      <c r="AJ21" s="83"/>
      <c r="AK21" s="83">
        <v>95.5</v>
      </c>
      <c r="AL21" s="84"/>
      <c r="AM21" s="88">
        <f t="shared" si="10"/>
        <v>2432.3850000000002</v>
      </c>
      <c r="AN21" s="83"/>
      <c r="AO21" s="84">
        <f t="shared" si="11"/>
        <v>37750.785000000003</v>
      </c>
      <c r="AP21" s="58"/>
      <c r="AQ21" s="89"/>
      <c r="AR21" s="90"/>
      <c r="AS21" s="91">
        <f t="shared" si="12"/>
        <v>11</v>
      </c>
    </row>
    <row r="22" spans="1:45" ht="15">
      <c r="A22" s="40"/>
      <c r="B22" s="40"/>
      <c r="C22" s="82"/>
      <c r="D22" s="82"/>
      <c r="E22" s="41"/>
      <c r="F22" s="83"/>
      <c r="G22" s="83"/>
      <c r="H22" s="83"/>
      <c r="I22" s="83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40"/>
      <c r="AC22" s="52"/>
      <c r="AD22" s="52"/>
      <c r="AE22" s="92"/>
      <c r="AF22" s="80"/>
      <c r="AG22" s="67"/>
      <c r="AH22" s="80"/>
      <c r="AI22" s="84"/>
      <c r="AJ22" s="84"/>
      <c r="AK22" s="84"/>
      <c r="AL22" s="84"/>
      <c r="AM22" s="83"/>
      <c r="AN22" s="83"/>
      <c r="AO22" s="83"/>
      <c r="AP22" s="41"/>
      <c r="AQ22" s="93"/>
      <c r="AR22" s="90"/>
      <c r="AS22" s="68"/>
    </row>
    <row r="23" spans="1:45" ht="15.75" thickBot="1">
      <c r="A23" s="64"/>
      <c r="B23" s="76" t="s">
        <v>262</v>
      </c>
      <c r="C23" s="64"/>
      <c r="D23" s="64"/>
      <c r="E23" s="64"/>
      <c r="F23" s="83"/>
      <c r="G23" s="83"/>
      <c r="H23" s="83"/>
      <c r="I23" s="83"/>
      <c r="J23" s="83"/>
      <c r="K23" s="83"/>
      <c r="L23" s="83"/>
      <c r="M23" s="83"/>
      <c r="N23" s="83"/>
      <c r="O23" s="84"/>
      <c r="P23" s="83"/>
      <c r="Q23" s="83"/>
      <c r="R23" s="83"/>
      <c r="S23" s="83"/>
      <c r="T23" s="83"/>
      <c r="U23" s="84"/>
      <c r="V23" s="83"/>
      <c r="W23" s="83"/>
      <c r="X23" s="83"/>
      <c r="Y23" s="83"/>
      <c r="Z23" s="83"/>
      <c r="AA23" s="84"/>
      <c r="AB23" s="64"/>
      <c r="AC23" s="52"/>
      <c r="AD23" s="52"/>
      <c r="AE23" s="92"/>
      <c r="AF23" s="77"/>
      <c r="AG23" s="61"/>
      <c r="AH23" s="77"/>
      <c r="AI23" s="83"/>
      <c r="AJ23" s="83"/>
      <c r="AK23" s="83"/>
      <c r="AL23" s="83"/>
      <c r="AM23" s="83"/>
      <c r="AN23" s="83"/>
      <c r="AO23" s="83"/>
      <c r="AP23" s="41"/>
      <c r="AQ23" s="93"/>
      <c r="AR23" s="90"/>
      <c r="AS23" s="68"/>
    </row>
    <row r="24" spans="1:45" ht="15.75" thickBot="1">
      <c r="A24" s="64"/>
      <c r="B24" s="76"/>
      <c r="C24" s="82" t="str">
        <f>CONCATENATE("Supervisory ", AS24)</f>
        <v>Supervisory 1</v>
      </c>
      <c r="D24" s="82" t="s">
        <v>263</v>
      </c>
      <c r="E24" s="64"/>
      <c r="F24" s="83">
        <f>AO24</f>
        <v>124819.20000000001</v>
      </c>
      <c r="G24" s="83"/>
      <c r="H24" s="83">
        <f t="shared" ref="H24:H28" si="17">F24*(1.03^3)</f>
        <v>136393.3099584</v>
      </c>
      <c r="I24" s="83"/>
      <c r="J24" s="83"/>
      <c r="K24" s="84">
        <f>+ROUND((IF(F24&gt;=113700,113700*0.062,F24*0.062)+(F24*0.0145)),0)</f>
        <v>8859</v>
      </c>
      <c r="L24" s="84"/>
      <c r="M24" s="84">
        <f>ROUND(7000*0.008,0)</f>
        <v>56</v>
      </c>
      <c r="N24" s="84"/>
      <c r="O24" s="83">
        <f>IF(F24&lt;=9300,F24*0.033,9300*0.033)</f>
        <v>306.90000000000003</v>
      </c>
      <c r="P24" s="84"/>
      <c r="Q24" s="84">
        <f>SUM(K24:O24)</f>
        <v>9221.9</v>
      </c>
      <c r="R24" s="84"/>
      <c r="S24" s="84">
        <f>+S21</f>
        <v>7481.8509443099274</v>
      </c>
      <c r="T24" s="84"/>
      <c r="U24" s="84">
        <f>F24*0.03</f>
        <v>3744.576</v>
      </c>
      <c r="V24" s="84"/>
      <c r="W24" s="84">
        <f>F24*0.04</f>
        <v>4992.7680000000009</v>
      </c>
      <c r="X24" s="84"/>
      <c r="Y24" s="84">
        <f>+Y21</f>
        <v>453.52290556900732</v>
      </c>
      <c r="Z24" s="84"/>
      <c r="AA24" s="84">
        <f>SUM(S24:Y24)</f>
        <v>16672.717849878936</v>
      </c>
      <c r="AB24" s="64"/>
      <c r="AC24" s="85">
        <v>0.21677963406806305</v>
      </c>
      <c r="AD24" s="52"/>
      <c r="AE24" s="92">
        <v>5200.8</v>
      </c>
      <c r="AF24" s="77"/>
      <c r="AG24" s="61">
        <v>24</v>
      </c>
      <c r="AH24" s="77"/>
      <c r="AI24" s="87">
        <f>AE24*AG24</f>
        <v>124819.20000000001</v>
      </c>
      <c r="AJ24" s="83"/>
      <c r="AK24" s="83"/>
      <c r="AL24" s="83"/>
      <c r="AM24" s="83"/>
      <c r="AN24" s="83"/>
      <c r="AO24" s="84">
        <f t="shared" ref="AO24:AO28" si="18">AM24+AI24</f>
        <v>124819.20000000001</v>
      </c>
      <c r="AP24" s="41"/>
      <c r="AQ24" s="41"/>
      <c r="AR24" s="64"/>
      <c r="AS24" s="68">
        <v>1</v>
      </c>
    </row>
    <row r="25" spans="1:45" ht="15.75" thickBot="1">
      <c r="A25" s="40"/>
      <c r="B25" s="81"/>
      <c r="C25" s="82" t="str">
        <f>CONCATENATE("Supervisory ", AS25)</f>
        <v>Supervisory 2</v>
      </c>
      <c r="D25" s="82" t="s">
        <v>264</v>
      </c>
      <c r="E25" s="41"/>
      <c r="F25" s="83">
        <f>AO25</f>
        <v>184997.52</v>
      </c>
      <c r="G25" s="83"/>
      <c r="H25" s="83">
        <f t="shared" si="17"/>
        <v>202151.78503703998</v>
      </c>
      <c r="I25" s="83"/>
      <c r="J25" s="84"/>
      <c r="K25" s="84">
        <f>+ROUND((IF(F25&gt;=113700,113700*0.062,F25*0.062)+(F25*0.0145)),0)</f>
        <v>9732</v>
      </c>
      <c r="L25" s="84"/>
      <c r="M25" s="84">
        <f>ROUND(7000*0.008,0)</f>
        <v>56</v>
      </c>
      <c r="N25" s="84"/>
      <c r="O25" s="83">
        <f>IF(F25&lt;=9300,F25*0.033,9300*0.033)</f>
        <v>306.90000000000003</v>
      </c>
      <c r="P25" s="84"/>
      <c r="Q25" s="84">
        <f>SUM(K25:O25)</f>
        <v>10094.9</v>
      </c>
      <c r="R25" s="84"/>
      <c r="S25" s="84">
        <f>S11</f>
        <v>7481.8509443099274</v>
      </c>
      <c r="T25" s="84"/>
      <c r="U25" s="84">
        <f>F25*0.03</f>
        <v>5549.9255999999996</v>
      </c>
      <c r="V25" s="84"/>
      <c r="W25" s="84">
        <f>F25*0.04</f>
        <v>7399.9007999999994</v>
      </c>
      <c r="X25" s="84"/>
      <c r="Y25" s="84">
        <f>Y11</f>
        <v>453.52290556900732</v>
      </c>
      <c r="Z25" s="84"/>
      <c r="AA25" s="84">
        <f>SUM(S25:Y25)</f>
        <v>20885.200249878933</v>
      </c>
      <c r="AB25" s="40"/>
      <c r="AC25" s="85">
        <v>6.9774677565532461E-2</v>
      </c>
      <c r="AD25" s="52"/>
      <c r="AE25" s="86">
        <v>7708.23</v>
      </c>
      <c r="AF25" s="77"/>
      <c r="AG25" s="65">
        <v>24</v>
      </c>
      <c r="AH25" s="40"/>
      <c r="AI25" s="87">
        <f>AE25*AG25</f>
        <v>184997.52</v>
      </c>
      <c r="AJ25" s="83"/>
      <c r="AK25" s="83"/>
      <c r="AL25" s="84"/>
      <c r="AM25" s="88"/>
      <c r="AN25" s="84"/>
      <c r="AO25" s="84">
        <f t="shared" si="18"/>
        <v>184997.52</v>
      </c>
      <c r="AP25" s="58"/>
      <c r="AQ25" s="59"/>
      <c r="AR25" s="70"/>
      <c r="AS25" s="91">
        <f>+AS24+1</f>
        <v>2</v>
      </c>
    </row>
    <row r="26" spans="1:45" ht="15.75" thickBot="1">
      <c r="A26" s="40"/>
      <c r="B26" s="81"/>
      <c r="C26" s="82" t="str">
        <f>CONCATENATE("Supervisory ", AS26)</f>
        <v>Supervisory 3</v>
      </c>
      <c r="D26" s="82" t="s">
        <v>265</v>
      </c>
      <c r="E26" s="41"/>
      <c r="F26" s="83">
        <f>AO26</f>
        <v>69913.200000000012</v>
      </c>
      <c r="G26" s="83"/>
      <c r="H26" s="83">
        <f t="shared" si="17"/>
        <v>76396.041296400013</v>
      </c>
      <c r="I26" s="83"/>
      <c r="J26" s="84"/>
      <c r="K26" s="84">
        <f>+ROUND((IF(F26&gt;=113700,113700*0.062,F26*0.062)+(F26*0.0145)),0)</f>
        <v>5348</v>
      </c>
      <c r="L26" s="84"/>
      <c r="M26" s="84">
        <f>ROUND(7000*0.008,0)</f>
        <v>56</v>
      </c>
      <c r="N26" s="84"/>
      <c r="O26" s="83">
        <f>IF(F26&lt;=9300,F26*0.033,9300*0.033)</f>
        <v>306.90000000000003</v>
      </c>
      <c r="P26" s="84"/>
      <c r="Q26" s="84">
        <f>SUM(K26:O26)</f>
        <v>5710.9</v>
      </c>
      <c r="R26" s="84"/>
      <c r="S26" s="84">
        <f>S12</f>
        <v>7481.8509443099274</v>
      </c>
      <c r="T26" s="84"/>
      <c r="U26" s="84">
        <f>F26*0.03</f>
        <v>2097.3960000000002</v>
      </c>
      <c r="V26" s="84"/>
      <c r="W26" s="84">
        <f>F26*0.04</f>
        <v>2796.5280000000007</v>
      </c>
      <c r="X26" s="84"/>
      <c r="Y26" s="84">
        <f>+Y25</f>
        <v>453.52290556900732</v>
      </c>
      <c r="Z26" s="84"/>
      <c r="AA26" s="84">
        <f>SUM(S26:Y26)</f>
        <v>12829.297849878934</v>
      </c>
      <c r="AB26" s="40"/>
      <c r="AC26" s="85">
        <v>6.9774677565532461E-2</v>
      </c>
      <c r="AD26" s="52"/>
      <c r="AE26" s="86">
        <v>2913.05</v>
      </c>
      <c r="AF26" s="77"/>
      <c r="AG26" s="65">
        <v>24</v>
      </c>
      <c r="AH26" s="40"/>
      <c r="AI26" s="87">
        <f>AE26*AG26</f>
        <v>69913.200000000012</v>
      </c>
      <c r="AJ26" s="83"/>
      <c r="AK26" s="83"/>
      <c r="AL26" s="84"/>
      <c r="AM26" s="88"/>
      <c r="AN26" s="84"/>
      <c r="AO26" s="84">
        <f t="shared" si="18"/>
        <v>69913.200000000012</v>
      </c>
      <c r="AP26" s="58"/>
      <c r="AQ26" s="59"/>
      <c r="AR26" s="70"/>
      <c r="AS26" s="91">
        <f t="shared" ref="AS26:AS28" si="19">+AS25+1</f>
        <v>3</v>
      </c>
    </row>
    <row r="27" spans="1:45" ht="15.75" thickBot="1">
      <c r="A27" s="40"/>
      <c r="B27" s="81"/>
      <c r="C27" s="82" t="str">
        <f>CONCATENATE("Supervisory ", AS27)</f>
        <v>Supervisory 4</v>
      </c>
      <c r="D27" s="82" t="s">
        <v>266</v>
      </c>
      <c r="E27" s="41"/>
      <c r="F27" s="83">
        <f>AO27</f>
        <v>72407.040000000008</v>
      </c>
      <c r="G27" s="83"/>
      <c r="H27" s="83">
        <f t="shared" si="17"/>
        <v>79121.127598080013</v>
      </c>
      <c r="I27" s="83"/>
      <c r="J27" s="84"/>
      <c r="K27" s="84">
        <f>+ROUND((IF(F27&gt;=113700,113700*0.062,F27*0.062)+(F27*0.0145)),0)</f>
        <v>5539</v>
      </c>
      <c r="L27" s="84"/>
      <c r="M27" s="84">
        <f>ROUND(7000*0.008,0)</f>
        <v>56</v>
      </c>
      <c r="N27" s="84"/>
      <c r="O27" s="83">
        <f>IF(F27&lt;=9300,F27*0.033,9300*0.033)</f>
        <v>306.90000000000003</v>
      </c>
      <c r="P27" s="84"/>
      <c r="Q27" s="84">
        <f>SUM(K27:O27)</f>
        <v>5901.9</v>
      </c>
      <c r="R27" s="84"/>
      <c r="S27" s="84">
        <f>S14</f>
        <v>7481.8509443099274</v>
      </c>
      <c r="T27" s="84"/>
      <c r="U27" s="84">
        <f>F27*0.03</f>
        <v>2172.2112000000002</v>
      </c>
      <c r="V27" s="84"/>
      <c r="W27" s="84">
        <f>F27*0.04</f>
        <v>2896.2816000000003</v>
      </c>
      <c r="X27" s="84"/>
      <c r="Y27" s="84">
        <f>+Y26</f>
        <v>453.52290556900732</v>
      </c>
      <c r="Z27" s="84"/>
      <c r="AA27" s="84">
        <f>SUM(S27:Y27)</f>
        <v>13003.866649878935</v>
      </c>
      <c r="AB27" s="40"/>
      <c r="AC27" s="85">
        <v>6.9774677565532461E-2</v>
      </c>
      <c r="AD27" s="52"/>
      <c r="AE27" s="86">
        <v>3016.96</v>
      </c>
      <c r="AF27" s="77"/>
      <c r="AG27" s="65">
        <v>24</v>
      </c>
      <c r="AH27" s="40"/>
      <c r="AI27" s="87">
        <f>AE27*AG27</f>
        <v>72407.040000000008</v>
      </c>
      <c r="AJ27" s="83"/>
      <c r="AK27" s="83"/>
      <c r="AL27" s="84"/>
      <c r="AM27" s="88"/>
      <c r="AN27" s="84"/>
      <c r="AO27" s="84">
        <f t="shared" si="18"/>
        <v>72407.040000000008</v>
      </c>
      <c r="AP27" s="58"/>
      <c r="AQ27" s="59"/>
      <c r="AR27" s="70"/>
      <c r="AS27" s="91">
        <f t="shared" si="19"/>
        <v>4</v>
      </c>
    </row>
    <row r="28" spans="1:45" ht="15.75" thickBot="1">
      <c r="A28" s="40"/>
      <c r="B28" s="40"/>
      <c r="C28" s="82" t="str">
        <f>CONCATENATE("Supervisory ", AS28)</f>
        <v>Supervisory 5</v>
      </c>
      <c r="D28" s="82" t="s">
        <v>267</v>
      </c>
      <c r="E28" s="41"/>
      <c r="F28" s="83">
        <f>AO28</f>
        <v>60864.479999999996</v>
      </c>
      <c r="G28" s="83"/>
      <c r="H28" s="83">
        <f t="shared" si="17"/>
        <v>66508.260636959996</v>
      </c>
      <c r="I28" s="83"/>
      <c r="J28" s="84"/>
      <c r="K28" s="84">
        <f>+ROUND((IF(F28&gt;=113700,113700*0.062,F28*0.062)+(F28*0.0145)),0)</f>
        <v>4656</v>
      </c>
      <c r="L28" s="84"/>
      <c r="M28" s="84">
        <f>ROUND(7000*0.008,0)</f>
        <v>56</v>
      </c>
      <c r="N28" s="84"/>
      <c r="O28" s="83">
        <f>IF(F28&lt;=9300,F28*0.033,9300*0.033)</f>
        <v>306.90000000000003</v>
      </c>
      <c r="P28" s="84"/>
      <c r="Q28" s="84">
        <f>SUM(K28:O28)</f>
        <v>5018.8999999999996</v>
      </c>
      <c r="R28" s="84"/>
      <c r="S28" s="84">
        <f>S15</f>
        <v>7481.8509443099274</v>
      </c>
      <c r="T28" s="84"/>
      <c r="U28" s="84">
        <f>F28*0.03</f>
        <v>1825.9343999999999</v>
      </c>
      <c r="V28" s="84"/>
      <c r="W28" s="84">
        <f>F28*0.04</f>
        <v>2434.5791999999997</v>
      </c>
      <c r="X28" s="84"/>
      <c r="Y28" s="84">
        <f>Y12</f>
        <v>453.52290556900732</v>
      </c>
      <c r="Z28" s="84"/>
      <c r="AA28" s="84">
        <f>SUM(S28:Y28)</f>
        <v>12195.887449878934</v>
      </c>
      <c r="AB28" s="40"/>
      <c r="AC28" s="85">
        <v>6.9774677565532461E-2</v>
      </c>
      <c r="AD28" s="64"/>
      <c r="AE28" s="94">
        <v>2536.02</v>
      </c>
      <c r="AF28" s="40"/>
      <c r="AG28" s="65">
        <v>24</v>
      </c>
      <c r="AH28" s="40"/>
      <c r="AI28" s="87">
        <f>AE28*AG28</f>
        <v>60864.479999999996</v>
      </c>
      <c r="AJ28" s="83"/>
      <c r="AK28" s="83"/>
      <c r="AL28" s="40"/>
      <c r="AM28" s="95"/>
      <c r="AN28" s="40"/>
      <c r="AO28" s="96">
        <f t="shared" si="18"/>
        <v>60864.479999999996</v>
      </c>
      <c r="AP28" s="58"/>
      <c r="AQ28" s="40"/>
      <c r="AR28" s="40"/>
      <c r="AS28" s="91">
        <f t="shared" si="19"/>
        <v>5</v>
      </c>
    </row>
    <row r="29" spans="1:45" ht="15">
      <c r="A29" s="40"/>
      <c r="B29" s="40"/>
      <c r="C29" s="40"/>
      <c r="D29" s="40"/>
      <c r="E29" s="40"/>
      <c r="F29" s="83"/>
      <c r="G29" s="83"/>
      <c r="H29" s="83"/>
      <c r="I29" s="83"/>
      <c r="J29" s="84"/>
      <c r="K29" s="97"/>
      <c r="L29" s="84"/>
      <c r="M29" s="97"/>
      <c r="N29" s="84"/>
      <c r="O29" s="97"/>
      <c r="P29" s="84"/>
      <c r="Q29" s="97"/>
      <c r="R29" s="84"/>
      <c r="S29" s="97"/>
      <c r="T29" s="84"/>
      <c r="U29" s="97"/>
      <c r="V29" s="84"/>
      <c r="W29" s="97"/>
      <c r="X29" s="84"/>
      <c r="Y29" s="97"/>
      <c r="Z29" s="84"/>
      <c r="AA29" s="97"/>
      <c r="AB29" s="64"/>
      <c r="AC29" s="64"/>
      <c r="AD29" s="64"/>
      <c r="AE29" s="86"/>
      <c r="AF29" s="77"/>
      <c r="AG29" s="61"/>
      <c r="AH29" s="80"/>
      <c r="AI29" s="84"/>
      <c r="AJ29" s="84"/>
      <c r="AK29" s="84"/>
      <c r="AL29" s="84"/>
      <c r="AM29" s="83"/>
      <c r="AN29" s="83"/>
      <c r="AO29" s="83"/>
      <c r="AP29" s="76"/>
      <c r="AQ29" s="64"/>
      <c r="AR29" s="40"/>
      <c r="AS29" s="49"/>
    </row>
    <row r="30" spans="1:45" ht="15.75" thickBot="1">
      <c r="A30" s="40"/>
      <c r="B30" s="42" t="s">
        <v>268</v>
      </c>
      <c r="C30" s="40"/>
      <c r="D30" s="40"/>
      <c r="E30" s="40"/>
      <c r="F30" s="98">
        <f>SUM(F11:F28)</f>
        <v>977956.96354999999</v>
      </c>
      <c r="G30" s="83"/>
      <c r="H30" s="98">
        <f>SUM(H11:H28)</f>
        <v>1068639.9789091009</v>
      </c>
      <c r="I30" s="83"/>
      <c r="J30" s="84"/>
      <c r="K30" s="98">
        <f>SUM(K11:K28)</f>
        <v>69704</v>
      </c>
      <c r="L30" s="84"/>
      <c r="M30" s="98">
        <f>SUM(M11:M28)</f>
        <v>896</v>
      </c>
      <c r="N30" s="84"/>
      <c r="O30" s="98">
        <f>SUM(O11:O28)</f>
        <v>4910.3999999999996</v>
      </c>
      <c r="P30" s="84"/>
      <c r="Q30" s="98">
        <f>SUM(Q11:Q28)</f>
        <v>75510.400000000009</v>
      </c>
      <c r="R30" s="84"/>
      <c r="S30" s="98">
        <f>SUM(S11:S28)</f>
        <v>119709.61510895887</v>
      </c>
      <c r="T30" s="84"/>
      <c r="U30" s="98">
        <f>SUM(U11:U28)</f>
        <v>29338.708906499996</v>
      </c>
      <c r="V30" s="84"/>
      <c r="W30" s="98">
        <f>SUM(W11:W28)</f>
        <v>39118.278542</v>
      </c>
      <c r="X30" s="84"/>
      <c r="Y30" s="98">
        <f>SUM(Y11:Y28)</f>
        <v>7256.3664891041153</v>
      </c>
      <c r="Z30" s="84"/>
      <c r="AA30" s="98">
        <f>SUM(AA11:AA28)</f>
        <v>195422.96904656294</v>
      </c>
      <c r="AB30" s="64"/>
      <c r="AC30" s="64"/>
      <c r="AD30" s="64"/>
      <c r="AE30" s="64"/>
      <c r="AF30" s="77"/>
      <c r="AG30" s="64"/>
      <c r="AH30" s="80"/>
      <c r="AI30" s="98">
        <f>SUM(AI11:AI28)</f>
        <v>948243.44</v>
      </c>
      <c r="AJ30" s="83"/>
      <c r="AK30" s="83"/>
      <c r="AL30" s="84"/>
      <c r="AM30" s="98">
        <f>SUM(AM11:AM28)</f>
        <v>28581.000000000007</v>
      </c>
      <c r="AN30" s="83"/>
      <c r="AO30" s="98">
        <f>SUM(AO11:AO28)</f>
        <v>976824.44</v>
      </c>
      <c r="AP30" s="41"/>
      <c r="AQ30" s="40"/>
      <c r="AR30" s="40"/>
      <c r="AS30" s="49"/>
    </row>
    <row r="31" spans="1:45" ht="15.75" thickTop="1">
      <c r="A31" s="40"/>
      <c r="B31" s="42"/>
      <c r="C31" s="40"/>
      <c r="D31" s="40"/>
      <c r="E31" s="41"/>
      <c r="F31" s="99"/>
      <c r="G31" s="99"/>
      <c r="H31" s="99"/>
      <c r="I31" s="99"/>
      <c r="J31" s="84"/>
      <c r="K31" s="83"/>
      <c r="L31" s="84"/>
      <c r="M31" s="83"/>
      <c r="N31" s="84"/>
      <c r="O31" s="83"/>
      <c r="P31" s="84"/>
      <c r="Q31" s="83"/>
      <c r="R31" s="84"/>
      <c r="S31" s="83"/>
      <c r="T31" s="84"/>
      <c r="U31" s="83"/>
      <c r="V31" s="84"/>
      <c r="W31" s="83"/>
      <c r="X31" s="84"/>
      <c r="Y31" s="83"/>
      <c r="Z31" s="84"/>
      <c r="AA31" s="83"/>
      <c r="AB31" s="64"/>
      <c r="AC31" s="64"/>
      <c r="AD31" s="64"/>
      <c r="AE31" s="40"/>
      <c r="AF31" s="40"/>
      <c r="AG31" s="40"/>
      <c r="AH31" s="40"/>
      <c r="AI31" s="84"/>
      <c r="AJ31" s="84"/>
      <c r="AK31" s="84"/>
      <c r="AL31" s="84"/>
      <c r="AM31" s="84"/>
      <c r="AN31" s="84"/>
      <c r="AO31" s="99"/>
      <c r="AP31" s="100"/>
      <c r="AQ31" s="100"/>
      <c r="AR31" s="40"/>
      <c r="AS31" s="49"/>
    </row>
    <row r="32" spans="1:45" ht="15">
      <c r="A32" s="40"/>
      <c r="B32" s="64"/>
      <c r="C32" s="64"/>
      <c r="D32" s="64"/>
      <c r="E32" s="64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64"/>
      <c r="AC32" s="64"/>
      <c r="AD32" s="64"/>
      <c r="AE32" s="64"/>
      <c r="AF32" s="64"/>
      <c r="AG32" s="64"/>
      <c r="AH32" s="64"/>
      <c r="AI32" s="83"/>
      <c r="AJ32" s="83"/>
      <c r="AK32" s="83"/>
      <c r="AL32" s="83"/>
      <c r="AM32" s="83"/>
      <c r="AN32" s="83"/>
      <c r="AO32" s="83"/>
      <c r="AP32" s="40"/>
      <c r="AQ32" s="40"/>
      <c r="AR32" s="40"/>
      <c r="AS32" s="64"/>
    </row>
    <row r="33" spans="1:45" ht="15">
      <c r="A33" s="40"/>
      <c r="B33" s="76" t="s">
        <v>269</v>
      </c>
      <c r="C33" s="64"/>
      <c r="D33" s="64"/>
      <c r="E33" s="40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64"/>
      <c r="AC33" s="64"/>
      <c r="AD33" s="64"/>
      <c r="AE33" s="64"/>
      <c r="AF33" s="64"/>
      <c r="AG33" s="64"/>
      <c r="AH33" s="64"/>
      <c r="AI33" s="83"/>
      <c r="AJ33" s="83"/>
      <c r="AK33" s="83"/>
      <c r="AL33" s="83"/>
      <c r="AM33" s="83"/>
      <c r="AN33" s="83"/>
      <c r="AO33" s="83"/>
      <c r="AP33" s="40"/>
      <c r="AQ33" s="40"/>
      <c r="AR33" s="40"/>
      <c r="AS33" s="49"/>
    </row>
    <row r="34" spans="1:45" ht="15">
      <c r="A34" s="40"/>
      <c r="B34" s="76"/>
      <c r="C34" s="64"/>
      <c r="D34" s="64"/>
      <c r="E34" s="40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64"/>
      <c r="AC34" s="64"/>
      <c r="AD34" s="64"/>
      <c r="AE34" s="64"/>
      <c r="AF34" s="64"/>
      <c r="AG34" s="64"/>
      <c r="AH34" s="64"/>
      <c r="AI34" s="83"/>
      <c r="AJ34" s="83"/>
      <c r="AK34" s="83"/>
      <c r="AL34" s="83"/>
      <c r="AM34" s="83"/>
      <c r="AN34" s="83"/>
      <c r="AO34" s="83"/>
      <c r="AP34" s="40"/>
      <c r="AQ34" s="40"/>
      <c r="AR34" s="40"/>
      <c r="AS34" s="49"/>
    </row>
    <row r="35" spans="1:45" ht="15">
      <c r="A35" s="40"/>
      <c r="B35" s="82" t="str">
        <f>+C11</f>
        <v>Maintenance 1</v>
      </c>
      <c r="C35" s="40"/>
      <c r="D35" s="82" t="s">
        <v>256</v>
      </c>
      <c r="E35" s="40"/>
      <c r="F35" s="83">
        <f>F11*AC11</f>
        <v>50756.05</v>
      </c>
      <c r="G35" s="83"/>
      <c r="H35" s="83">
        <f>H11*AC35</f>
        <v>55462.506248350001</v>
      </c>
      <c r="I35" s="83"/>
      <c r="J35" s="83"/>
      <c r="K35" s="83">
        <f>$AC11*K11</f>
        <v>3883</v>
      </c>
      <c r="L35" s="83"/>
      <c r="M35" s="83">
        <f>$AC11*M11</f>
        <v>56</v>
      </c>
      <c r="N35" s="83"/>
      <c r="O35" s="83">
        <f>$AC11*O11</f>
        <v>306.90000000000003</v>
      </c>
      <c r="P35" s="83"/>
      <c r="Q35" s="83">
        <f>SUM(K35:O35)</f>
        <v>4245.8999999999996</v>
      </c>
      <c r="R35" s="83"/>
      <c r="S35" s="83">
        <f>$AC11*S11</f>
        <v>7481.8509443099274</v>
      </c>
      <c r="T35" s="83"/>
      <c r="U35" s="84">
        <f>$AC11*U11</f>
        <v>1522.6815000000001</v>
      </c>
      <c r="V35" s="83"/>
      <c r="W35" s="83">
        <f>$AC11*W11</f>
        <v>2030.2420000000002</v>
      </c>
      <c r="X35" s="83"/>
      <c r="Y35" s="83">
        <f>$AC11*Y11</f>
        <v>453.52290556900732</v>
      </c>
      <c r="Z35" s="83"/>
      <c r="AA35" s="84">
        <f>SUM(S35:Y35)</f>
        <v>11488.297349878934</v>
      </c>
      <c r="AB35" s="64"/>
      <c r="AC35" s="233">
        <f>AC11</f>
        <v>1</v>
      </c>
      <c r="AD35" s="64"/>
      <c r="AE35" s="64"/>
      <c r="AF35" s="64"/>
      <c r="AG35" s="64"/>
      <c r="AH35" s="64"/>
      <c r="AI35" s="83"/>
      <c r="AJ35" s="83"/>
      <c r="AK35" s="83"/>
      <c r="AL35" s="83"/>
      <c r="AM35" s="83"/>
      <c r="AN35" s="83"/>
      <c r="AO35" s="83"/>
      <c r="AP35" s="40"/>
      <c r="AQ35" s="40"/>
      <c r="AR35" s="40"/>
      <c r="AS35" s="49"/>
    </row>
    <row r="36" spans="1:45" ht="15">
      <c r="A36" s="40"/>
      <c r="B36" s="82" t="str">
        <f t="shared" ref="B36:B45" si="20">+C12</f>
        <v>Maintenance 2</v>
      </c>
      <c r="C36" s="40"/>
      <c r="D36" s="82" t="s">
        <v>257</v>
      </c>
      <c r="E36" s="40"/>
      <c r="F36" s="83">
        <f>F12*AC12</f>
        <v>39906.829999999994</v>
      </c>
      <c r="G36" s="83"/>
      <c r="H36" s="83">
        <f t="shared" ref="H36:H45" si="21">H12*AC36</f>
        <v>43607.270625409998</v>
      </c>
      <c r="I36" s="83"/>
      <c r="J36" s="83"/>
      <c r="K36" s="83">
        <f>$AC12*K12</f>
        <v>3053</v>
      </c>
      <c r="L36" s="83"/>
      <c r="M36" s="83">
        <f>$AC12*M12</f>
        <v>56</v>
      </c>
      <c r="N36" s="83"/>
      <c r="O36" s="83">
        <f>$AC12*O12</f>
        <v>306.90000000000003</v>
      </c>
      <c r="P36" s="83"/>
      <c r="Q36" s="83">
        <f>SUM(K36:O36)</f>
        <v>3415.9</v>
      </c>
      <c r="R36" s="83"/>
      <c r="S36" s="83">
        <f>$AC12*S12</f>
        <v>7481.8509443099274</v>
      </c>
      <c r="T36" s="83"/>
      <c r="U36" s="84">
        <f>$AC12*U12</f>
        <v>1197.2048999999997</v>
      </c>
      <c r="V36" s="83"/>
      <c r="W36" s="83">
        <f>$AC12*W12</f>
        <v>1596.2731999999999</v>
      </c>
      <c r="X36" s="83"/>
      <c r="Y36" s="83">
        <f>$AC12*Y12</f>
        <v>453.52290556900732</v>
      </c>
      <c r="Z36" s="83"/>
      <c r="AA36" s="84">
        <f>SUM(S36:Y36)</f>
        <v>10728.851949878934</v>
      </c>
      <c r="AB36" s="64"/>
      <c r="AC36" s="233">
        <f t="shared" ref="AC36:AC45" si="22">AC12</f>
        <v>1</v>
      </c>
      <c r="AD36" s="64"/>
      <c r="AE36" s="64"/>
      <c r="AF36" s="64"/>
      <c r="AG36" s="64"/>
      <c r="AH36" s="64"/>
      <c r="AI36" s="83"/>
      <c r="AJ36" s="83"/>
      <c r="AK36" s="83"/>
      <c r="AL36" s="83"/>
      <c r="AM36" s="83"/>
      <c r="AN36" s="83"/>
      <c r="AO36" s="83"/>
      <c r="AP36" s="40"/>
      <c r="AQ36" s="40"/>
      <c r="AR36" s="40"/>
      <c r="AS36" s="49"/>
    </row>
    <row r="37" spans="1:45" ht="15">
      <c r="A37" s="40"/>
      <c r="B37" s="82" t="str">
        <f t="shared" si="20"/>
        <v>Maintenance 3</v>
      </c>
      <c r="C37" s="40"/>
      <c r="D37" s="82" t="s">
        <v>258</v>
      </c>
      <c r="E37" s="40"/>
      <c r="F37" s="83">
        <f>F13*AC13</f>
        <v>32332.0625</v>
      </c>
      <c r="G37" s="83"/>
      <c r="H37" s="83">
        <f t="shared" si="21"/>
        <v>35330.117659437499</v>
      </c>
      <c r="I37" s="83"/>
      <c r="J37" s="83"/>
      <c r="K37" s="83">
        <f t="shared" ref="K37:K45" si="23">$AC13*K13</f>
        <v>2473</v>
      </c>
      <c r="L37" s="83"/>
      <c r="M37" s="83">
        <f t="shared" ref="M37:M45" si="24">$AC13*M13</f>
        <v>56</v>
      </c>
      <c r="N37" s="83"/>
      <c r="O37" s="83">
        <f t="shared" ref="O37:O45" si="25">$AC13*O13</f>
        <v>306.90000000000003</v>
      </c>
      <c r="P37" s="83"/>
      <c r="Q37" s="83">
        <f t="shared" ref="Q37:Q45" si="26">SUM(K37:O37)</f>
        <v>2835.9</v>
      </c>
      <c r="R37" s="83"/>
      <c r="S37" s="83">
        <f t="shared" ref="S37:S45" si="27">$AC13*S13</f>
        <v>7481.8509443099274</v>
      </c>
      <c r="T37" s="83"/>
      <c r="U37" s="84">
        <f t="shared" ref="U37:U45" si="28">$AC13*U13</f>
        <v>969.96187499999996</v>
      </c>
      <c r="V37" s="83"/>
      <c r="W37" s="83">
        <f t="shared" ref="W37:W45" si="29">$AC13*W13</f>
        <v>1293.2825</v>
      </c>
      <c r="X37" s="83"/>
      <c r="Y37" s="83">
        <f t="shared" ref="Y37:Y45" si="30">$AC13*Y13</f>
        <v>453.52290556900732</v>
      </c>
      <c r="Z37" s="83"/>
      <c r="AA37" s="84">
        <f t="shared" ref="AA37:AA45" si="31">SUM(S37:Y37)</f>
        <v>10198.618224878934</v>
      </c>
      <c r="AB37" s="64"/>
      <c r="AC37" s="233">
        <f t="shared" si="22"/>
        <v>1</v>
      </c>
      <c r="AD37" s="64"/>
      <c r="AE37" s="64"/>
      <c r="AF37" s="64"/>
      <c r="AG37" s="64"/>
      <c r="AH37" s="64"/>
      <c r="AI37" s="83"/>
      <c r="AJ37" s="83"/>
      <c r="AK37" s="83"/>
      <c r="AL37" s="83"/>
      <c r="AM37" s="83"/>
      <c r="AN37" s="83"/>
      <c r="AO37" s="83"/>
      <c r="AP37" s="40"/>
      <c r="AQ37" s="40"/>
      <c r="AR37" s="40"/>
      <c r="AS37" s="49"/>
    </row>
    <row r="38" spans="1:45" ht="15">
      <c r="A38" s="40"/>
      <c r="B38" s="82" t="str">
        <f t="shared" si="20"/>
        <v>Maintenance 4</v>
      </c>
      <c r="C38" s="40"/>
      <c r="D38" s="82" t="s">
        <v>259</v>
      </c>
      <c r="E38" s="40"/>
      <c r="F38" s="83">
        <f>F14*AC14</f>
        <v>73654.799999999988</v>
      </c>
      <c r="G38" s="83"/>
      <c r="H38" s="83">
        <f t="shared" si="21"/>
        <v>80484.588639599984</v>
      </c>
      <c r="I38" s="83"/>
      <c r="J38" s="83"/>
      <c r="K38" s="83">
        <f t="shared" si="23"/>
        <v>5635</v>
      </c>
      <c r="L38" s="83"/>
      <c r="M38" s="83">
        <f t="shared" si="24"/>
        <v>56</v>
      </c>
      <c r="N38" s="83"/>
      <c r="O38" s="83">
        <f t="shared" si="25"/>
        <v>306.90000000000003</v>
      </c>
      <c r="P38" s="83"/>
      <c r="Q38" s="83">
        <f t="shared" si="26"/>
        <v>5997.9</v>
      </c>
      <c r="R38" s="83"/>
      <c r="S38" s="83">
        <f t="shared" si="27"/>
        <v>7481.8509443099274</v>
      </c>
      <c r="T38" s="83"/>
      <c r="U38" s="84">
        <f t="shared" si="28"/>
        <v>2209.6439999999998</v>
      </c>
      <c r="V38" s="83"/>
      <c r="W38" s="83">
        <f t="shared" si="29"/>
        <v>2946.1919999999996</v>
      </c>
      <c r="X38" s="83"/>
      <c r="Y38" s="83">
        <f t="shared" si="30"/>
        <v>453.52290556900732</v>
      </c>
      <c r="Z38" s="83"/>
      <c r="AA38" s="84">
        <f t="shared" si="31"/>
        <v>13091.209849878933</v>
      </c>
      <c r="AB38" s="64"/>
      <c r="AC38" s="233">
        <f t="shared" si="22"/>
        <v>1</v>
      </c>
      <c r="AD38" s="64"/>
      <c r="AE38" s="64"/>
      <c r="AF38" s="64"/>
      <c r="AG38" s="64"/>
      <c r="AH38" s="64"/>
      <c r="AI38" s="83"/>
      <c r="AJ38" s="83"/>
      <c r="AK38" s="83"/>
      <c r="AL38" s="83"/>
      <c r="AM38" s="83"/>
      <c r="AN38" s="83"/>
      <c r="AO38" s="83"/>
      <c r="AP38" s="40"/>
      <c r="AQ38" s="40"/>
      <c r="AR38" s="40"/>
      <c r="AS38" s="49"/>
    </row>
    <row r="39" spans="1:45" ht="15">
      <c r="A39" s="40"/>
      <c r="B39" s="82" t="str">
        <f t="shared" si="20"/>
        <v>Maintenance 5</v>
      </c>
      <c r="C39" s="40"/>
      <c r="D39" s="82" t="s">
        <v>260</v>
      </c>
      <c r="E39" s="40"/>
      <c r="F39" s="83">
        <f t="shared" ref="F39:F45" si="32">F15*AC15</f>
        <v>51470.21</v>
      </c>
      <c r="G39" s="83"/>
      <c r="H39" s="83">
        <f t="shared" si="21"/>
        <v>56242.888162670002</v>
      </c>
      <c r="I39" s="83"/>
      <c r="J39" s="83"/>
      <c r="K39" s="83">
        <f t="shared" si="23"/>
        <v>3937</v>
      </c>
      <c r="L39" s="83"/>
      <c r="M39" s="83">
        <f t="shared" si="24"/>
        <v>56</v>
      </c>
      <c r="N39" s="83"/>
      <c r="O39" s="83">
        <f t="shared" si="25"/>
        <v>306.90000000000003</v>
      </c>
      <c r="P39" s="83"/>
      <c r="Q39" s="83">
        <f t="shared" si="26"/>
        <v>4299.8999999999996</v>
      </c>
      <c r="R39" s="83"/>
      <c r="S39" s="83">
        <f t="shared" si="27"/>
        <v>7481.8509443099274</v>
      </c>
      <c r="T39" s="83"/>
      <c r="U39" s="84">
        <f t="shared" si="28"/>
        <v>1544.1062999999999</v>
      </c>
      <c r="V39" s="83"/>
      <c r="W39" s="83">
        <f t="shared" si="29"/>
        <v>2058.8083999999999</v>
      </c>
      <c r="X39" s="83"/>
      <c r="Y39" s="83">
        <f t="shared" si="30"/>
        <v>453.52290556900732</v>
      </c>
      <c r="Z39" s="83"/>
      <c r="AA39" s="84">
        <f t="shared" si="31"/>
        <v>11538.288549878935</v>
      </c>
      <c r="AB39" s="64"/>
      <c r="AC39" s="233">
        <f t="shared" si="22"/>
        <v>1</v>
      </c>
      <c r="AD39" s="64"/>
      <c r="AE39" s="64"/>
      <c r="AF39" s="64"/>
      <c r="AG39" s="64"/>
      <c r="AH39" s="64"/>
      <c r="AI39" s="83"/>
      <c r="AJ39" s="83"/>
      <c r="AK39" s="83"/>
      <c r="AL39" s="83"/>
      <c r="AM39" s="83"/>
      <c r="AN39" s="83"/>
      <c r="AO39" s="83"/>
      <c r="AP39" s="40"/>
      <c r="AQ39" s="40"/>
      <c r="AR39" s="40"/>
      <c r="AS39" s="49"/>
    </row>
    <row r="40" spans="1:45" ht="15">
      <c r="A40" s="40"/>
      <c r="B40" s="82" t="str">
        <f t="shared" si="20"/>
        <v>Maintenance 6</v>
      </c>
      <c r="C40" s="40"/>
      <c r="D40" s="82" t="s">
        <v>258</v>
      </c>
      <c r="E40" s="40"/>
      <c r="F40" s="83">
        <f t="shared" si="32"/>
        <v>34134.1</v>
      </c>
      <c r="G40" s="83"/>
      <c r="H40" s="83">
        <f t="shared" si="21"/>
        <v>37299.252690699999</v>
      </c>
      <c r="I40" s="83"/>
      <c r="J40" s="83"/>
      <c r="K40" s="83">
        <f t="shared" si="23"/>
        <v>2611</v>
      </c>
      <c r="L40" s="83"/>
      <c r="M40" s="83">
        <f t="shared" si="24"/>
        <v>56</v>
      </c>
      <c r="N40" s="83"/>
      <c r="O40" s="83">
        <f t="shared" si="25"/>
        <v>306.90000000000003</v>
      </c>
      <c r="P40" s="83"/>
      <c r="Q40" s="83">
        <f t="shared" si="26"/>
        <v>2973.9</v>
      </c>
      <c r="R40" s="83"/>
      <c r="S40" s="83">
        <f t="shared" si="27"/>
        <v>7481.8509443099274</v>
      </c>
      <c r="T40" s="83"/>
      <c r="U40" s="84">
        <f t="shared" si="28"/>
        <v>1024.0229999999999</v>
      </c>
      <c r="V40" s="83"/>
      <c r="W40" s="83">
        <f t="shared" si="29"/>
        <v>1365.364</v>
      </c>
      <c r="X40" s="83"/>
      <c r="Y40" s="83">
        <f t="shared" si="30"/>
        <v>453.52290556900732</v>
      </c>
      <c r="Z40" s="83"/>
      <c r="AA40" s="84">
        <f t="shared" si="31"/>
        <v>10324.760849878934</v>
      </c>
      <c r="AB40" s="64"/>
      <c r="AC40" s="233">
        <f t="shared" si="22"/>
        <v>1</v>
      </c>
      <c r="AD40" s="64"/>
      <c r="AE40" s="64"/>
      <c r="AF40" s="64"/>
      <c r="AG40" s="64"/>
      <c r="AH40" s="64"/>
      <c r="AI40" s="83"/>
      <c r="AJ40" s="83"/>
      <c r="AK40" s="83"/>
      <c r="AL40" s="83"/>
      <c r="AM40" s="83"/>
      <c r="AN40" s="83"/>
      <c r="AO40" s="83"/>
      <c r="AP40" s="40"/>
      <c r="AQ40" s="40"/>
      <c r="AR40" s="40"/>
      <c r="AS40" s="49"/>
    </row>
    <row r="41" spans="1:45" ht="15">
      <c r="A41" s="40"/>
      <c r="B41" s="82" t="str">
        <f t="shared" si="20"/>
        <v>Maintenance 7</v>
      </c>
      <c r="C41" s="40"/>
      <c r="D41" s="82" t="s">
        <v>257</v>
      </c>
      <c r="E41" s="40"/>
      <c r="F41" s="83">
        <f t="shared" si="32"/>
        <v>40127.425000000003</v>
      </c>
      <c r="G41" s="83"/>
      <c r="H41" s="83">
        <f t="shared" si="21"/>
        <v>43848.320737975002</v>
      </c>
      <c r="I41" s="83"/>
      <c r="J41" s="83"/>
      <c r="K41" s="83">
        <f t="shared" si="23"/>
        <v>3070</v>
      </c>
      <c r="L41" s="83"/>
      <c r="M41" s="83">
        <f t="shared" si="24"/>
        <v>56</v>
      </c>
      <c r="N41" s="83"/>
      <c r="O41" s="83">
        <f t="shared" si="25"/>
        <v>306.90000000000003</v>
      </c>
      <c r="P41" s="83"/>
      <c r="Q41" s="83">
        <f t="shared" si="26"/>
        <v>3432.9</v>
      </c>
      <c r="R41" s="83"/>
      <c r="S41" s="83">
        <f t="shared" si="27"/>
        <v>7481.8509443099274</v>
      </c>
      <c r="T41" s="83"/>
      <c r="U41" s="84">
        <f t="shared" si="28"/>
        <v>1203.82275</v>
      </c>
      <c r="V41" s="83"/>
      <c r="W41" s="83">
        <f t="shared" si="29"/>
        <v>1605.0970000000002</v>
      </c>
      <c r="X41" s="83"/>
      <c r="Y41" s="83">
        <f t="shared" si="30"/>
        <v>453.52290556900732</v>
      </c>
      <c r="Z41" s="83"/>
      <c r="AA41" s="84">
        <f t="shared" si="31"/>
        <v>10744.293599878934</v>
      </c>
      <c r="AB41" s="64"/>
      <c r="AC41" s="233">
        <f t="shared" si="22"/>
        <v>1</v>
      </c>
      <c r="AD41" s="64"/>
      <c r="AE41" s="64"/>
      <c r="AF41" s="64"/>
      <c r="AG41" s="64"/>
      <c r="AH41" s="64"/>
      <c r="AI41" s="83"/>
      <c r="AJ41" s="83"/>
      <c r="AK41" s="83"/>
      <c r="AL41" s="83"/>
      <c r="AM41" s="83"/>
      <c r="AN41" s="83"/>
      <c r="AO41" s="83"/>
      <c r="AP41" s="40"/>
      <c r="AQ41" s="40"/>
      <c r="AR41" s="40"/>
      <c r="AS41" s="49"/>
    </row>
    <row r="42" spans="1:45" ht="15">
      <c r="A42" s="40"/>
      <c r="B42" s="82" t="str">
        <f t="shared" si="20"/>
        <v>Maintenance 8</v>
      </c>
      <c r="C42" s="40"/>
      <c r="D42" s="82" t="s">
        <v>258</v>
      </c>
      <c r="E42" s="40"/>
      <c r="F42" s="83">
        <f t="shared" si="32"/>
        <v>26858.28</v>
      </c>
      <c r="G42" s="83"/>
      <c r="H42" s="83">
        <f t="shared" si="21"/>
        <v>29348.767729560001</v>
      </c>
      <c r="I42" s="83"/>
      <c r="J42" s="83"/>
      <c r="K42" s="83">
        <f t="shared" si="23"/>
        <v>2055</v>
      </c>
      <c r="L42" s="83"/>
      <c r="M42" s="83">
        <f t="shared" si="24"/>
        <v>56</v>
      </c>
      <c r="N42" s="83"/>
      <c r="O42" s="83">
        <f t="shared" si="25"/>
        <v>306.90000000000003</v>
      </c>
      <c r="P42" s="83"/>
      <c r="Q42" s="83">
        <f t="shared" si="26"/>
        <v>2417.9</v>
      </c>
      <c r="R42" s="83"/>
      <c r="S42" s="83">
        <f t="shared" si="27"/>
        <v>7481.8509443099274</v>
      </c>
      <c r="T42" s="83"/>
      <c r="U42" s="84">
        <f t="shared" si="28"/>
        <v>805.74839999999995</v>
      </c>
      <c r="V42" s="83"/>
      <c r="W42" s="83">
        <f t="shared" si="29"/>
        <v>1074.3312000000001</v>
      </c>
      <c r="X42" s="83"/>
      <c r="Y42" s="83">
        <f t="shared" si="30"/>
        <v>453.52290556900732</v>
      </c>
      <c r="Z42" s="83"/>
      <c r="AA42" s="84">
        <f t="shared" si="31"/>
        <v>9815.4534498789344</v>
      </c>
      <c r="AB42" s="64"/>
      <c r="AC42" s="233">
        <f t="shared" si="22"/>
        <v>1</v>
      </c>
      <c r="AD42" s="64"/>
      <c r="AE42" s="64"/>
      <c r="AF42" s="64"/>
      <c r="AG42" s="64"/>
      <c r="AH42" s="64"/>
      <c r="AI42" s="83"/>
      <c r="AJ42" s="83"/>
      <c r="AK42" s="83"/>
      <c r="AL42" s="83"/>
      <c r="AM42" s="83"/>
      <c r="AN42" s="83"/>
      <c r="AO42" s="83"/>
      <c r="AP42" s="40"/>
      <c r="AQ42" s="40"/>
      <c r="AR42" s="40"/>
      <c r="AS42" s="49"/>
    </row>
    <row r="43" spans="1:45" ht="15">
      <c r="A43" s="40"/>
      <c r="B43" s="82" t="str">
        <f t="shared" si="20"/>
        <v>Maintenance 9</v>
      </c>
      <c r="C43" s="40"/>
      <c r="D43" s="82" t="s">
        <v>258</v>
      </c>
      <c r="E43" s="40"/>
      <c r="F43" s="83">
        <f t="shared" si="32"/>
        <v>33866.157500000001</v>
      </c>
      <c r="G43" s="83"/>
      <c r="H43" s="83">
        <f t="shared" si="21"/>
        <v>37006.464686502499</v>
      </c>
      <c r="I43" s="83"/>
      <c r="J43" s="83"/>
      <c r="K43" s="83">
        <f t="shared" si="23"/>
        <v>2591</v>
      </c>
      <c r="L43" s="83"/>
      <c r="M43" s="83">
        <f t="shared" si="24"/>
        <v>56</v>
      </c>
      <c r="N43" s="83"/>
      <c r="O43" s="83">
        <f t="shared" si="25"/>
        <v>306.90000000000003</v>
      </c>
      <c r="P43" s="83"/>
      <c r="Q43" s="83">
        <f t="shared" si="26"/>
        <v>2953.9</v>
      </c>
      <c r="R43" s="83"/>
      <c r="S43" s="83">
        <f t="shared" si="27"/>
        <v>7481.8509443099274</v>
      </c>
      <c r="T43" s="83"/>
      <c r="U43" s="84">
        <f t="shared" si="28"/>
        <v>1015.984725</v>
      </c>
      <c r="V43" s="83"/>
      <c r="W43" s="83">
        <f t="shared" si="29"/>
        <v>1354.6463000000001</v>
      </c>
      <c r="X43" s="83"/>
      <c r="Y43" s="83">
        <f t="shared" si="30"/>
        <v>453.52290556900732</v>
      </c>
      <c r="Z43" s="83"/>
      <c r="AA43" s="84">
        <f t="shared" si="31"/>
        <v>10306.004874878934</v>
      </c>
      <c r="AB43" s="64"/>
      <c r="AC43" s="233">
        <f t="shared" si="22"/>
        <v>1</v>
      </c>
      <c r="AD43" s="64"/>
      <c r="AE43" s="64"/>
      <c r="AF43" s="64"/>
      <c r="AG43" s="64"/>
      <c r="AH43" s="64"/>
      <c r="AI43" s="83"/>
      <c r="AJ43" s="83"/>
      <c r="AK43" s="83"/>
      <c r="AL43" s="83"/>
      <c r="AM43" s="83"/>
      <c r="AN43" s="83"/>
      <c r="AO43" s="83"/>
      <c r="AP43" s="40"/>
      <c r="AQ43" s="40"/>
      <c r="AR43" s="40"/>
      <c r="AS43" s="49"/>
    </row>
    <row r="44" spans="1:45" ht="15">
      <c r="A44" s="40"/>
      <c r="B44" s="82" t="str">
        <f t="shared" si="20"/>
        <v>Maintenance 10</v>
      </c>
      <c r="C44" s="40"/>
      <c r="D44" s="82" t="s">
        <v>257</v>
      </c>
      <c r="E44" s="40"/>
      <c r="F44" s="83">
        <f t="shared" si="32"/>
        <v>42966.3</v>
      </c>
      <c r="G44" s="83"/>
      <c r="H44" s="83">
        <f t="shared" si="21"/>
        <v>46950.4361001</v>
      </c>
      <c r="I44" s="83"/>
      <c r="J44" s="83"/>
      <c r="K44" s="83">
        <f t="shared" si="23"/>
        <v>3287</v>
      </c>
      <c r="L44" s="83"/>
      <c r="M44" s="83">
        <f t="shared" si="24"/>
        <v>56</v>
      </c>
      <c r="N44" s="83"/>
      <c r="O44" s="83">
        <f t="shared" si="25"/>
        <v>306.90000000000003</v>
      </c>
      <c r="P44" s="83"/>
      <c r="Q44" s="83">
        <f t="shared" si="26"/>
        <v>3649.9</v>
      </c>
      <c r="R44" s="83"/>
      <c r="S44" s="83">
        <f t="shared" si="27"/>
        <v>7481.8509443099274</v>
      </c>
      <c r="T44" s="83"/>
      <c r="U44" s="84">
        <f t="shared" si="28"/>
        <v>1288.989</v>
      </c>
      <c r="V44" s="83"/>
      <c r="W44" s="83">
        <f t="shared" si="29"/>
        <v>1718.652</v>
      </c>
      <c r="X44" s="83"/>
      <c r="Y44" s="83">
        <f t="shared" si="30"/>
        <v>453.52290556900732</v>
      </c>
      <c r="Z44" s="83"/>
      <c r="AA44" s="84">
        <f t="shared" si="31"/>
        <v>10943.014849878935</v>
      </c>
      <c r="AB44" s="64"/>
      <c r="AC44" s="233">
        <f t="shared" si="22"/>
        <v>1</v>
      </c>
      <c r="AD44" s="64"/>
      <c r="AE44" s="64"/>
      <c r="AF44" s="64"/>
      <c r="AG44" s="64"/>
      <c r="AH44" s="64"/>
      <c r="AI44" s="83"/>
      <c r="AJ44" s="83"/>
      <c r="AK44" s="83"/>
      <c r="AL44" s="83"/>
      <c r="AM44" s="83"/>
      <c r="AN44" s="83"/>
      <c r="AO44" s="83"/>
      <c r="AP44" s="40"/>
      <c r="AQ44" s="40"/>
      <c r="AR44" s="40"/>
      <c r="AS44" s="49"/>
    </row>
    <row r="45" spans="1:45" ht="15">
      <c r="A45" s="40"/>
      <c r="B45" s="82" t="str">
        <f t="shared" si="20"/>
        <v>Maintenance 11</v>
      </c>
      <c r="C45" s="40"/>
      <c r="D45" s="82" t="s">
        <v>261</v>
      </c>
      <c r="E45" s="40"/>
      <c r="F45" s="83">
        <f t="shared" si="32"/>
        <v>38883.308550000002</v>
      </c>
      <c r="G45" s="83"/>
      <c r="H45" s="83">
        <f t="shared" si="21"/>
        <v>42488.841101915852</v>
      </c>
      <c r="I45" s="83"/>
      <c r="J45" s="83"/>
      <c r="K45" s="83">
        <f t="shared" si="23"/>
        <v>2975</v>
      </c>
      <c r="L45" s="83"/>
      <c r="M45" s="83">
        <f t="shared" si="24"/>
        <v>56</v>
      </c>
      <c r="N45" s="83"/>
      <c r="O45" s="83">
        <f t="shared" si="25"/>
        <v>306.90000000000003</v>
      </c>
      <c r="P45" s="83"/>
      <c r="Q45" s="83">
        <f t="shared" si="26"/>
        <v>3337.9</v>
      </c>
      <c r="R45" s="83"/>
      <c r="S45" s="83">
        <f t="shared" si="27"/>
        <v>7481.8509443099274</v>
      </c>
      <c r="T45" s="83"/>
      <c r="U45" s="84">
        <f t="shared" si="28"/>
        <v>1166.4992565</v>
      </c>
      <c r="V45" s="83"/>
      <c r="W45" s="83">
        <f t="shared" si="29"/>
        <v>1555.3323420000002</v>
      </c>
      <c r="X45" s="83"/>
      <c r="Y45" s="83">
        <f t="shared" si="30"/>
        <v>453.52290556900732</v>
      </c>
      <c r="Z45" s="83"/>
      <c r="AA45" s="84">
        <f t="shared" si="31"/>
        <v>10657.205448378934</v>
      </c>
      <c r="AB45" s="64"/>
      <c r="AC45" s="233">
        <f t="shared" si="22"/>
        <v>1</v>
      </c>
      <c r="AD45" s="64"/>
      <c r="AE45" s="64"/>
      <c r="AF45" s="64"/>
      <c r="AG45" s="64"/>
      <c r="AH45" s="64"/>
      <c r="AI45" s="83"/>
      <c r="AJ45" s="83"/>
      <c r="AK45" s="83"/>
      <c r="AL45" s="83"/>
      <c r="AM45" s="83"/>
      <c r="AN45" s="83"/>
      <c r="AO45" s="83"/>
      <c r="AP45" s="40"/>
      <c r="AQ45" s="40"/>
      <c r="AR45" s="40"/>
      <c r="AS45" s="49"/>
    </row>
    <row r="46" spans="1:45" ht="15">
      <c r="A46" s="40"/>
      <c r="B46" s="82"/>
      <c r="C46" s="40"/>
      <c r="D46" s="82"/>
      <c r="E46" s="40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4"/>
      <c r="R46" s="83"/>
      <c r="S46" s="83"/>
      <c r="T46" s="83"/>
      <c r="U46" s="83"/>
      <c r="V46" s="83"/>
      <c r="W46" s="83"/>
      <c r="X46" s="83"/>
      <c r="Y46" s="83"/>
      <c r="Z46" s="83"/>
      <c r="AA46" s="84"/>
      <c r="AB46" s="64"/>
      <c r="AC46" s="64"/>
      <c r="AD46" s="64"/>
      <c r="AE46" s="64"/>
      <c r="AF46" s="64"/>
      <c r="AG46" s="64"/>
      <c r="AH46" s="64"/>
      <c r="AI46" s="83"/>
      <c r="AJ46" s="83"/>
      <c r="AK46" s="83"/>
      <c r="AL46" s="83"/>
      <c r="AM46" s="83"/>
      <c r="AN46" s="83"/>
      <c r="AO46" s="83"/>
      <c r="AP46" s="40"/>
      <c r="AQ46" s="40"/>
      <c r="AR46" s="40"/>
      <c r="AS46" s="49"/>
    </row>
    <row r="47" spans="1:45" ht="15">
      <c r="A47" s="40"/>
      <c r="B47" s="76" t="s">
        <v>262</v>
      </c>
      <c r="C47" s="40"/>
      <c r="D47" s="64"/>
      <c r="E47" s="40"/>
      <c r="F47" s="84"/>
      <c r="G47" s="84"/>
      <c r="H47" s="84"/>
      <c r="I47" s="84"/>
      <c r="J47" s="83"/>
      <c r="K47" s="83"/>
      <c r="L47" s="83"/>
      <c r="M47" s="83"/>
      <c r="N47" s="83"/>
      <c r="O47" s="83"/>
      <c r="P47" s="83"/>
      <c r="Q47" s="84"/>
      <c r="R47" s="83"/>
      <c r="S47" s="83"/>
      <c r="T47" s="83"/>
      <c r="U47" s="83"/>
      <c r="V47" s="83"/>
      <c r="W47" s="83"/>
      <c r="X47" s="83"/>
      <c r="Y47" s="83"/>
      <c r="Z47" s="83"/>
      <c r="AA47" s="84"/>
      <c r="AB47" s="64"/>
      <c r="AC47" s="64"/>
      <c r="AD47" s="64"/>
      <c r="AE47" s="64"/>
      <c r="AF47" s="64"/>
      <c r="AG47" s="64"/>
      <c r="AH47" s="64"/>
      <c r="AI47" s="83"/>
      <c r="AJ47" s="83"/>
      <c r="AK47" s="83"/>
      <c r="AL47" s="83"/>
      <c r="AM47" s="83"/>
      <c r="AN47" s="83"/>
      <c r="AO47" s="83"/>
      <c r="AP47" s="40"/>
      <c r="AQ47" s="40"/>
      <c r="AR47" s="40"/>
      <c r="AS47" s="49"/>
    </row>
    <row r="48" spans="1:45" ht="15">
      <c r="A48" s="40"/>
      <c r="B48" s="82" t="str">
        <f>C24</f>
        <v>Supervisory 1</v>
      </c>
      <c r="C48" s="40"/>
      <c r="D48" s="82" t="s">
        <v>263</v>
      </c>
      <c r="E48" s="40"/>
      <c r="F48" s="83">
        <f>F24*AC24</f>
        <v>27058.260500668377</v>
      </c>
      <c r="G48" s="83"/>
      <c r="H48" s="83">
        <f>H24*AC48</f>
        <v>27869.363763753332</v>
      </c>
      <c r="I48" s="83"/>
      <c r="J48" s="83"/>
      <c r="K48" s="83">
        <f>$AC24*K24</f>
        <v>1920.4507782089706</v>
      </c>
      <c r="L48" s="83"/>
      <c r="M48" s="83">
        <f>$AC24*M24</f>
        <v>12.139659507811531</v>
      </c>
      <c r="N48" s="83"/>
      <c r="O48" s="83">
        <f>$AC24*O24</f>
        <v>66.529669695488565</v>
      </c>
      <c r="P48" s="83"/>
      <c r="Q48" s="83">
        <f>SUM(K48:O48)</f>
        <v>1999.1201074122707</v>
      </c>
      <c r="R48" s="83"/>
      <c r="S48" s="83">
        <f>$AC24*S24</f>
        <v>1621.912909859298</v>
      </c>
      <c r="T48" s="83"/>
      <c r="U48" s="83">
        <f>$AC24*U24</f>
        <v>811.74781502005123</v>
      </c>
      <c r="V48" s="83"/>
      <c r="W48" s="83">
        <f>$AC24*W24</f>
        <v>1082.3304200267353</v>
      </c>
      <c r="X48" s="83"/>
      <c r="Y48" s="83">
        <f>$AC24*Y24</f>
        <v>98.314529510734118</v>
      </c>
      <c r="Z48" s="83"/>
      <c r="AA48" s="84">
        <f>SUM(S48:Y48)</f>
        <v>3614.3056744168189</v>
      </c>
      <c r="AB48" s="64"/>
      <c r="AC48" s="232">
        <f>'WSKY Allocation Factors'!M36</f>
        <v>0.20433087057021709</v>
      </c>
      <c r="AD48" s="64"/>
      <c r="AE48" s="64"/>
      <c r="AF48" s="64"/>
      <c r="AG48" s="64"/>
      <c r="AH48" s="64"/>
      <c r="AI48" s="83"/>
      <c r="AJ48" s="83"/>
      <c r="AK48" s="83"/>
      <c r="AL48" s="83"/>
      <c r="AM48" s="83"/>
      <c r="AN48" s="83"/>
      <c r="AO48" s="83"/>
      <c r="AP48" s="40"/>
      <c r="AQ48" s="40"/>
      <c r="AR48" s="40"/>
      <c r="AS48" s="49"/>
    </row>
    <row r="49" spans="1:45" ht="15">
      <c r="A49" s="40"/>
      <c r="B49" s="82" t="str">
        <f>C25</f>
        <v>Supervisory 2</v>
      </c>
      <c r="C49" s="40"/>
      <c r="D49" s="82" t="s">
        <v>264</v>
      </c>
      <c r="E49" s="40"/>
      <c r="F49" s="83">
        <f>F25*AC25</f>
        <v>12908.142308423143</v>
      </c>
      <c r="G49" s="83"/>
      <c r="H49" s="83">
        <f t="shared" ref="H48:H52" si="33">H25*AC49</f>
        <v>13591.337200940532</v>
      </c>
      <c r="I49" s="83"/>
      <c r="J49" s="83"/>
      <c r="K49" s="83">
        <f>$AC25*K25</f>
        <v>679.04716206776186</v>
      </c>
      <c r="L49" s="83"/>
      <c r="M49" s="83">
        <f>$AC25*M25</f>
        <v>3.9073819436698178</v>
      </c>
      <c r="N49" s="83"/>
      <c r="O49" s="83">
        <f>$AC25*O25</f>
        <v>21.413848544861914</v>
      </c>
      <c r="P49" s="83"/>
      <c r="Q49" s="83">
        <f>SUM(K49:O49)</f>
        <v>704.36839255629366</v>
      </c>
      <c r="R49" s="83"/>
      <c r="S49" s="83">
        <f>$AC25*S25</f>
        <v>522.04373723259971</v>
      </c>
      <c r="T49" s="83"/>
      <c r="U49" s="83">
        <f>$AC25*U25</f>
        <v>387.24426925269427</v>
      </c>
      <c r="V49" s="83"/>
      <c r="W49" s="83">
        <f>$AC25*W25</f>
        <v>516.32569233692573</v>
      </c>
      <c r="X49" s="83"/>
      <c r="Y49" s="83">
        <f>$AC25*Y25</f>
        <v>31.644414504660912</v>
      </c>
      <c r="Z49" s="83"/>
      <c r="AA49" s="84">
        <f>SUM(S49:Y49)</f>
        <v>1457.2581133268807</v>
      </c>
      <c r="AB49" s="64"/>
      <c r="AC49" s="232">
        <f>'WSKY Allocation Factors'!$M$35</f>
        <v>6.7233327662430536E-2</v>
      </c>
      <c r="AD49" s="64"/>
      <c r="AE49" s="64"/>
      <c r="AF49" s="64"/>
      <c r="AG49" s="64"/>
      <c r="AH49" s="64"/>
      <c r="AI49" s="83"/>
      <c r="AJ49" s="83"/>
      <c r="AK49" s="83"/>
      <c r="AL49" s="83"/>
      <c r="AM49" s="83"/>
      <c r="AN49" s="83"/>
      <c r="AO49" s="83"/>
      <c r="AP49" s="40"/>
      <c r="AQ49" s="40"/>
      <c r="AR49" s="40"/>
      <c r="AS49" s="49"/>
    </row>
    <row r="50" spans="1:45" ht="15">
      <c r="A50" s="40"/>
      <c r="B50" s="82" t="str">
        <f>C26</f>
        <v>Supervisory 3</v>
      </c>
      <c r="C50" s="40"/>
      <c r="D50" s="82" t="s">
        <v>265</v>
      </c>
      <c r="E50" s="40"/>
      <c r="F50" s="83">
        <f>F26*AC26</f>
        <v>4878.1709875745846</v>
      </c>
      <c r="G50" s="83"/>
      <c r="H50" s="83">
        <f t="shared" si="33"/>
        <v>5136.360076593437</v>
      </c>
      <c r="I50" s="83"/>
      <c r="J50" s="83"/>
      <c r="K50" s="83">
        <f>$AC26*K26</f>
        <v>373.15497562046761</v>
      </c>
      <c r="L50" s="83"/>
      <c r="M50" s="83">
        <f>$AC26*M26</f>
        <v>3.9073819436698178</v>
      </c>
      <c r="N50" s="83"/>
      <c r="O50" s="83">
        <f>$AC26*O26</f>
        <v>21.413848544861914</v>
      </c>
      <c r="P50" s="83"/>
      <c r="Q50" s="83">
        <f>SUM(K50:O50)</f>
        <v>398.47620610899935</v>
      </c>
      <c r="R50" s="83"/>
      <c r="S50" s="83">
        <f>$AC26*S26</f>
        <v>522.04373723259971</v>
      </c>
      <c r="T50" s="83"/>
      <c r="U50" s="83">
        <f>$AC26*U26</f>
        <v>146.34512962723753</v>
      </c>
      <c r="V50" s="83"/>
      <c r="W50" s="83">
        <f>$AC26*W26</f>
        <v>195.12683950298342</v>
      </c>
      <c r="X50" s="83"/>
      <c r="Y50" s="83">
        <f>$AC26*Y26</f>
        <v>31.644414504660912</v>
      </c>
      <c r="Z50" s="83"/>
      <c r="AA50" s="84">
        <f>SUM(S50:Y50)</f>
        <v>895.16012086748151</v>
      </c>
      <c r="AB50" s="64"/>
      <c r="AC50" s="232">
        <f>'WSKY Allocation Factors'!$M$35</f>
        <v>6.7233327662430536E-2</v>
      </c>
      <c r="AD50" s="64"/>
      <c r="AE50" s="64"/>
      <c r="AF50" s="64"/>
      <c r="AG50" s="64"/>
      <c r="AH50" s="64"/>
      <c r="AI50" s="83"/>
      <c r="AJ50" s="83"/>
      <c r="AK50" s="83"/>
      <c r="AL50" s="83"/>
      <c r="AM50" s="83"/>
      <c r="AN50" s="83"/>
      <c r="AO50" s="83"/>
      <c r="AP50" s="40"/>
      <c r="AQ50" s="40"/>
      <c r="AR50" s="40"/>
      <c r="AS50" s="49"/>
    </row>
    <row r="51" spans="1:45" ht="15">
      <c r="A51" s="40"/>
      <c r="B51" s="82" t="str">
        <f>C27</f>
        <v>Supervisory 4</v>
      </c>
      <c r="C51" s="40"/>
      <c r="D51" s="82" t="s">
        <v>266</v>
      </c>
      <c r="E51" s="40"/>
      <c r="F51" s="83">
        <f>F27*AC27</f>
        <v>5052.1778694746117</v>
      </c>
      <c r="G51" s="83"/>
      <c r="H51" s="83">
        <f t="shared" si="33"/>
        <v>5319.576696822689</v>
      </c>
      <c r="I51" s="83"/>
      <c r="J51" s="83"/>
      <c r="K51" s="83">
        <f>$AC27*K27</f>
        <v>386.48193903548429</v>
      </c>
      <c r="L51" s="83"/>
      <c r="M51" s="83">
        <f>$AC27*M27</f>
        <v>3.9073819436698178</v>
      </c>
      <c r="N51" s="83"/>
      <c r="O51" s="83">
        <f>$AC27*O27</f>
        <v>21.413848544861914</v>
      </c>
      <c r="P51" s="83"/>
      <c r="Q51" s="83">
        <f>SUM(K51:O51)</f>
        <v>411.80316952401603</v>
      </c>
      <c r="R51" s="83"/>
      <c r="S51" s="83">
        <f>$AC27*S27</f>
        <v>522.04373723259971</v>
      </c>
      <c r="T51" s="83"/>
      <c r="U51" s="83">
        <f>$AC27*U27</f>
        <v>151.56533608423837</v>
      </c>
      <c r="V51" s="83"/>
      <c r="W51" s="83">
        <f>$AC27*W27</f>
        <v>202.08711477898447</v>
      </c>
      <c r="X51" s="83"/>
      <c r="Y51" s="83">
        <f>$AC27*Y27</f>
        <v>31.644414504660912</v>
      </c>
      <c r="Z51" s="83"/>
      <c r="AA51" s="84">
        <f>SUM(S51:Y51)</f>
        <v>907.34060260048329</v>
      </c>
      <c r="AB51" s="64"/>
      <c r="AC51" s="232">
        <f>'WSKY Allocation Factors'!$M$35</f>
        <v>6.7233327662430536E-2</v>
      </c>
      <c r="AD51" s="64"/>
      <c r="AE51" s="64"/>
      <c r="AF51" s="64"/>
      <c r="AG51" s="64"/>
      <c r="AH51" s="64"/>
      <c r="AI51" s="83"/>
      <c r="AJ51" s="83"/>
      <c r="AK51" s="83"/>
      <c r="AL51" s="83"/>
      <c r="AM51" s="83"/>
      <c r="AN51" s="83"/>
      <c r="AO51" s="83"/>
      <c r="AP51" s="40"/>
      <c r="AQ51" s="40"/>
      <c r="AR51" s="40"/>
      <c r="AS51" s="49"/>
    </row>
    <row r="52" spans="1:45" ht="15">
      <c r="A52" s="40"/>
      <c r="B52" s="82" t="str">
        <f>C28</f>
        <v>Supervisory 5</v>
      </c>
      <c r="C52" s="40"/>
      <c r="D52" s="82" t="s">
        <v>267</v>
      </c>
      <c r="E52" s="40"/>
      <c r="F52" s="96">
        <f>F28*AC28</f>
        <v>4246.7994671937986</v>
      </c>
      <c r="G52" s="96"/>
      <c r="H52" s="83">
        <f t="shared" si="33"/>
        <v>4471.5716796630622</v>
      </c>
      <c r="I52" s="96"/>
      <c r="J52" s="96"/>
      <c r="K52" s="96">
        <f>$AC28*K28</f>
        <v>324.87089874511912</v>
      </c>
      <c r="L52" s="96"/>
      <c r="M52" s="96">
        <f>$AC28*M28</f>
        <v>3.9073819436698178</v>
      </c>
      <c r="N52" s="96"/>
      <c r="O52" s="96">
        <f>$AC28*O28</f>
        <v>21.413848544861914</v>
      </c>
      <c r="P52" s="96"/>
      <c r="Q52" s="96">
        <f>SUM(K52:O52)</f>
        <v>350.19212923365086</v>
      </c>
      <c r="R52" s="96"/>
      <c r="S52" s="96">
        <f>$AC28*S28</f>
        <v>522.04373723259971</v>
      </c>
      <c r="T52" s="96"/>
      <c r="U52" s="96">
        <f>$AC28*U28</f>
        <v>127.40398401581396</v>
      </c>
      <c r="V52" s="96"/>
      <c r="W52" s="96">
        <f>$AC28*W28</f>
        <v>169.87197868775195</v>
      </c>
      <c r="X52" s="96"/>
      <c r="Y52" s="96">
        <f>$AC28*Y28</f>
        <v>31.644414504660912</v>
      </c>
      <c r="Z52" s="96"/>
      <c r="AA52" s="96">
        <f>SUM(S52:Y52)</f>
        <v>850.96411444082651</v>
      </c>
      <c r="AB52" s="64"/>
      <c r="AC52" s="232">
        <f>'WSKY Allocation Factors'!$M$35</f>
        <v>6.7233327662430536E-2</v>
      </c>
      <c r="AD52" s="64"/>
      <c r="AE52" s="64"/>
      <c r="AF52" s="64"/>
      <c r="AG52" s="64"/>
      <c r="AH52" s="64"/>
      <c r="AI52" s="83"/>
      <c r="AJ52" s="83"/>
      <c r="AK52" s="83"/>
      <c r="AL52" s="83"/>
      <c r="AM52" s="83"/>
      <c r="AN52" s="83"/>
      <c r="AO52" s="83"/>
      <c r="AP52" s="40"/>
      <c r="AQ52" s="40"/>
      <c r="AR52" s="40"/>
      <c r="AS52" s="49"/>
    </row>
    <row r="53" spans="1:45" ht="15.75" thickBot="1">
      <c r="A53" s="40"/>
      <c r="B53" s="42" t="s">
        <v>270</v>
      </c>
      <c r="C53" s="40"/>
      <c r="D53" s="40"/>
      <c r="E53" s="40"/>
      <c r="F53" s="303">
        <f>SUM(F35:F52)</f>
        <v>519099.07468333439</v>
      </c>
      <c r="G53" s="303"/>
      <c r="H53" s="303">
        <f>SUM(H35:H52)</f>
        <v>564457.66379999393</v>
      </c>
      <c r="I53" s="83"/>
      <c r="J53" s="83"/>
      <c r="K53" s="83">
        <f t="shared" ref="K53:AA53" si="34">SUM(K35:K52)</f>
        <v>39254.005753677804</v>
      </c>
      <c r="L53" s="83">
        <f t="shared" si="34"/>
        <v>0</v>
      </c>
      <c r="M53" s="83">
        <f t="shared" si="34"/>
        <v>643.76918728249098</v>
      </c>
      <c r="N53" s="83">
        <f t="shared" si="34"/>
        <v>0</v>
      </c>
      <c r="O53" s="83">
        <f t="shared" si="34"/>
        <v>3528.0850638749371</v>
      </c>
      <c r="P53" s="83"/>
      <c r="Q53" s="83">
        <f t="shared" si="34"/>
        <v>43425.860004835238</v>
      </c>
      <c r="R53" s="83">
        <f t="shared" si="34"/>
        <v>0</v>
      </c>
      <c r="S53" s="83">
        <f t="shared" si="34"/>
        <v>86010.448246198896</v>
      </c>
      <c r="T53" s="83">
        <f t="shared" si="34"/>
        <v>0</v>
      </c>
      <c r="U53" s="83">
        <f t="shared" si="34"/>
        <v>15572.972240500036</v>
      </c>
      <c r="V53" s="83">
        <f t="shared" si="34"/>
        <v>0</v>
      </c>
      <c r="W53" s="83">
        <f t="shared" si="34"/>
        <v>20763.96298733338</v>
      </c>
      <c r="X53" s="83">
        <f t="shared" si="34"/>
        <v>0</v>
      </c>
      <c r="Y53" s="83">
        <f t="shared" si="34"/>
        <v>5213.6441487884576</v>
      </c>
      <c r="Z53" s="83">
        <f t="shared" si="34"/>
        <v>0</v>
      </c>
      <c r="AA53" s="83">
        <f t="shared" si="34"/>
        <v>127561.02762282077</v>
      </c>
      <c r="AB53" s="64"/>
      <c r="AC53" s="64"/>
      <c r="AD53" s="64"/>
      <c r="AE53" s="64"/>
      <c r="AF53" s="64"/>
      <c r="AG53" s="64"/>
      <c r="AH53" s="64"/>
      <c r="AI53" s="83"/>
      <c r="AJ53" s="83"/>
      <c r="AK53" s="83"/>
      <c r="AL53" s="83"/>
      <c r="AM53" s="83"/>
      <c r="AN53" s="83"/>
      <c r="AO53" s="83"/>
      <c r="AP53" s="40"/>
      <c r="AQ53" s="40"/>
      <c r="AR53" s="40"/>
      <c r="AS53" s="49"/>
    </row>
    <row r="54" spans="1:45" ht="15.75" thickTop="1">
      <c r="A54" s="40"/>
      <c r="B54" s="64"/>
      <c r="C54" s="64"/>
      <c r="D54" s="64"/>
      <c r="E54" s="40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64"/>
      <c r="AC54" s="64"/>
      <c r="AD54" s="64"/>
      <c r="AE54" s="64"/>
      <c r="AF54" s="64"/>
      <c r="AG54" s="64"/>
      <c r="AH54" s="64"/>
      <c r="AI54" s="83"/>
      <c r="AJ54" s="83"/>
      <c r="AK54" s="83"/>
      <c r="AL54" s="83"/>
      <c r="AM54" s="83"/>
      <c r="AN54" s="83"/>
      <c r="AO54" s="83"/>
      <c r="AP54" s="40"/>
      <c r="AQ54" s="40"/>
      <c r="AR54" s="40"/>
      <c r="AS54" s="49"/>
    </row>
    <row r="55" spans="1:45" ht="15" hidden="1">
      <c r="A55" s="101"/>
      <c r="B55" s="101"/>
      <c r="C55" s="102"/>
      <c r="D55" s="102"/>
      <c r="E55" s="101"/>
      <c r="F55" s="103"/>
      <c r="G55" s="103"/>
      <c r="H55" s="103"/>
      <c r="I55" s="103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1"/>
      <c r="AC55" s="105"/>
      <c r="AD55" s="105"/>
      <c r="AE55" s="105"/>
      <c r="AF55" s="105"/>
      <c r="AG55" s="105"/>
      <c r="AH55" s="105"/>
      <c r="AI55" s="106"/>
      <c r="AJ55" s="106"/>
      <c r="AK55" s="106"/>
      <c r="AL55" s="104"/>
      <c r="AM55" s="104"/>
      <c r="AN55" s="104"/>
      <c r="AO55" s="104"/>
      <c r="AP55" s="101"/>
      <c r="AQ55" s="101"/>
      <c r="AR55" s="101"/>
      <c r="AS55" s="101"/>
    </row>
    <row r="56" spans="1:45" ht="15" hidden="1">
      <c r="A56" s="40"/>
      <c r="B56" s="42"/>
      <c r="C56" s="107"/>
      <c r="D56" s="107"/>
      <c r="E56" s="64"/>
      <c r="F56" s="83"/>
      <c r="G56" s="83"/>
      <c r="H56" s="83"/>
      <c r="I56" s="83"/>
      <c r="J56" s="84"/>
      <c r="K56" s="83"/>
      <c r="L56" s="84"/>
      <c r="M56" s="83"/>
      <c r="N56" s="84"/>
      <c r="O56" s="83"/>
      <c r="P56" s="84"/>
      <c r="Q56" s="83"/>
      <c r="R56" s="84"/>
      <c r="S56" s="83"/>
      <c r="T56" s="84"/>
      <c r="U56" s="83"/>
      <c r="V56" s="84"/>
      <c r="W56" s="83"/>
      <c r="X56" s="84"/>
      <c r="Y56" s="83"/>
      <c r="Z56" s="83"/>
      <c r="AA56" s="83"/>
      <c r="AB56" s="40"/>
      <c r="AC56" s="64"/>
      <c r="AD56" s="64"/>
      <c r="AE56" s="64"/>
      <c r="AF56" s="64"/>
      <c r="AG56" s="64"/>
      <c r="AH56" s="64"/>
      <c r="AI56" s="83"/>
      <c r="AJ56" s="83"/>
      <c r="AK56" s="83"/>
      <c r="AL56" s="83"/>
      <c r="AM56" s="83"/>
      <c r="AN56" s="83"/>
      <c r="AO56" s="83"/>
      <c r="AP56" s="64"/>
      <c r="AQ56" s="64"/>
      <c r="AR56" s="64"/>
      <c r="AS56" s="49"/>
    </row>
    <row r="57" spans="1:45" ht="15" hidden="1">
      <c r="A57" s="40"/>
      <c r="B57" s="42"/>
      <c r="C57" s="64"/>
      <c r="D57" s="64"/>
      <c r="E57" s="64"/>
      <c r="F57" s="83"/>
      <c r="G57" s="83"/>
      <c r="H57" s="83"/>
      <c r="I57" s="83"/>
      <c r="J57" s="84"/>
      <c r="K57" s="83"/>
      <c r="L57" s="84"/>
      <c r="M57" s="83"/>
      <c r="N57" s="84"/>
      <c r="O57" s="83"/>
      <c r="P57" s="84"/>
      <c r="Q57" s="83"/>
      <c r="R57" s="84"/>
      <c r="S57" s="83"/>
      <c r="T57" s="84"/>
      <c r="U57" s="83"/>
      <c r="V57" s="84"/>
      <c r="W57" s="83"/>
      <c r="X57" s="84"/>
      <c r="Y57" s="83"/>
      <c r="Z57" s="83"/>
      <c r="AA57" s="83"/>
      <c r="AB57" s="40"/>
      <c r="AC57" s="64"/>
      <c r="AD57" s="64"/>
      <c r="AE57" s="64"/>
      <c r="AF57" s="64"/>
      <c r="AG57" s="64"/>
      <c r="AH57" s="64"/>
      <c r="AI57" s="83"/>
      <c r="AJ57" s="83"/>
      <c r="AK57" s="83"/>
      <c r="AL57" s="83"/>
      <c r="AM57" s="83"/>
      <c r="AN57" s="83"/>
      <c r="AO57" s="83"/>
      <c r="AP57" s="64"/>
      <c r="AQ57" s="64"/>
      <c r="AR57" s="64"/>
      <c r="AS57" s="49"/>
    </row>
    <row r="58" spans="1:45" ht="15" hidden="1">
      <c r="A58" s="40"/>
      <c r="B58" s="42"/>
      <c r="C58" s="64"/>
      <c r="D58" s="64"/>
      <c r="E58" s="64"/>
      <c r="F58" s="83"/>
      <c r="G58" s="83"/>
      <c r="H58" s="83"/>
      <c r="I58" s="83"/>
      <c r="J58" s="84"/>
      <c r="K58" s="83"/>
      <c r="L58" s="84"/>
      <c r="M58" s="83"/>
      <c r="N58" s="84"/>
      <c r="O58" s="83"/>
      <c r="P58" s="84"/>
      <c r="Q58" s="83"/>
      <c r="R58" s="84"/>
      <c r="S58" s="83"/>
      <c r="T58" s="84"/>
      <c r="U58" s="83"/>
      <c r="V58" s="84"/>
      <c r="W58" s="83"/>
      <c r="X58" s="84"/>
      <c r="Y58" s="83"/>
      <c r="Z58" s="83"/>
      <c r="AA58" s="83"/>
      <c r="AB58" s="40"/>
      <c r="AC58" s="64"/>
      <c r="AD58" s="64"/>
      <c r="AE58" s="64"/>
      <c r="AF58" s="64"/>
      <c r="AG58" s="64"/>
      <c r="AH58" s="64"/>
      <c r="AI58" s="83"/>
      <c r="AJ58" s="83"/>
      <c r="AK58" s="83"/>
      <c r="AL58" s="83"/>
      <c r="AM58" s="83"/>
      <c r="AN58" s="83"/>
      <c r="AO58" s="83"/>
      <c r="AP58" s="64"/>
      <c r="AQ58" s="64"/>
      <c r="AR58" s="64"/>
      <c r="AS58" s="49"/>
    </row>
    <row r="59" spans="1:45" ht="15" hidden="1">
      <c r="A59" s="40"/>
      <c r="B59" s="42"/>
      <c r="C59" s="40"/>
      <c r="D59" s="40"/>
      <c r="E59" s="40"/>
      <c r="F59" s="83"/>
      <c r="G59" s="83"/>
      <c r="H59" s="83"/>
      <c r="I59" s="83"/>
      <c r="J59" s="84"/>
      <c r="K59" s="83"/>
      <c r="L59" s="84"/>
      <c r="M59" s="83"/>
      <c r="N59" s="84"/>
      <c r="O59" s="83"/>
      <c r="P59" s="84"/>
      <c r="Q59" s="83"/>
      <c r="R59" s="84"/>
      <c r="S59" s="83"/>
      <c r="T59" s="84"/>
      <c r="U59" s="83"/>
      <c r="V59" s="84"/>
      <c r="W59" s="83"/>
      <c r="X59" s="84"/>
      <c r="Y59" s="83"/>
      <c r="Z59" s="83"/>
      <c r="AA59" s="83"/>
      <c r="AB59" s="40"/>
      <c r="AC59" s="64"/>
      <c r="AD59" s="64"/>
      <c r="AE59" s="64"/>
      <c r="AF59" s="64"/>
      <c r="AG59" s="64"/>
      <c r="AH59" s="64"/>
      <c r="AI59" s="83"/>
      <c r="AJ59" s="83"/>
      <c r="AK59" s="83"/>
      <c r="AL59" s="83"/>
      <c r="AM59" s="83"/>
      <c r="AN59" s="83"/>
      <c r="AO59" s="83"/>
      <c r="AP59" s="64"/>
      <c r="AQ59" s="64"/>
      <c r="AR59" s="64"/>
      <c r="AS59" s="49"/>
    </row>
    <row r="60" spans="1:45" ht="15" hidden="1">
      <c r="A60" s="40"/>
      <c r="B60" s="40"/>
      <c r="C60" s="40"/>
      <c r="D60" s="40"/>
      <c r="E60" s="40"/>
      <c r="F60" s="83"/>
      <c r="G60" s="83"/>
      <c r="H60" s="83"/>
      <c r="I60" s="83"/>
      <c r="J60" s="83"/>
      <c r="K60" s="84"/>
      <c r="L60" s="84"/>
      <c r="M60" s="84"/>
      <c r="N60" s="84"/>
      <c r="O60" s="83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40"/>
      <c r="AC60" s="108"/>
      <c r="AD60" s="64"/>
      <c r="AE60" s="64"/>
      <c r="AF60" s="64"/>
      <c r="AG60" s="64"/>
      <c r="AH60" s="64"/>
      <c r="AI60" s="83"/>
      <c r="AJ60" s="83"/>
      <c r="AK60" s="83"/>
      <c r="AL60" s="83"/>
      <c r="AM60" s="83"/>
      <c r="AN60" s="83"/>
      <c r="AO60" s="84"/>
      <c r="AP60" s="64"/>
      <c r="AQ60" s="64"/>
      <c r="AR60" s="64"/>
      <c r="AS60" s="49"/>
    </row>
    <row r="61" spans="1:45" ht="15" hidden="1">
      <c r="A61" s="64"/>
      <c r="B61" s="64"/>
      <c r="C61" s="64"/>
      <c r="D61" s="64"/>
      <c r="E61" s="64"/>
      <c r="F61" s="83"/>
      <c r="G61" s="83"/>
      <c r="H61" s="83"/>
      <c r="I61" s="83"/>
      <c r="J61" s="83"/>
      <c r="K61" s="84"/>
      <c r="L61" s="84"/>
      <c r="M61" s="84"/>
      <c r="N61" s="84"/>
      <c r="O61" s="83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64"/>
      <c r="AC61" s="85"/>
      <c r="AD61" s="52"/>
      <c r="AE61" s="86"/>
      <c r="AF61" s="77"/>
      <c r="AG61" s="65"/>
      <c r="AH61" s="40"/>
      <c r="AI61" s="83"/>
      <c r="AJ61" s="83"/>
      <c r="AK61" s="83"/>
      <c r="AL61" s="84"/>
      <c r="AM61" s="83"/>
      <c r="AN61" s="84"/>
      <c r="AO61" s="84"/>
      <c r="AP61" s="64"/>
      <c r="AQ61" s="64"/>
      <c r="AR61" s="64"/>
      <c r="AS61" s="68"/>
    </row>
    <row r="62" spans="1:45" ht="15" hidden="1">
      <c r="A62" s="64"/>
      <c r="B62" s="64"/>
      <c r="C62" s="64"/>
      <c r="D62" s="64"/>
      <c r="E62" s="64"/>
      <c r="F62" s="83"/>
      <c r="G62" s="83"/>
      <c r="H62" s="83"/>
      <c r="I62" s="83"/>
      <c r="J62" s="83"/>
      <c r="K62" s="84"/>
      <c r="L62" s="84"/>
      <c r="M62" s="84"/>
      <c r="N62" s="84"/>
      <c r="O62" s="83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64"/>
      <c r="AC62" s="85"/>
      <c r="AD62" s="52"/>
      <c r="AE62" s="86"/>
      <c r="AF62" s="77"/>
      <c r="AG62" s="65"/>
      <c r="AH62" s="40"/>
      <c r="AI62" s="83"/>
      <c r="AJ62" s="83"/>
      <c r="AK62" s="83"/>
      <c r="AL62" s="84"/>
      <c r="AM62" s="83"/>
      <c r="AN62" s="84"/>
      <c r="AO62" s="84"/>
      <c r="AP62" s="64"/>
      <c r="AQ62" s="64"/>
      <c r="AR62" s="64"/>
      <c r="AS62" s="68"/>
    </row>
    <row r="63" spans="1:45" ht="15" hidden="1">
      <c r="A63" s="64"/>
      <c r="B63" s="64"/>
      <c r="C63" s="64"/>
      <c r="D63" s="64"/>
      <c r="E63" s="64"/>
      <c r="F63" s="83"/>
      <c r="G63" s="83"/>
      <c r="H63" s="83"/>
      <c r="I63" s="83"/>
      <c r="J63" s="83"/>
      <c r="K63" s="84"/>
      <c r="L63" s="84"/>
      <c r="M63" s="84"/>
      <c r="N63" s="84"/>
      <c r="O63" s="83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64"/>
      <c r="AC63" s="85"/>
      <c r="AD63" s="52"/>
      <c r="AE63" s="86"/>
      <c r="AF63" s="77"/>
      <c r="AG63" s="65"/>
      <c r="AH63" s="40"/>
      <c r="AI63" s="83"/>
      <c r="AJ63" s="83"/>
      <c r="AK63" s="83"/>
      <c r="AL63" s="83"/>
      <c r="AM63" s="83"/>
      <c r="AN63" s="83"/>
      <c r="AO63" s="83"/>
      <c r="AP63" s="64"/>
      <c r="AQ63" s="64"/>
      <c r="AR63" s="64"/>
      <c r="AS63" s="68"/>
    </row>
    <row r="64" spans="1:45" ht="15" hidden="1">
      <c r="A64" s="64"/>
      <c r="B64" s="41"/>
      <c r="C64" s="64"/>
      <c r="D64" s="64"/>
      <c r="E64" s="64"/>
      <c r="F64" s="83"/>
      <c r="G64" s="83"/>
      <c r="H64" s="83"/>
      <c r="I64" s="83"/>
      <c r="J64" s="83"/>
      <c r="K64" s="84"/>
      <c r="L64" s="84"/>
      <c r="M64" s="84"/>
      <c r="N64" s="84"/>
      <c r="O64" s="83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64"/>
      <c r="AC64" s="85"/>
      <c r="AD64" s="52"/>
      <c r="AE64" s="86"/>
      <c r="AF64" s="77"/>
      <c r="AG64" s="65"/>
      <c r="AH64" s="40"/>
      <c r="AI64" s="83"/>
      <c r="AJ64" s="83"/>
      <c r="AK64" s="83"/>
      <c r="AL64" s="84"/>
      <c r="AM64" s="83"/>
      <c r="AN64" s="84"/>
      <c r="AO64" s="83"/>
      <c r="AP64" s="64"/>
      <c r="AQ64" s="64"/>
      <c r="AR64" s="64"/>
      <c r="AS64" s="68"/>
    </row>
    <row r="65" spans="1:45" ht="15" hidden="1">
      <c r="A65" s="64"/>
      <c r="B65" s="41"/>
      <c r="C65" s="64"/>
      <c r="D65" s="64"/>
      <c r="E65" s="64"/>
      <c r="F65" s="83"/>
      <c r="G65" s="83"/>
      <c r="H65" s="83"/>
      <c r="I65" s="83"/>
      <c r="J65" s="83"/>
      <c r="K65" s="84"/>
      <c r="L65" s="84"/>
      <c r="M65" s="84"/>
      <c r="N65" s="84"/>
      <c r="O65" s="83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64"/>
      <c r="AC65" s="85"/>
      <c r="AD65" s="52"/>
      <c r="AE65" s="86"/>
      <c r="AF65" s="77"/>
      <c r="AG65" s="65"/>
      <c r="AH65" s="64"/>
      <c r="AI65" s="83"/>
      <c r="AJ65" s="83"/>
      <c r="AK65" s="83"/>
      <c r="AL65" s="83"/>
      <c r="AM65" s="83"/>
      <c r="AN65" s="83"/>
      <c r="AO65" s="83"/>
      <c r="AP65" s="64"/>
      <c r="AQ65" s="64"/>
      <c r="AR65" s="64"/>
      <c r="AS65" s="68"/>
    </row>
    <row r="66" spans="1:45" ht="15" hidden="1">
      <c r="A66" s="64"/>
      <c r="B66" s="109"/>
      <c r="C66" s="64"/>
      <c r="D66" s="64"/>
      <c r="E66" s="64"/>
      <c r="F66" s="83"/>
      <c r="G66" s="83"/>
      <c r="H66" s="83"/>
      <c r="I66" s="83"/>
      <c r="J66" s="83"/>
      <c r="K66" s="84"/>
      <c r="L66" s="84"/>
      <c r="M66" s="84"/>
      <c r="N66" s="84"/>
      <c r="O66" s="83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64"/>
      <c r="AC66" s="85"/>
      <c r="AD66" s="52"/>
      <c r="AE66" s="86"/>
      <c r="AF66" s="77"/>
      <c r="AG66" s="65"/>
      <c r="AH66" s="64"/>
      <c r="AI66" s="83"/>
      <c r="AJ66" s="83"/>
      <c r="AK66" s="83"/>
      <c r="AL66" s="83"/>
      <c r="AM66" s="83"/>
      <c r="AN66" s="83"/>
      <c r="AO66" s="83"/>
      <c r="AP66" s="64"/>
      <c r="AQ66" s="64"/>
      <c r="AR66" s="64"/>
      <c r="AS66" s="68"/>
    </row>
    <row r="67" spans="1:45" ht="15" hidden="1">
      <c r="A67" s="64"/>
      <c r="B67" s="109"/>
      <c r="C67" s="64"/>
      <c r="D67" s="64"/>
      <c r="E67" s="64"/>
      <c r="F67" s="83"/>
      <c r="G67" s="83"/>
      <c r="H67" s="83"/>
      <c r="I67" s="83"/>
      <c r="J67" s="83"/>
      <c r="K67" s="84"/>
      <c r="L67" s="84"/>
      <c r="M67" s="84"/>
      <c r="N67" s="84"/>
      <c r="O67" s="83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64"/>
      <c r="AC67" s="85"/>
      <c r="AD67" s="52"/>
      <c r="AE67" s="86"/>
      <c r="AF67" s="77"/>
      <c r="AG67" s="65"/>
      <c r="AH67" s="64"/>
      <c r="AI67" s="96"/>
      <c r="AJ67" s="83"/>
      <c r="AK67" s="83"/>
      <c r="AL67" s="83"/>
      <c r="AM67" s="96"/>
      <c r="AN67" s="83"/>
      <c r="AO67" s="96"/>
      <c r="AP67" s="64"/>
      <c r="AQ67" s="64"/>
      <c r="AR67" s="64"/>
      <c r="AS67" s="68"/>
    </row>
    <row r="68" spans="1:45" ht="15" hidden="1">
      <c r="A68" s="40"/>
      <c r="B68" s="42"/>
      <c r="C68" s="40"/>
      <c r="D68" s="40"/>
      <c r="E68" s="4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40"/>
      <c r="AC68" s="64"/>
      <c r="AD68" s="64"/>
      <c r="AE68" s="64"/>
      <c r="AF68" s="64"/>
      <c r="AG68" s="64"/>
      <c r="AH68" s="64"/>
      <c r="AI68" s="83"/>
      <c r="AJ68" s="83"/>
      <c r="AK68" s="83"/>
      <c r="AL68" s="83"/>
      <c r="AM68" s="83"/>
      <c r="AN68" s="83"/>
      <c r="AO68" s="83"/>
      <c r="AP68" s="64"/>
      <c r="AQ68" s="64"/>
      <c r="AR68" s="64"/>
      <c r="AS68" s="49"/>
    </row>
    <row r="69" spans="1:45" ht="15" hidden="1">
      <c r="A69" s="40"/>
      <c r="B69" s="42"/>
      <c r="C69" s="40"/>
      <c r="D69" s="40"/>
      <c r="E69" s="40"/>
      <c r="F69" s="110"/>
      <c r="G69" s="83"/>
      <c r="H69" s="83"/>
      <c r="I69" s="83"/>
      <c r="J69" s="84"/>
      <c r="K69" s="110"/>
      <c r="L69" s="84"/>
      <c r="M69" s="110"/>
      <c r="N69" s="84"/>
      <c r="O69" s="110"/>
      <c r="P69" s="84"/>
      <c r="Q69" s="110"/>
      <c r="R69" s="84"/>
      <c r="S69" s="110"/>
      <c r="T69" s="84"/>
      <c r="U69" s="110"/>
      <c r="V69" s="84"/>
      <c r="W69" s="110"/>
      <c r="X69" s="84"/>
      <c r="Y69" s="110"/>
      <c r="Z69" s="83"/>
      <c r="AA69" s="110"/>
      <c r="AB69" s="40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49"/>
    </row>
    <row r="70" spans="1:45" ht="15" hidden="1">
      <c r="A70" s="40"/>
      <c r="B70" s="42"/>
      <c r="C70" s="40"/>
      <c r="D70" s="40"/>
      <c r="E70" s="4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40"/>
      <c r="AC70" s="52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49"/>
    </row>
    <row r="71" spans="1:45" ht="1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64"/>
      <c r="L71" s="40"/>
      <c r="M71" s="64"/>
      <c r="N71" s="40"/>
      <c r="O71" s="64"/>
      <c r="P71" s="40"/>
      <c r="Q71" s="64"/>
      <c r="R71" s="40"/>
      <c r="S71" s="64"/>
      <c r="T71" s="40"/>
      <c r="U71" s="64"/>
      <c r="V71" s="40"/>
      <c r="W71" s="64"/>
      <c r="X71" s="40"/>
      <c r="Y71" s="64"/>
      <c r="Z71" s="40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49"/>
    </row>
    <row r="72" spans="1:45" ht="15">
      <c r="A72" s="111"/>
      <c r="B72" s="111"/>
      <c r="C72" s="102"/>
      <c r="D72" s="102"/>
      <c r="E72" s="111"/>
      <c r="F72" s="112"/>
      <c r="G72" s="112"/>
      <c r="H72" s="112"/>
      <c r="I72" s="112"/>
      <c r="J72" s="111"/>
      <c r="K72" s="105"/>
      <c r="L72" s="111"/>
      <c r="M72" s="105"/>
      <c r="N72" s="111"/>
      <c r="O72" s="105"/>
      <c r="P72" s="111"/>
      <c r="Q72" s="111"/>
      <c r="R72" s="111"/>
      <c r="S72" s="105"/>
      <c r="T72" s="111"/>
      <c r="U72" s="105"/>
      <c r="V72" s="111"/>
      <c r="W72" s="105"/>
      <c r="X72" s="111"/>
      <c r="Y72" s="105"/>
      <c r="Z72" s="111"/>
      <c r="AA72" s="111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13"/>
    </row>
    <row r="73" spans="1:45" ht="15">
      <c r="A73" s="40"/>
      <c r="B73" s="40"/>
      <c r="C73" s="114"/>
      <c r="D73" s="114"/>
      <c r="E73" s="40"/>
      <c r="F73" s="40"/>
      <c r="G73" s="40"/>
      <c r="H73" s="40"/>
      <c r="I73" s="40"/>
      <c r="J73" s="40"/>
      <c r="K73" s="64"/>
      <c r="L73" s="40"/>
      <c r="M73" s="64"/>
      <c r="N73" s="40"/>
      <c r="O73" s="64"/>
      <c r="P73" s="40"/>
      <c r="Q73" s="40"/>
      <c r="R73" s="40"/>
      <c r="S73" s="64"/>
      <c r="T73" s="40"/>
      <c r="U73" s="64"/>
      <c r="V73" s="40"/>
      <c r="W73" s="64"/>
      <c r="X73" s="40"/>
      <c r="Y73" s="64"/>
      <c r="Z73" s="40"/>
      <c r="AA73" s="40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49"/>
    </row>
    <row r="74" spans="1:45" ht="15">
      <c r="A74" s="40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43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</row>
    <row r="75" spans="1:45" ht="15" hidden="1">
      <c r="A75" s="40"/>
      <c r="B75" s="64"/>
      <c r="C75" s="64"/>
      <c r="D75" s="64"/>
      <c r="E75" s="115" t="s">
        <v>271</v>
      </c>
      <c r="F75" s="64"/>
      <c r="G75" s="64"/>
      <c r="H75" s="64"/>
      <c r="I75" s="64"/>
      <c r="J75" s="64"/>
      <c r="K75" s="64"/>
      <c r="L75" s="116" t="s">
        <v>272</v>
      </c>
      <c r="M75" s="64"/>
      <c r="N75" s="64"/>
      <c r="O75" s="64"/>
      <c r="P75" s="116" t="s">
        <v>273</v>
      </c>
      <c r="Q75" s="64"/>
      <c r="R75" s="64"/>
      <c r="S75" s="64"/>
      <c r="T75" s="116" t="s">
        <v>13</v>
      </c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</row>
    <row r="76" spans="1:45" ht="15" hidden="1">
      <c r="A76" s="40"/>
      <c r="B76" s="40"/>
      <c r="C76" s="40"/>
      <c r="D76" s="40"/>
      <c r="E76" s="117">
        <f>K76</f>
        <v>1</v>
      </c>
      <c r="F76" s="117">
        <f>M76</f>
        <v>0</v>
      </c>
      <c r="G76" s="135"/>
      <c r="H76" s="135"/>
      <c r="I76" s="135"/>
      <c r="J76" s="40"/>
      <c r="K76" s="117">
        <f>O76</f>
        <v>1</v>
      </c>
      <c r="L76" s="118"/>
      <c r="M76" s="117">
        <f>Q76</f>
        <v>0</v>
      </c>
      <c r="N76" s="40"/>
      <c r="O76" s="117">
        <f>S76</f>
        <v>1</v>
      </c>
      <c r="P76" s="118"/>
      <c r="Q76" s="117">
        <f>U76</f>
        <v>0</v>
      </c>
      <c r="R76" s="40"/>
      <c r="S76" s="117">
        <f>W94</f>
        <v>1</v>
      </c>
      <c r="T76" s="118"/>
      <c r="U76" s="117">
        <f>W95</f>
        <v>0</v>
      </c>
      <c r="V76" s="40"/>
      <c r="W76" s="40"/>
      <c r="X76" s="40"/>
      <c r="Y76" s="40"/>
      <c r="Z76" s="40"/>
      <c r="AA76" s="40"/>
      <c r="AB76" s="40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49"/>
    </row>
    <row r="77" spans="1:45" ht="15" hidden="1">
      <c r="A77" s="40"/>
      <c r="B77" s="40" t="s">
        <v>274</v>
      </c>
      <c r="C77" s="40"/>
      <c r="D77" s="40"/>
      <c r="E77" s="84">
        <f>F53*E76</f>
        <v>519099.07468333439</v>
      </c>
      <c r="F77" s="84">
        <f>F53-E77</f>
        <v>0</v>
      </c>
      <c r="G77" s="84"/>
      <c r="H77" s="84"/>
      <c r="I77" s="84"/>
      <c r="J77" s="84"/>
      <c r="K77" s="84"/>
      <c r="L77" s="84"/>
      <c r="M77" s="84"/>
      <c r="N77" s="84"/>
      <c r="O77" s="84">
        <f>Q53*O76</f>
        <v>43425.860004835238</v>
      </c>
      <c r="P77" s="84"/>
      <c r="Q77" s="84">
        <f>Q53-O77</f>
        <v>0</v>
      </c>
      <c r="R77" s="84"/>
      <c r="S77" s="84">
        <f>AA53*S76</f>
        <v>127561.02762282077</v>
      </c>
      <c r="T77" s="84"/>
      <c r="U77" s="84">
        <f>AA53-S77</f>
        <v>0</v>
      </c>
      <c r="V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9"/>
    </row>
    <row r="78" spans="1:45" ht="15" hidden="1">
      <c r="A78" s="40"/>
      <c r="B78" s="40" t="s">
        <v>275</v>
      </c>
      <c r="C78" s="40"/>
      <c r="D78" s="40"/>
      <c r="E78" s="84"/>
      <c r="F78" s="84"/>
      <c r="G78" s="84"/>
      <c r="H78" s="84"/>
      <c r="I78" s="84"/>
      <c r="J78" s="84"/>
      <c r="K78" s="84">
        <v>37232.964989750952</v>
      </c>
      <c r="L78" s="84"/>
      <c r="M78" s="84">
        <v>0</v>
      </c>
      <c r="N78" s="84"/>
      <c r="O78" s="84">
        <v>3584.8079545211212</v>
      </c>
      <c r="P78" s="84"/>
      <c r="Q78" s="84">
        <v>0</v>
      </c>
      <c r="R78" s="84"/>
      <c r="S78" s="84">
        <v>11415.675611102988</v>
      </c>
      <c r="T78" s="84"/>
      <c r="U78" s="84">
        <v>0</v>
      </c>
      <c r="V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9"/>
    </row>
    <row r="79" spans="1:45" ht="15" hidden="1">
      <c r="A79" s="40"/>
      <c r="B79" s="40" t="s">
        <v>276</v>
      </c>
      <c r="C79" s="40"/>
      <c r="D79" s="40"/>
      <c r="E79" s="83"/>
      <c r="F79" s="83"/>
      <c r="G79" s="83"/>
      <c r="H79" s="83"/>
      <c r="I79" s="83"/>
      <c r="J79" s="84"/>
      <c r="K79" s="84">
        <v>134651.65564523535</v>
      </c>
      <c r="L79" s="84"/>
      <c r="M79" s="84">
        <v>0</v>
      </c>
      <c r="N79" s="84"/>
      <c r="O79" s="84">
        <v>10740.413997248193</v>
      </c>
      <c r="P79" s="84"/>
      <c r="Q79" s="84">
        <v>0</v>
      </c>
      <c r="R79" s="84"/>
      <c r="S79" s="84">
        <v>21738.893674997009</v>
      </c>
      <c r="T79" s="84"/>
      <c r="U79" s="84">
        <v>0</v>
      </c>
      <c r="V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9"/>
    </row>
    <row r="80" spans="1:45" ht="15" hidden="1">
      <c r="A80" s="40"/>
      <c r="B80" s="40"/>
      <c r="C80" s="40" t="s">
        <v>5</v>
      </c>
      <c r="D80" s="40"/>
      <c r="E80" s="97">
        <f>SUM(E77:E79)</f>
        <v>519099.07468333439</v>
      </c>
      <c r="F80" s="97">
        <f>SUM(F77:F79)</f>
        <v>0</v>
      </c>
      <c r="G80" s="83"/>
      <c r="H80" s="83"/>
      <c r="I80" s="83"/>
      <c r="J80" s="84"/>
      <c r="K80" s="97">
        <f>SUM(K77:K79)</f>
        <v>171884.62063498632</v>
      </c>
      <c r="L80" s="83"/>
      <c r="M80" s="97">
        <f>SUM(M77:M79)</f>
        <v>0</v>
      </c>
      <c r="N80" s="84"/>
      <c r="O80" s="97">
        <f>SUM(O77:O79)</f>
        <v>57751.081956604554</v>
      </c>
      <c r="P80" s="84"/>
      <c r="Q80" s="97">
        <f>SUM(Q77:Q79)</f>
        <v>0</v>
      </c>
      <c r="R80" s="84"/>
      <c r="S80" s="97">
        <f>SUM(S77:S79)</f>
        <v>160715.59690892076</v>
      </c>
      <c r="T80" s="84"/>
      <c r="U80" s="97">
        <f>SUM(U77:U79)</f>
        <v>0</v>
      </c>
      <c r="V80" s="84"/>
      <c r="W80" s="97">
        <f>SUM(E80:U80)</f>
        <v>909450.37418384606</v>
      </c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9"/>
    </row>
    <row r="81" spans="1:45" ht="15" hidden="1">
      <c r="A81" s="40"/>
      <c r="B81" s="40"/>
      <c r="C81" s="40"/>
      <c r="D81" s="40"/>
      <c r="E81" s="84"/>
      <c r="F81" s="84"/>
      <c r="G81" s="84"/>
      <c r="H81" s="84"/>
      <c r="I81" s="84"/>
      <c r="J81" s="84"/>
      <c r="K81" s="83"/>
      <c r="L81" s="83"/>
      <c r="M81" s="83"/>
      <c r="N81" s="84"/>
      <c r="O81" s="83"/>
      <c r="P81" s="84"/>
      <c r="Q81" s="83"/>
      <c r="R81" s="84"/>
      <c r="S81" s="83"/>
      <c r="T81" s="84"/>
      <c r="U81" s="83"/>
      <c r="V81" s="84"/>
      <c r="W81" s="83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9"/>
    </row>
    <row r="82" spans="1:45" ht="15" hidden="1">
      <c r="A82" s="40"/>
      <c r="B82" s="40" t="s">
        <v>277</v>
      </c>
      <c r="C82" s="40"/>
      <c r="D82" s="40"/>
      <c r="E82" s="96">
        <v>460337.63</v>
      </c>
      <c r="F82" s="96">
        <v>0</v>
      </c>
      <c r="G82" s="83"/>
      <c r="H82" s="83"/>
      <c r="I82" s="83"/>
      <c r="J82" s="84"/>
      <c r="K82" s="84">
        <v>227555.39</v>
      </c>
      <c r="L82" s="84"/>
      <c r="M82" s="84">
        <v>0</v>
      </c>
      <c r="N82" s="84"/>
      <c r="O82" s="84">
        <v>49453.909999999989</v>
      </c>
      <c r="P82" s="84"/>
      <c r="Q82" s="84">
        <v>0</v>
      </c>
      <c r="R82" s="84"/>
      <c r="S82" s="84">
        <v>122141.03999999998</v>
      </c>
      <c r="T82" s="84"/>
      <c r="U82" s="84">
        <v>0</v>
      </c>
      <c r="V82" s="84"/>
      <c r="W82" s="84">
        <f>SUM(E82:U82)</f>
        <v>859487.97</v>
      </c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9"/>
    </row>
    <row r="83" spans="1:45" ht="15" hidden="1">
      <c r="A83" s="40"/>
      <c r="B83" s="40"/>
      <c r="C83" s="40"/>
      <c r="D83" s="40"/>
      <c r="E83" s="84"/>
      <c r="F83" s="84"/>
      <c r="G83" s="84"/>
      <c r="H83" s="84"/>
      <c r="I83" s="84"/>
      <c r="J83" s="84"/>
      <c r="K83" s="97"/>
      <c r="L83" s="83"/>
      <c r="M83" s="97"/>
      <c r="N83" s="84"/>
      <c r="O83" s="97"/>
      <c r="P83" s="84"/>
      <c r="Q83" s="97"/>
      <c r="R83" s="84"/>
      <c r="S83" s="97"/>
      <c r="T83" s="84"/>
      <c r="U83" s="97"/>
      <c r="V83" s="84"/>
      <c r="W83" s="97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9"/>
    </row>
    <row r="84" spans="1:45" ht="15" hidden="1" thickBot="1">
      <c r="A84" s="42"/>
      <c r="B84" s="42" t="s">
        <v>278</v>
      </c>
      <c r="C84" s="42"/>
      <c r="D84" s="42"/>
      <c r="E84" s="119">
        <f>E80-E82</f>
        <v>58761.444683334383</v>
      </c>
      <c r="F84" s="119">
        <f>F80-F82</f>
        <v>0</v>
      </c>
      <c r="G84" s="121"/>
      <c r="H84" s="121"/>
      <c r="I84" s="121"/>
      <c r="J84" s="120"/>
      <c r="K84" s="119">
        <f>K80-K82</f>
        <v>-55670.769365013693</v>
      </c>
      <c r="L84" s="121"/>
      <c r="M84" s="119">
        <f>M80-M82</f>
        <v>0</v>
      </c>
      <c r="N84" s="120"/>
      <c r="O84" s="119">
        <f>O80-O82</f>
        <v>8297.1719566045649</v>
      </c>
      <c r="P84" s="120"/>
      <c r="Q84" s="119">
        <f>Q80-Q82</f>
        <v>0</v>
      </c>
      <c r="R84" s="120"/>
      <c r="S84" s="119">
        <f>S80-S82</f>
        <v>38574.556908920786</v>
      </c>
      <c r="T84" s="120"/>
      <c r="U84" s="119">
        <f>U80-U82</f>
        <v>0</v>
      </c>
      <c r="V84" s="120"/>
      <c r="W84" s="119">
        <f>SUM(E84:U84)</f>
        <v>49962.40418384604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122"/>
    </row>
    <row r="85" spans="1:45" ht="15.75" hidden="1" thickTop="1">
      <c r="A85" s="40"/>
      <c r="B85" s="40"/>
      <c r="C85" s="40"/>
      <c r="D85" s="40"/>
      <c r="E85" s="123" t="s">
        <v>279</v>
      </c>
      <c r="F85" s="66" t="s">
        <v>280</v>
      </c>
      <c r="G85" s="66"/>
      <c r="H85" s="66"/>
      <c r="I85" s="66"/>
      <c r="J85" s="40"/>
      <c r="K85" s="65" t="s">
        <v>279</v>
      </c>
      <c r="L85" s="65"/>
      <c r="M85" s="65" t="s">
        <v>280</v>
      </c>
      <c r="N85" s="40"/>
      <c r="O85" s="65" t="s">
        <v>279</v>
      </c>
      <c r="P85" s="65"/>
      <c r="Q85" s="65" t="s">
        <v>280</v>
      </c>
      <c r="R85" s="64"/>
      <c r="S85" s="65" t="s">
        <v>279</v>
      </c>
      <c r="T85" s="65"/>
      <c r="U85" s="65" t="s">
        <v>280</v>
      </c>
      <c r="V85" s="40"/>
      <c r="W85" s="40"/>
      <c r="X85" s="40"/>
      <c r="Y85" s="40"/>
      <c r="Z85" s="64"/>
      <c r="AA85" s="64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9"/>
    </row>
    <row r="86" spans="1:45" ht="15" hidden="1">
      <c r="A86" s="40"/>
      <c r="B86" s="40"/>
      <c r="C86" s="40"/>
      <c r="D86" s="40"/>
      <c r="E86" s="41"/>
      <c r="F86" s="40"/>
      <c r="G86" s="40"/>
      <c r="H86" s="40"/>
      <c r="I86" s="40"/>
      <c r="J86" s="40"/>
      <c r="K86" s="64"/>
      <c r="L86" s="64"/>
      <c r="M86" s="64"/>
      <c r="N86" s="40"/>
      <c r="O86" s="64"/>
      <c r="P86" s="40"/>
      <c r="Q86" s="64"/>
      <c r="R86" s="40"/>
      <c r="S86" s="64"/>
      <c r="T86" s="42"/>
      <c r="U86" s="64"/>
      <c r="V86" s="40"/>
      <c r="W86" s="64"/>
      <c r="X86" s="40"/>
      <c r="Y86" s="40"/>
      <c r="Z86" s="40"/>
      <c r="AA86" s="40"/>
      <c r="AB86" s="40"/>
      <c r="AC86" s="64"/>
      <c r="AD86" s="64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9"/>
    </row>
    <row r="87" spans="1:45" ht="15" hidden="1">
      <c r="A87" s="40"/>
      <c r="B87" s="40"/>
      <c r="C87" s="40"/>
      <c r="D87" s="40"/>
      <c r="E87" s="41"/>
      <c r="F87" s="40"/>
      <c r="G87" s="40"/>
      <c r="H87" s="40"/>
      <c r="I87" s="40"/>
      <c r="J87" s="40"/>
      <c r="K87" s="64"/>
      <c r="L87" s="64"/>
      <c r="M87" s="64"/>
      <c r="N87" s="40"/>
      <c r="O87" s="124"/>
      <c r="P87" s="40"/>
      <c r="Q87" s="64"/>
      <c r="R87" s="40"/>
      <c r="S87" s="64"/>
      <c r="T87" s="40"/>
      <c r="U87" s="64"/>
      <c r="V87" s="40"/>
      <c r="W87" s="64"/>
      <c r="X87" s="40"/>
      <c r="Y87" s="40"/>
      <c r="Z87" s="40"/>
      <c r="AA87" s="64"/>
      <c r="AB87" s="40"/>
      <c r="AC87" s="64"/>
      <c r="AD87" s="64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9"/>
    </row>
    <row r="88" spans="1:45" ht="15" hidden="1">
      <c r="A88" s="40"/>
      <c r="B88" s="40"/>
      <c r="C88" s="40"/>
      <c r="D88" s="40"/>
      <c r="E88" s="41"/>
      <c r="F88" s="40"/>
      <c r="G88" s="40"/>
      <c r="H88" s="40"/>
      <c r="I88" s="40"/>
      <c r="J88" s="40"/>
      <c r="K88" s="64"/>
      <c r="L88" s="64"/>
      <c r="M88" s="124"/>
      <c r="N88" s="40"/>
      <c r="O88" s="64"/>
      <c r="P88" s="40"/>
      <c r="Q88" s="64"/>
      <c r="R88" s="40"/>
      <c r="S88" s="64"/>
      <c r="T88" s="40"/>
      <c r="U88" s="64"/>
      <c r="V88" s="40"/>
      <c r="W88" s="64"/>
      <c r="X88" s="40"/>
      <c r="Y88" s="40"/>
      <c r="Z88" s="40"/>
      <c r="AA88" s="64"/>
      <c r="AB88" s="40"/>
      <c r="AC88" s="64"/>
      <c r="AD88" s="64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9"/>
    </row>
    <row r="89" spans="1:45" ht="15" hidden="1">
      <c r="A89" s="40"/>
      <c r="B89" s="40"/>
      <c r="C89" s="40"/>
      <c r="D89" s="40"/>
      <c r="E89" s="41"/>
      <c r="F89" s="40"/>
      <c r="G89" s="40"/>
      <c r="H89" s="40">
        <f>H53+'WSC Salaries PF'!G75+'wp b3 - CSR PF'!I55</f>
        <v>737800.73954907979</v>
      </c>
      <c r="I89" s="40"/>
      <c r="J89" s="40"/>
      <c r="K89" s="64"/>
      <c r="L89" s="64"/>
      <c r="M89" s="64"/>
      <c r="N89" s="40"/>
      <c r="O89" s="64"/>
      <c r="P89" s="40"/>
      <c r="Q89" s="64"/>
      <c r="R89" s="40"/>
      <c r="S89" s="64"/>
      <c r="T89" s="40"/>
      <c r="U89" s="64"/>
      <c r="V89" s="40"/>
      <c r="W89" s="64"/>
      <c r="X89" s="40"/>
      <c r="Y89" s="40"/>
      <c r="Z89" s="40"/>
      <c r="AA89" s="64"/>
      <c r="AB89" s="40"/>
      <c r="AC89" s="64"/>
      <c r="AD89" s="64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9"/>
    </row>
    <row r="90" spans="1:45" ht="15" hidden="1">
      <c r="A90" s="40"/>
      <c r="B90" s="40"/>
      <c r="C90" s="40"/>
      <c r="D90" s="40"/>
      <c r="E90" s="41"/>
      <c r="F90" s="40"/>
      <c r="G90" s="40"/>
      <c r="H90" s="40"/>
      <c r="I90" s="40"/>
      <c r="J90" s="40"/>
      <c r="K90" s="64"/>
      <c r="L90" s="64"/>
      <c r="M90" s="64"/>
      <c r="N90" s="40"/>
      <c r="O90" s="124"/>
      <c r="P90" s="40"/>
      <c r="Q90" s="64"/>
      <c r="R90" s="40"/>
      <c r="S90" s="64"/>
      <c r="T90" s="40"/>
      <c r="U90" s="64"/>
      <c r="V90" s="40"/>
      <c r="W90" s="64"/>
      <c r="X90" s="40"/>
      <c r="Y90" s="40"/>
      <c r="Z90" s="40"/>
      <c r="AA90" s="64"/>
      <c r="AB90" s="40"/>
      <c r="AC90" s="64"/>
      <c r="AD90" s="64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9"/>
    </row>
    <row r="91" spans="1:45" ht="15" hidden="1">
      <c r="A91" s="40"/>
      <c r="B91" s="40"/>
      <c r="C91" s="40"/>
      <c r="D91" s="40"/>
      <c r="E91" s="41"/>
      <c r="F91" s="40"/>
      <c r="G91" s="40"/>
      <c r="H91" s="40"/>
      <c r="I91" s="40"/>
      <c r="J91" s="40"/>
      <c r="K91" s="64"/>
      <c r="L91" s="64"/>
      <c r="M91" s="64"/>
      <c r="N91" s="40"/>
      <c r="O91" s="64"/>
      <c r="P91" s="40"/>
      <c r="Q91" s="64"/>
      <c r="R91" s="40"/>
      <c r="S91" s="64"/>
      <c r="T91" s="40"/>
      <c r="U91" s="64"/>
      <c r="V91" s="40"/>
      <c r="W91" s="64"/>
      <c r="X91" s="40"/>
      <c r="Y91" s="40"/>
      <c r="Z91" s="40"/>
      <c r="AA91" s="64"/>
      <c r="AB91" s="40"/>
      <c r="AC91" s="64"/>
      <c r="AD91" s="64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9"/>
    </row>
    <row r="94" spans="1:45" ht="15">
      <c r="S94" s="125" t="s">
        <v>281</v>
      </c>
      <c r="T94" s="126" t="s">
        <v>279</v>
      </c>
      <c r="U94" s="127">
        <v>7385.1</v>
      </c>
      <c r="V94" s="127"/>
      <c r="W94" s="128">
        <f>U94/U98</f>
        <v>1</v>
      </c>
    </row>
    <row r="95" spans="1:45" ht="15">
      <c r="S95" s="129"/>
      <c r="T95" s="76" t="s">
        <v>280</v>
      </c>
      <c r="U95" s="130">
        <v>0</v>
      </c>
      <c r="V95" s="64"/>
      <c r="W95" s="131">
        <f>1-W94</f>
        <v>0</v>
      </c>
    </row>
    <row r="96" spans="1:45" ht="15">
      <c r="S96" s="129"/>
      <c r="T96" s="76"/>
      <c r="U96" s="64"/>
      <c r="V96" s="64"/>
      <c r="W96" s="131"/>
    </row>
    <row r="97" spans="19:23" ht="15">
      <c r="S97" s="129"/>
      <c r="T97" s="76"/>
      <c r="U97" s="64"/>
      <c r="V97" s="64"/>
      <c r="W97" s="131"/>
    </row>
    <row r="98" spans="19:23" ht="15">
      <c r="S98" s="132"/>
      <c r="T98" s="133"/>
      <c r="U98" s="133">
        <f>U95+U94</f>
        <v>7385.1</v>
      </c>
      <c r="V98" s="133"/>
      <c r="W98" s="134"/>
    </row>
  </sheetData>
  <pageMargins left="0.7" right="0.7" top="0.75" bottom="0.75" header="0.3" footer="0.3"/>
  <pageSetup scale="48" orientation="landscape" r:id="rId1"/>
  <rowBreaks count="1" manualBreakCount="1">
    <brk id="73" max="2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98"/>
  <sheetViews>
    <sheetView view="pageBreakPreview" zoomScale="75" zoomScaleNormal="100" zoomScaleSheetLayoutView="75" workbookViewId="0">
      <pane xSplit="3" ySplit="9" topLeftCell="D10" activePane="bottomRight" state="frozen"/>
      <selection activeCell="B71" sqref="B71:C71"/>
      <selection pane="topRight" activeCell="B71" sqref="B71:C71"/>
      <selection pane="bottomLeft" activeCell="B71" sqref="B71:C71"/>
      <selection pane="bottomRight" activeCell="A3" sqref="A3"/>
    </sheetView>
  </sheetViews>
  <sheetFormatPr defaultRowHeight="12"/>
  <cols>
    <col min="1" max="1" width="2.28515625" style="50" customWidth="1"/>
    <col min="2" max="2" width="3" style="50" customWidth="1"/>
    <col min="3" max="4" width="33.42578125" style="50" customWidth="1"/>
    <col min="5" max="5" width="1.42578125" style="50" customWidth="1"/>
    <col min="6" max="6" width="16.7109375" style="50" bestFit="1" customWidth="1"/>
    <col min="7" max="7" width="4.7109375" style="50" customWidth="1"/>
    <col min="8" max="9" width="16.7109375" style="50" bestFit="1" customWidth="1"/>
    <col min="10" max="23" width="11.42578125" style="50" customWidth="1"/>
    <col min="24" max="24" width="12.28515625" style="50" hidden="1" customWidth="1"/>
    <col min="25" max="25" width="5.85546875" style="50" hidden="1" customWidth="1"/>
    <col min="26" max="26" width="12.7109375" style="50" hidden="1" customWidth="1"/>
    <col min="27" max="27" width="1.85546875" style="50" hidden="1" customWidth="1"/>
    <col min="28" max="28" width="13.28515625" style="50" hidden="1" customWidth="1"/>
    <col min="29" max="29" width="2.42578125" style="50" hidden="1" customWidth="1"/>
    <col min="30" max="30" width="14" style="50" hidden="1" customWidth="1"/>
    <col min="31" max="31" width="3.140625" style="50" hidden="1" customWidth="1"/>
    <col min="32" max="32" width="9.42578125" style="50" hidden="1" customWidth="1"/>
    <col min="33" max="33" width="2.28515625" style="50" hidden="1" customWidth="1"/>
    <col min="34" max="34" width="11.85546875" style="50" hidden="1" customWidth="1"/>
    <col min="35" max="35" width="2.42578125" style="50" hidden="1" customWidth="1"/>
    <col min="36" max="36" width="0" style="50" hidden="1" customWidth="1"/>
    <col min="37" max="37" width="2.42578125" style="50" hidden="1" customWidth="1"/>
    <col min="38" max="38" width="13.28515625" style="50" hidden="1" customWidth="1"/>
    <col min="39" max="39" width="2.42578125" style="50" hidden="1" customWidth="1"/>
    <col min="40" max="40" width="11.5703125" style="50" hidden="1" customWidth="1"/>
    <col min="41" max="41" width="2.42578125" style="50" hidden="1" customWidth="1"/>
    <col min="42" max="42" width="0" style="50" hidden="1" customWidth="1"/>
    <col min="43" max="43" width="2.140625" style="50" hidden="1" customWidth="1"/>
    <col min="44" max="44" width="13" style="50" bestFit="1" customWidth="1"/>
    <col min="45" max="45" width="2.5703125" style="50" customWidth="1"/>
    <col min="46" max="46" width="10.28515625" style="50" customWidth="1"/>
    <col min="47" max="47" width="2.5703125" style="50" customWidth="1"/>
    <col min="48" max="48" width="10.28515625" style="50" customWidth="1"/>
    <col min="49" max="49" width="2.5703125" style="50" customWidth="1"/>
    <col min="50" max="50" width="11" style="50" bestFit="1" customWidth="1"/>
    <col min="51" max="51" width="3.28515625" style="50" customWidth="1"/>
    <col min="52" max="52" width="9.140625" style="50"/>
    <col min="53" max="53" width="2.5703125" style="50" customWidth="1"/>
    <col min="54" max="54" width="9.140625" style="50"/>
    <col min="55" max="55" width="2.5703125" style="50" customWidth="1"/>
    <col min="56" max="56" width="10.5703125" style="50" bestFit="1" customWidth="1"/>
    <col min="57" max="57" width="9.140625" style="50"/>
    <col min="58" max="58" width="23" style="50" bestFit="1" customWidth="1"/>
    <col min="59" max="16384" width="9.140625" style="50"/>
  </cols>
  <sheetData>
    <row r="1" spans="1:60" ht="15.75" thickBot="1">
      <c r="A1" s="39" t="s">
        <v>235</v>
      </c>
      <c r="B1" s="40"/>
      <c r="C1" s="39"/>
      <c r="D1" s="39"/>
      <c r="E1" s="41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2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3" t="s">
        <v>236</v>
      </c>
      <c r="AQ1" s="40"/>
      <c r="AR1" s="40"/>
      <c r="AS1" s="40"/>
      <c r="AT1" s="39"/>
      <c r="AU1" s="39"/>
      <c r="AV1" s="39"/>
      <c r="AW1" s="39"/>
      <c r="AX1" s="39"/>
      <c r="AY1" s="39"/>
      <c r="AZ1" s="39"/>
      <c r="BA1" s="39"/>
      <c r="BB1" s="43"/>
      <c r="BC1" s="44"/>
      <c r="BD1" s="45"/>
      <c r="BE1" s="46"/>
      <c r="BF1" s="47" t="s">
        <v>4</v>
      </c>
      <c r="BG1" s="48" t="s">
        <v>237</v>
      </c>
      <c r="BH1" s="49"/>
    </row>
    <row r="2" spans="1:60" ht="15.75" thickBot="1">
      <c r="A2" s="39"/>
      <c r="B2" s="40"/>
      <c r="C2" s="39"/>
      <c r="D2" s="39"/>
      <c r="E2" s="41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2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3"/>
      <c r="AQ2" s="40"/>
      <c r="AR2" s="40"/>
      <c r="AS2" s="40"/>
      <c r="AT2" s="39"/>
      <c r="AU2" s="39"/>
      <c r="AV2" s="39"/>
      <c r="AW2" s="39"/>
      <c r="AX2" s="39"/>
      <c r="AY2" s="39"/>
      <c r="AZ2" s="39"/>
      <c r="BA2" s="39"/>
      <c r="BB2" s="43"/>
      <c r="BC2" s="44"/>
      <c r="BD2" s="45"/>
      <c r="BE2" s="46"/>
      <c r="BF2" s="47"/>
      <c r="BG2" s="48"/>
      <c r="BH2" s="49"/>
    </row>
    <row r="3" spans="1:60" ht="15.75" thickBot="1">
      <c r="A3" s="1" t="s">
        <v>362</v>
      </c>
      <c r="B3" s="40"/>
      <c r="C3" s="40"/>
      <c r="D3" s="218" t="s">
        <v>0</v>
      </c>
      <c r="E3" s="41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51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52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53" t="s">
        <v>238</v>
      </c>
      <c r="BF3" s="54">
        <v>9300</v>
      </c>
      <c r="BG3" s="55">
        <v>3.3000000000000002E-2</v>
      </c>
      <c r="BH3" s="49"/>
    </row>
    <row r="4" spans="1:60" ht="15">
      <c r="A4" s="42"/>
      <c r="B4" s="40"/>
      <c r="C4" s="40"/>
      <c r="D4" s="40"/>
      <c r="E4" s="41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56"/>
      <c r="AC4" s="40"/>
      <c r="AD4" s="57" t="s">
        <v>239</v>
      </c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52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58"/>
      <c r="BF4" s="59"/>
      <c r="BG4" s="60"/>
      <c r="BH4" s="49"/>
    </row>
    <row r="5" spans="1:60" ht="15">
      <c r="A5" s="42"/>
      <c r="B5" s="40"/>
      <c r="C5" s="40"/>
      <c r="D5" s="40"/>
      <c r="E5" s="41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56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52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58"/>
      <c r="BF5" s="59"/>
      <c r="BG5" s="60"/>
      <c r="BH5" s="49"/>
    </row>
    <row r="6" spans="1:60" ht="15">
      <c r="A6" s="40"/>
      <c r="B6" s="40"/>
      <c r="C6" s="40"/>
      <c r="D6" s="40"/>
      <c r="E6" s="41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56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58"/>
      <c r="BF6" s="59"/>
      <c r="BG6" s="60"/>
      <c r="BH6" s="49"/>
    </row>
    <row r="7" spans="1:60" ht="15">
      <c r="A7" s="40"/>
      <c r="B7" s="42"/>
      <c r="C7" s="40"/>
      <c r="D7" s="40"/>
      <c r="E7" s="41"/>
      <c r="F7" s="217" t="s">
        <v>336</v>
      </c>
      <c r="G7" s="1"/>
      <c r="H7" s="217" t="s">
        <v>356</v>
      </c>
      <c r="I7" s="217" t="s">
        <v>357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61"/>
      <c r="Y7" s="40"/>
      <c r="Z7" s="40"/>
      <c r="AA7" s="40"/>
      <c r="AB7" s="40"/>
      <c r="AC7" s="40"/>
      <c r="AD7" s="62"/>
      <c r="AE7" s="40"/>
      <c r="AF7" s="40"/>
      <c r="AG7" s="40"/>
      <c r="AH7" s="63">
        <v>41274</v>
      </c>
      <c r="AI7" s="64"/>
      <c r="AJ7" s="64"/>
      <c r="AK7" s="65"/>
      <c r="AL7" s="66" t="s">
        <v>24</v>
      </c>
      <c r="AM7" s="64"/>
      <c r="AN7" s="64"/>
      <c r="AO7" s="64"/>
      <c r="AP7" s="40"/>
      <c r="AQ7" s="40"/>
      <c r="AR7" s="66" t="s">
        <v>241</v>
      </c>
      <c r="AS7" s="66"/>
      <c r="AT7" s="49"/>
      <c r="AU7" s="67"/>
      <c r="AV7" s="67"/>
      <c r="AW7" s="67"/>
      <c r="AX7" s="61"/>
      <c r="AY7" s="61"/>
      <c r="AZ7" s="61"/>
      <c r="BA7" s="61"/>
      <c r="BB7" s="61"/>
      <c r="BC7" s="61"/>
      <c r="BD7" s="65" t="s">
        <v>240</v>
      </c>
      <c r="BE7" s="64"/>
      <c r="BF7" s="64"/>
      <c r="BG7" s="64"/>
      <c r="BH7" s="68"/>
    </row>
    <row r="8" spans="1:60" ht="15">
      <c r="A8" s="66"/>
      <c r="B8" s="66"/>
      <c r="C8" s="66"/>
      <c r="D8" s="66"/>
      <c r="E8" s="66"/>
      <c r="F8" s="15" t="s">
        <v>1</v>
      </c>
      <c r="G8" s="19"/>
      <c r="H8" s="15" t="s">
        <v>1</v>
      </c>
      <c r="I8" s="15" t="s">
        <v>1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61"/>
      <c r="Y8" s="66"/>
      <c r="Z8" s="66" t="s">
        <v>2</v>
      </c>
      <c r="AA8" s="66"/>
      <c r="AB8" s="66" t="s">
        <v>3</v>
      </c>
      <c r="AC8" s="66"/>
      <c r="AD8" s="66" t="s">
        <v>4</v>
      </c>
      <c r="AE8" s="66"/>
      <c r="AF8" s="66" t="s">
        <v>5</v>
      </c>
      <c r="AG8" s="66"/>
      <c r="AH8" s="66" t="s">
        <v>6</v>
      </c>
      <c r="AI8" s="66"/>
      <c r="AJ8" s="66" t="s">
        <v>243</v>
      </c>
      <c r="AK8" s="66"/>
      <c r="AL8" s="66" t="s">
        <v>25</v>
      </c>
      <c r="AM8" s="66"/>
      <c r="AN8" s="63">
        <v>41274</v>
      </c>
      <c r="AO8" s="66"/>
      <c r="AP8" s="66" t="s">
        <v>5</v>
      </c>
      <c r="AQ8" s="66"/>
      <c r="AR8" s="66" t="s">
        <v>244</v>
      </c>
      <c r="AS8" s="66"/>
      <c r="AT8" s="66" t="s">
        <v>245</v>
      </c>
      <c r="AU8" s="66"/>
      <c r="AV8" s="66" t="s">
        <v>245</v>
      </c>
      <c r="AW8" s="66"/>
      <c r="AX8" s="65" t="s">
        <v>242</v>
      </c>
      <c r="AY8" s="65"/>
      <c r="AZ8" s="65" t="s">
        <v>246</v>
      </c>
      <c r="BA8" s="65"/>
      <c r="BB8" s="69"/>
      <c r="BC8" s="65"/>
      <c r="BD8" s="65" t="s">
        <v>242</v>
      </c>
      <c r="BE8" s="58"/>
      <c r="BF8" s="59"/>
      <c r="BG8" s="70"/>
      <c r="BH8" s="71"/>
    </row>
    <row r="9" spans="1:60" ht="15">
      <c r="A9" s="66"/>
      <c r="B9" s="66"/>
      <c r="C9" s="66"/>
      <c r="D9" s="66" t="s">
        <v>247</v>
      </c>
      <c r="E9" s="66"/>
      <c r="F9" s="22" t="s">
        <v>7</v>
      </c>
      <c r="G9" s="19"/>
      <c r="H9" s="22" t="s">
        <v>7</v>
      </c>
      <c r="I9" s="22" t="s">
        <v>7</v>
      </c>
      <c r="J9" s="19"/>
      <c r="K9" s="238">
        <v>41851</v>
      </c>
      <c r="L9" s="238">
        <v>41882</v>
      </c>
      <c r="M9" s="238">
        <v>41912</v>
      </c>
      <c r="N9" s="238">
        <v>41943</v>
      </c>
      <c r="O9" s="238">
        <v>41973</v>
      </c>
      <c r="P9" s="238">
        <v>42004</v>
      </c>
      <c r="Q9" s="238">
        <v>42035</v>
      </c>
      <c r="R9" s="238">
        <v>42063</v>
      </c>
      <c r="S9" s="238">
        <v>42094</v>
      </c>
      <c r="T9" s="238">
        <v>42124</v>
      </c>
      <c r="U9" s="238">
        <v>42155</v>
      </c>
      <c r="V9" s="238">
        <v>42185</v>
      </c>
      <c r="W9" s="19"/>
      <c r="X9" s="61"/>
      <c r="Y9" s="66" t="s">
        <v>248</v>
      </c>
      <c r="Z9" s="73" t="str">
        <f>"7.65%"</f>
        <v>7.65%</v>
      </c>
      <c r="AA9" s="66"/>
      <c r="AB9" s="73" t="s">
        <v>9</v>
      </c>
      <c r="AC9" s="66"/>
      <c r="AD9" s="73" t="s">
        <v>249</v>
      </c>
      <c r="AE9" s="66"/>
      <c r="AF9" s="73" t="s">
        <v>10</v>
      </c>
      <c r="AG9" s="66"/>
      <c r="AH9" s="73" t="s">
        <v>11</v>
      </c>
      <c r="AI9" s="66"/>
      <c r="AJ9" s="73" t="s">
        <v>250</v>
      </c>
      <c r="AK9" s="66"/>
      <c r="AL9" s="73" t="s">
        <v>251</v>
      </c>
      <c r="AM9" s="66"/>
      <c r="AN9" s="73" t="s">
        <v>12</v>
      </c>
      <c r="AO9" s="66"/>
      <c r="AP9" s="73" t="s">
        <v>13</v>
      </c>
      <c r="AQ9" s="65"/>
      <c r="AR9" s="73"/>
      <c r="AS9" s="73"/>
      <c r="AT9" s="74"/>
      <c r="AU9" s="67"/>
      <c r="AV9" s="72" t="s">
        <v>252</v>
      </c>
      <c r="AW9" s="67"/>
      <c r="AX9" s="72" t="s">
        <v>7</v>
      </c>
      <c r="AY9" s="61"/>
      <c r="AZ9" s="61" t="s">
        <v>253</v>
      </c>
      <c r="BA9" s="67"/>
      <c r="BB9" s="72" t="s">
        <v>254</v>
      </c>
      <c r="BC9" s="61"/>
      <c r="BD9" s="72" t="s">
        <v>7</v>
      </c>
      <c r="BE9" s="65"/>
      <c r="BF9" s="65"/>
      <c r="BG9" s="65"/>
      <c r="BH9" s="75"/>
    </row>
    <row r="10" spans="1:60" ht="15.75" thickBot="1">
      <c r="A10" s="40"/>
      <c r="B10" s="76" t="s">
        <v>255</v>
      </c>
      <c r="C10" s="64"/>
      <c r="D10" s="64"/>
      <c r="E10" s="41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40"/>
      <c r="Z10" s="40"/>
      <c r="AA10" s="40"/>
      <c r="AB10" s="40"/>
      <c r="AC10" s="40"/>
      <c r="AD10" s="78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79"/>
      <c r="AU10" s="80"/>
      <c r="AV10" s="67"/>
      <c r="AW10" s="80"/>
      <c r="AX10" s="80"/>
      <c r="AY10" s="80"/>
      <c r="AZ10" s="80"/>
      <c r="BA10" s="80"/>
      <c r="BB10" s="77"/>
      <c r="BC10" s="77"/>
      <c r="BD10" s="77"/>
      <c r="BE10" s="40"/>
      <c r="BF10" s="40"/>
      <c r="BG10" s="40"/>
      <c r="BH10" s="68"/>
    </row>
    <row r="11" spans="1:60" ht="15.75" thickBot="1">
      <c r="A11" s="40"/>
      <c r="B11" s="81"/>
      <c r="C11" s="82" t="str">
        <f t="shared" ref="C11:C21" si="0">CONCATENATE("Maintenance ", BH11)</f>
        <v>Maintenance 1</v>
      </c>
      <c r="D11" s="82" t="s">
        <v>256</v>
      </c>
      <c r="E11" s="40"/>
      <c r="F11" s="83">
        <f t="shared" ref="F11:F20" si="1">BD11</f>
        <v>50756.05</v>
      </c>
      <c r="G11" s="83"/>
      <c r="H11" s="83">
        <f>F11*(1.03)</f>
        <v>52278.731500000002</v>
      </c>
      <c r="I11" s="83">
        <f>H11*1.03</f>
        <v>53847.093445000006</v>
      </c>
      <c r="J11" s="83"/>
      <c r="K11" s="239">
        <f>$H11/12</f>
        <v>4356.5609583333335</v>
      </c>
      <c r="L11" s="239">
        <f t="shared" ref="L11:S21" si="2">$H11/12</f>
        <v>4356.5609583333335</v>
      </c>
      <c r="M11" s="239">
        <f t="shared" si="2"/>
        <v>4356.5609583333335</v>
      </c>
      <c r="N11" s="239">
        <f t="shared" si="2"/>
        <v>4356.5609583333335</v>
      </c>
      <c r="O11" s="239">
        <f t="shared" si="2"/>
        <v>4356.5609583333335</v>
      </c>
      <c r="P11" s="239">
        <f t="shared" si="2"/>
        <v>4356.5609583333335</v>
      </c>
      <c r="Q11" s="239">
        <f t="shared" si="2"/>
        <v>4356.5609583333335</v>
      </c>
      <c r="R11" s="239">
        <f t="shared" si="2"/>
        <v>4356.5609583333335</v>
      </c>
      <c r="S11" s="239">
        <f t="shared" si="2"/>
        <v>4356.5609583333335</v>
      </c>
      <c r="T11" s="239">
        <f>$I11/12</f>
        <v>4487.2577870833338</v>
      </c>
      <c r="U11" s="239">
        <f t="shared" ref="U11:V21" si="3">$I11/12</f>
        <v>4487.2577870833338</v>
      </c>
      <c r="V11" s="239">
        <f t="shared" si="3"/>
        <v>4487.2577870833338</v>
      </c>
      <c r="W11" s="83"/>
      <c r="X11" s="83"/>
      <c r="Y11" s="84"/>
      <c r="Z11" s="84">
        <f>+ROUND((IF(F11&gt;=113700,113700*0.062,F11*0.062)+(F11*0.0145)),0)</f>
        <v>3883</v>
      </c>
      <c r="AA11" s="84"/>
      <c r="AB11" s="84">
        <f>ROUND(7000*0.008,0)</f>
        <v>56</v>
      </c>
      <c r="AC11" s="84"/>
      <c r="AD11" s="83">
        <f>IF(F11&lt;=9300,F11*0.033,9300*0.033)</f>
        <v>306.90000000000003</v>
      </c>
      <c r="AE11" s="84"/>
      <c r="AF11" s="84">
        <f>SUM(Z11:AD11)</f>
        <v>4245.8999999999996</v>
      </c>
      <c r="AG11" s="84"/>
      <c r="AH11" s="84">
        <v>7481.8509443099274</v>
      </c>
      <c r="AI11" s="84"/>
      <c r="AJ11" s="84">
        <f>F11*0.03</f>
        <v>1522.6815000000001</v>
      </c>
      <c r="AK11" s="84"/>
      <c r="AL11" s="84">
        <f>F11*0.04</f>
        <v>2030.2420000000002</v>
      </c>
      <c r="AM11" s="84"/>
      <c r="AN11" s="84">
        <v>453.52290556900732</v>
      </c>
      <c r="AO11" s="84"/>
      <c r="AP11" s="84">
        <f>SUM(AH11:AN11)</f>
        <v>11488.297349878934</v>
      </c>
      <c r="AQ11" s="40"/>
      <c r="AR11" s="85">
        <v>1</v>
      </c>
      <c r="AS11" s="52"/>
      <c r="AT11" s="86">
        <v>21.1</v>
      </c>
      <c r="AU11" s="77"/>
      <c r="AV11" s="65">
        <v>2080</v>
      </c>
      <c r="AW11" s="40"/>
      <c r="AX11" s="87">
        <f>AT11*AV11</f>
        <v>43888</v>
      </c>
      <c r="AY11" s="83"/>
      <c r="AZ11" s="83">
        <v>217</v>
      </c>
      <c r="BA11" s="84"/>
      <c r="BB11" s="88">
        <f>AZ11*AT11*1.5</f>
        <v>6868.0500000000011</v>
      </c>
      <c r="BC11" s="84"/>
      <c r="BD11" s="84">
        <f>BB11+AX11</f>
        <v>50756.05</v>
      </c>
      <c r="BE11" s="58"/>
      <c r="BF11" s="89"/>
      <c r="BG11" s="90"/>
      <c r="BH11" s="91">
        <v>1</v>
      </c>
    </row>
    <row r="12" spans="1:60" ht="15.75" thickBot="1">
      <c r="A12" s="40"/>
      <c r="B12" s="81"/>
      <c r="C12" s="82" t="str">
        <f t="shared" si="0"/>
        <v>Maintenance 2</v>
      </c>
      <c r="D12" s="82" t="s">
        <v>257</v>
      </c>
      <c r="E12" s="41"/>
      <c r="F12" s="83">
        <f t="shared" si="1"/>
        <v>39906.829999999994</v>
      </c>
      <c r="G12" s="83"/>
      <c r="H12" s="83">
        <f t="shared" ref="H12:H21" si="4">F12*(1.03)</f>
        <v>41104.034899999999</v>
      </c>
      <c r="I12" s="83">
        <f t="shared" ref="I12:I21" si="5">H12*1.03</f>
        <v>42337.155946999999</v>
      </c>
      <c r="J12" s="83"/>
      <c r="K12" s="239">
        <f t="shared" ref="K12:K21" si="6">$H12/12</f>
        <v>3425.3362416666664</v>
      </c>
      <c r="L12" s="239">
        <f t="shared" si="2"/>
        <v>3425.3362416666664</v>
      </c>
      <c r="M12" s="239">
        <f t="shared" si="2"/>
        <v>3425.3362416666664</v>
      </c>
      <c r="N12" s="239">
        <f t="shared" si="2"/>
        <v>3425.3362416666664</v>
      </c>
      <c r="O12" s="239">
        <f t="shared" si="2"/>
        <v>3425.3362416666664</v>
      </c>
      <c r="P12" s="239">
        <f t="shared" si="2"/>
        <v>3425.3362416666664</v>
      </c>
      <c r="Q12" s="239">
        <f t="shared" si="2"/>
        <v>3425.3362416666664</v>
      </c>
      <c r="R12" s="239">
        <f t="shared" si="2"/>
        <v>3425.3362416666664</v>
      </c>
      <c r="S12" s="239">
        <f t="shared" si="2"/>
        <v>3425.3362416666664</v>
      </c>
      <c r="T12" s="239">
        <f t="shared" ref="T12:T21" si="7">$I12/12</f>
        <v>3528.0963289166666</v>
      </c>
      <c r="U12" s="239">
        <f t="shared" si="3"/>
        <v>3528.0963289166666</v>
      </c>
      <c r="V12" s="239">
        <f t="shared" si="3"/>
        <v>3528.0963289166666</v>
      </c>
      <c r="W12" s="83"/>
      <c r="X12" s="83"/>
      <c r="Y12" s="84"/>
      <c r="Z12" s="84">
        <f>+ROUND((IF(F12&gt;=113700,113700*0.062,F12*0.062)+(F12*0.0145)),0)</f>
        <v>3053</v>
      </c>
      <c r="AA12" s="84"/>
      <c r="AB12" s="84">
        <f t="shared" ref="AB12:AB21" si="8">ROUND(7000*0.008,0)</f>
        <v>56</v>
      </c>
      <c r="AC12" s="84"/>
      <c r="AD12" s="83">
        <f>IF(F12&lt;=9300,F12*0.033,9300*0.033)</f>
        <v>306.90000000000003</v>
      </c>
      <c r="AE12" s="84"/>
      <c r="AF12" s="84">
        <f>SUM(Z12:AD12)</f>
        <v>3415.9</v>
      </c>
      <c r="AG12" s="84"/>
      <c r="AH12" s="84">
        <f t="shared" ref="AH12:AH21" si="9">+AH11</f>
        <v>7481.8509443099274</v>
      </c>
      <c r="AI12" s="84"/>
      <c r="AJ12" s="84">
        <f>F12*0.03</f>
        <v>1197.2048999999997</v>
      </c>
      <c r="AK12" s="84"/>
      <c r="AL12" s="84">
        <f>F12*0.04</f>
        <v>1596.2731999999999</v>
      </c>
      <c r="AM12" s="84"/>
      <c r="AN12" s="84">
        <f>+AN11</f>
        <v>453.52290556900732</v>
      </c>
      <c r="AO12" s="84"/>
      <c r="AP12" s="84">
        <f>SUM(AH12:AN12)</f>
        <v>10728.851949878934</v>
      </c>
      <c r="AQ12" s="40"/>
      <c r="AR12" s="85">
        <v>1</v>
      </c>
      <c r="AS12" s="52"/>
      <c r="AT12" s="86">
        <v>18.739999999999998</v>
      </c>
      <c r="AU12" s="77"/>
      <c r="AV12" s="65">
        <v>2080</v>
      </c>
      <c r="AW12" s="40"/>
      <c r="AX12" s="87">
        <f t="shared" ref="AX12:AX21" si="10">AT12*AV12</f>
        <v>38979.199999999997</v>
      </c>
      <c r="AY12" s="83"/>
      <c r="AZ12" s="83">
        <v>33</v>
      </c>
      <c r="BA12" s="84"/>
      <c r="BB12" s="88">
        <f t="shared" ref="BB12:BB21" si="11">AZ12*AT12*1.5</f>
        <v>927.62999999999988</v>
      </c>
      <c r="BC12" s="84"/>
      <c r="BD12" s="84">
        <f t="shared" ref="BD12:BD21" si="12">BB12+AX12</f>
        <v>39906.829999999994</v>
      </c>
      <c r="BE12" s="58"/>
      <c r="BF12" s="89"/>
      <c r="BG12" s="90"/>
      <c r="BH12" s="91">
        <f>+BH11+1</f>
        <v>2</v>
      </c>
    </row>
    <row r="13" spans="1:60" ht="15.75" thickBot="1">
      <c r="A13" s="40"/>
      <c r="B13" s="81"/>
      <c r="C13" s="82" t="str">
        <f t="shared" si="0"/>
        <v>Maintenance 3</v>
      </c>
      <c r="D13" s="82" t="s">
        <v>258</v>
      </c>
      <c r="E13" s="41"/>
      <c r="F13" s="83">
        <f t="shared" si="1"/>
        <v>32332.0625</v>
      </c>
      <c r="G13" s="83"/>
      <c r="H13" s="83">
        <f t="shared" si="4"/>
        <v>33302.024375000001</v>
      </c>
      <c r="I13" s="83">
        <f t="shared" si="5"/>
        <v>34301.085106250001</v>
      </c>
      <c r="J13" s="83"/>
      <c r="K13" s="239">
        <f t="shared" si="6"/>
        <v>2775.1686979166666</v>
      </c>
      <c r="L13" s="239">
        <f t="shared" si="2"/>
        <v>2775.1686979166666</v>
      </c>
      <c r="M13" s="239">
        <f t="shared" si="2"/>
        <v>2775.1686979166666</v>
      </c>
      <c r="N13" s="239">
        <f t="shared" si="2"/>
        <v>2775.1686979166666</v>
      </c>
      <c r="O13" s="239">
        <f t="shared" si="2"/>
        <v>2775.1686979166666</v>
      </c>
      <c r="P13" s="239">
        <f t="shared" si="2"/>
        <v>2775.1686979166666</v>
      </c>
      <c r="Q13" s="239">
        <f t="shared" si="2"/>
        <v>2775.1686979166666</v>
      </c>
      <c r="R13" s="239">
        <f t="shared" si="2"/>
        <v>2775.1686979166666</v>
      </c>
      <c r="S13" s="239">
        <f t="shared" si="2"/>
        <v>2775.1686979166666</v>
      </c>
      <c r="T13" s="239">
        <f t="shared" si="7"/>
        <v>2858.4237588541669</v>
      </c>
      <c r="U13" s="239">
        <f t="shared" si="3"/>
        <v>2858.4237588541669</v>
      </c>
      <c r="V13" s="239">
        <f t="shared" si="3"/>
        <v>2858.4237588541669</v>
      </c>
      <c r="W13" s="83"/>
      <c r="X13" s="83"/>
      <c r="Y13" s="84"/>
      <c r="Z13" s="84">
        <f>+ROUND((IF(F13&gt;=113700,113700*0.062,F13*0.062)+(F13*0.0145)),0)</f>
        <v>2473</v>
      </c>
      <c r="AA13" s="84"/>
      <c r="AB13" s="84">
        <f t="shared" si="8"/>
        <v>56</v>
      </c>
      <c r="AC13" s="84"/>
      <c r="AD13" s="83">
        <f>IF(F13&lt;=9300,F13*0.033,9300*0.033)</f>
        <v>306.90000000000003</v>
      </c>
      <c r="AE13" s="84"/>
      <c r="AF13" s="84">
        <f>SUM(Z13:AD13)</f>
        <v>2835.9</v>
      </c>
      <c r="AG13" s="84"/>
      <c r="AH13" s="84">
        <f t="shared" si="9"/>
        <v>7481.8509443099274</v>
      </c>
      <c r="AI13" s="84"/>
      <c r="AJ13" s="84">
        <f>F13*0.03</f>
        <v>969.96187499999996</v>
      </c>
      <c r="AK13" s="84"/>
      <c r="AL13" s="84">
        <f>F13*0.04</f>
        <v>1293.2825</v>
      </c>
      <c r="AM13" s="84"/>
      <c r="AN13" s="84">
        <f>+AN12</f>
        <v>453.52290556900732</v>
      </c>
      <c r="AO13" s="84"/>
      <c r="AP13" s="84">
        <f>SUM(AH13:AN13)</f>
        <v>10198.618224878934</v>
      </c>
      <c r="AQ13" s="40"/>
      <c r="AR13" s="85">
        <v>1</v>
      </c>
      <c r="AS13" s="52"/>
      <c r="AT13" s="86">
        <v>14.33</v>
      </c>
      <c r="AU13" s="77"/>
      <c r="AV13" s="65">
        <v>2080</v>
      </c>
      <c r="AW13" s="40"/>
      <c r="AX13" s="87">
        <f t="shared" si="10"/>
        <v>29806.400000000001</v>
      </c>
      <c r="AY13" s="83"/>
      <c r="AZ13" s="83">
        <v>117.5</v>
      </c>
      <c r="BA13" s="84"/>
      <c r="BB13" s="88">
        <f t="shared" si="11"/>
        <v>2525.6625000000004</v>
      </c>
      <c r="BC13" s="84"/>
      <c r="BD13" s="84">
        <f t="shared" si="12"/>
        <v>32332.0625</v>
      </c>
      <c r="BE13" s="58"/>
      <c r="BF13" s="89"/>
      <c r="BG13" s="90"/>
      <c r="BH13" s="91">
        <f t="shared" ref="BH13:BH21" si="13">+BH12+1</f>
        <v>3</v>
      </c>
    </row>
    <row r="14" spans="1:60" ht="15.75" thickBot="1">
      <c r="A14" s="40"/>
      <c r="B14" s="81"/>
      <c r="C14" s="82" t="str">
        <f t="shared" si="0"/>
        <v>Maintenance 4</v>
      </c>
      <c r="D14" s="82" t="s">
        <v>259</v>
      </c>
      <c r="E14" s="41"/>
      <c r="F14" s="83">
        <f t="shared" si="1"/>
        <v>73654.799999999988</v>
      </c>
      <c r="G14" s="83"/>
      <c r="H14" s="83">
        <f t="shared" si="4"/>
        <v>75864.443999999989</v>
      </c>
      <c r="I14" s="83">
        <f t="shared" si="5"/>
        <v>78140.377319999985</v>
      </c>
      <c r="J14" s="83"/>
      <c r="K14" s="239">
        <f t="shared" si="6"/>
        <v>6322.0369999999994</v>
      </c>
      <c r="L14" s="239">
        <f t="shared" si="2"/>
        <v>6322.0369999999994</v>
      </c>
      <c r="M14" s="239">
        <f t="shared" si="2"/>
        <v>6322.0369999999994</v>
      </c>
      <c r="N14" s="239">
        <f t="shared" si="2"/>
        <v>6322.0369999999994</v>
      </c>
      <c r="O14" s="239">
        <f t="shared" si="2"/>
        <v>6322.0369999999994</v>
      </c>
      <c r="P14" s="239">
        <f t="shared" si="2"/>
        <v>6322.0369999999994</v>
      </c>
      <c r="Q14" s="239">
        <f t="shared" si="2"/>
        <v>6322.0369999999994</v>
      </c>
      <c r="R14" s="239">
        <f t="shared" si="2"/>
        <v>6322.0369999999994</v>
      </c>
      <c r="S14" s="239">
        <f t="shared" si="2"/>
        <v>6322.0369999999994</v>
      </c>
      <c r="T14" s="239">
        <f t="shared" si="7"/>
        <v>6511.6981099999985</v>
      </c>
      <c r="U14" s="239">
        <f t="shared" si="3"/>
        <v>6511.6981099999985</v>
      </c>
      <c r="V14" s="239">
        <f t="shared" si="3"/>
        <v>6511.6981099999985</v>
      </c>
      <c r="W14" s="83"/>
      <c r="X14" s="83"/>
      <c r="Y14" s="84"/>
      <c r="Z14" s="84">
        <f>+ROUND((IF(F14&gt;=113700,113700*0.062,F14*0.062)+(F14*0.0145)),0)</f>
        <v>5635</v>
      </c>
      <c r="AA14" s="84"/>
      <c r="AB14" s="84">
        <f t="shared" si="8"/>
        <v>56</v>
      </c>
      <c r="AC14" s="84"/>
      <c r="AD14" s="83">
        <f>IF(F14&lt;=9300,F14*0.033,9300*0.033)</f>
        <v>306.90000000000003</v>
      </c>
      <c r="AE14" s="84"/>
      <c r="AF14" s="84">
        <f t="shared" ref="AF14:AF20" si="14">SUM(Z14:AD14)</f>
        <v>5997.9</v>
      </c>
      <c r="AG14" s="84"/>
      <c r="AH14" s="84">
        <f t="shared" si="9"/>
        <v>7481.8509443099274</v>
      </c>
      <c r="AI14" s="84"/>
      <c r="AJ14" s="84">
        <f>F14*0.03</f>
        <v>2209.6439999999998</v>
      </c>
      <c r="AK14" s="84"/>
      <c r="AL14" s="84">
        <f>F14*0.04</f>
        <v>2946.1919999999996</v>
      </c>
      <c r="AM14" s="84"/>
      <c r="AN14" s="84">
        <f>+AN13</f>
        <v>453.52290556900732</v>
      </c>
      <c r="AO14" s="84"/>
      <c r="AP14" s="84">
        <f t="shared" ref="AP14:AP19" si="15">SUM(AH14:AN14)</f>
        <v>13091.209849878933</v>
      </c>
      <c r="AQ14" s="40"/>
      <c r="AR14" s="85">
        <v>1</v>
      </c>
      <c r="AS14" s="52"/>
      <c r="AT14" s="86">
        <v>3068.95</v>
      </c>
      <c r="AU14" s="77"/>
      <c r="AV14" s="65">
        <v>24</v>
      </c>
      <c r="AW14" s="40"/>
      <c r="AX14" s="87">
        <f t="shared" si="10"/>
        <v>73654.799999999988</v>
      </c>
      <c r="AY14" s="83"/>
      <c r="AZ14" s="83">
        <v>0</v>
      </c>
      <c r="BA14" s="84"/>
      <c r="BB14" s="88">
        <f t="shared" si="11"/>
        <v>0</v>
      </c>
      <c r="BC14" s="84"/>
      <c r="BD14" s="84">
        <f t="shared" si="12"/>
        <v>73654.799999999988</v>
      </c>
      <c r="BE14" s="58"/>
      <c r="BF14" s="89"/>
      <c r="BG14" s="90"/>
      <c r="BH14" s="91">
        <f t="shared" si="13"/>
        <v>4</v>
      </c>
    </row>
    <row r="15" spans="1:60" ht="15.75" thickBot="1">
      <c r="A15" s="40"/>
      <c r="B15" s="81"/>
      <c r="C15" s="82" t="str">
        <f t="shared" si="0"/>
        <v>Maintenance 5</v>
      </c>
      <c r="D15" s="82" t="s">
        <v>260</v>
      </c>
      <c r="E15" s="40"/>
      <c r="F15" s="83">
        <f t="shared" si="1"/>
        <v>51470.21</v>
      </c>
      <c r="G15" s="83"/>
      <c r="H15" s="83">
        <f t="shared" si="4"/>
        <v>53014.316299999999</v>
      </c>
      <c r="I15" s="83">
        <f t="shared" si="5"/>
        <v>54604.745789000001</v>
      </c>
      <c r="J15" s="83"/>
      <c r="K15" s="239">
        <f t="shared" si="6"/>
        <v>4417.8596916666665</v>
      </c>
      <c r="L15" s="239">
        <f t="shared" si="2"/>
        <v>4417.8596916666665</v>
      </c>
      <c r="M15" s="239">
        <f t="shared" si="2"/>
        <v>4417.8596916666665</v>
      </c>
      <c r="N15" s="239">
        <f t="shared" si="2"/>
        <v>4417.8596916666665</v>
      </c>
      <c r="O15" s="239">
        <f t="shared" si="2"/>
        <v>4417.8596916666665</v>
      </c>
      <c r="P15" s="239">
        <f t="shared" si="2"/>
        <v>4417.8596916666665</v>
      </c>
      <c r="Q15" s="239">
        <f t="shared" si="2"/>
        <v>4417.8596916666665</v>
      </c>
      <c r="R15" s="239">
        <f t="shared" si="2"/>
        <v>4417.8596916666665</v>
      </c>
      <c r="S15" s="239">
        <f t="shared" si="2"/>
        <v>4417.8596916666665</v>
      </c>
      <c r="T15" s="239">
        <f t="shared" si="7"/>
        <v>4550.3954824166667</v>
      </c>
      <c r="U15" s="239">
        <f t="shared" si="3"/>
        <v>4550.3954824166667</v>
      </c>
      <c r="V15" s="239">
        <f t="shared" si="3"/>
        <v>4550.3954824166667</v>
      </c>
      <c r="W15" s="83"/>
      <c r="X15" s="83"/>
      <c r="Y15" s="84"/>
      <c r="Z15" s="84">
        <f>+ROUND((IF(F15&gt;=113700,113700*0.062,F15*0.062)+(F15*0.0145)),0)</f>
        <v>3937</v>
      </c>
      <c r="AA15" s="84"/>
      <c r="AB15" s="84">
        <f t="shared" si="8"/>
        <v>56</v>
      </c>
      <c r="AC15" s="84"/>
      <c r="AD15" s="83">
        <f>IF(F15&lt;=9300,F15*0.033,9300*0.033)</f>
        <v>306.90000000000003</v>
      </c>
      <c r="AE15" s="84"/>
      <c r="AF15" s="84">
        <f t="shared" si="14"/>
        <v>4299.8999999999996</v>
      </c>
      <c r="AG15" s="84"/>
      <c r="AH15" s="84">
        <f t="shared" si="9"/>
        <v>7481.8509443099274</v>
      </c>
      <c r="AI15" s="84"/>
      <c r="AJ15" s="84">
        <f>F15*0.03</f>
        <v>1544.1062999999999</v>
      </c>
      <c r="AK15" s="84"/>
      <c r="AL15" s="84">
        <f>F15*0.04</f>
        <v>2058.8083999999999</v>
      </c>
      <c r="AM15" s="84"/>
      <c r="AN15" s="84">
        <f t="shared" ref="AN15:AN21" si="16">+AN14</f>
        <v>453.52290556900732</v>
      </c>
      <c r="AO15" s="84"/>
      <c r="AP15" s="84">
        <f t="shared" si="15"/>
        <v>11538.288549878935</v>
      </c>
      <c r="AQ15" s="40"/>
      <c r="AR15" s="85">
        <v>1</v>
      </c>
      <c r="AS15" s="52"/>
      <c r="AT15" s="92">
        <v>23.54</v>
      </c>
      <c r="AU15" s="80"/>
      <c r="AV15" s="65">
        <v>2080</v>
      </c>
      <c r="AW15" s="40"/>
      <c r="AX15" s="87">
        <f t="shared" si="10"/>
        <v>48963.199999999997</v>
      </c>
      <c r="AY15" s="83"/>
      <c r="AZ15" s="83">
        <v>71</v>
      </c>
      <c r="BA15" s="84"/>
      <c r="BB15" s="88">
        <f t="shared" si="11"/>
        <v>2507.0099999999998</v>
      </c>
      <c r="BC15" s="84"/>
      <c r="BD15" s="84">
        <f t="shared" si="12"/>
        <v>51470.21</v>
      </c>
      <c r="BE15" s="58"/>
      <c r="BF15" s="89"/>
      <c r="BG15" s="90"/>
      <c r="BH15" s="91">
        <f t="shared" si="13"/>
        <v>5</v>
      </c>
    </row>
    <row r="16" spans="1:60" ht="15.75" thickBot="1">
      <c r="A16" s="40"/>
      <c r="B16" s="81"/>
      <c r="C16" s="82" t="str">
        <f t="shared" si="0"/>
        <v>Maintenance 6</v>
      </c>
      <c r="D16" s="82" t="s">
        <v>258</v>
      </c>
      <c r="E16" s="40"/>
      <c r="F16" s="83">
        <f t="shared" si="1"/>
        <v>34134.1</v>
      </c>
      <c r="G16" s="83"/>
      <c r="H16" s="83">
        <f t="shared" si="4"/>
        <v>35158.123</v>
      </c>
      <c r="I16" s="83">
        <f t="shared" si="5"/>
        <v>36212.866690000003</v>
      </c>
      <c r="J16" s="83"/>
      <c r="K16" s="239">
        <f t="shared" si="6"/>
        <v>2929.8435833333333</v>
      </c>
      <c r="L16" s="239">
        <f t="shared" si="2"/>
        <v>2929.8435833333333</v>
      </c>
      <c r="M16" s="239">
        <f t="shared" si="2"/>
        <v>2929.8435833333333</v>
      </c>
      <c r="N16" s="239">
        <f t="shared" si="2"/>
        <v>2929.8435833333333</v>
      </c>
      <c r="O16" s="239">
        <f t="shared" si="2"/>
        <v>2929.8435833333333</v>
      </c>
      <c r="P16" s="239">
        <f t="shared" si="2"/>
        <v>2929.8435833333333</v>
      </c>
      <c r="Q16" s="239">
        <f t="shared" si="2"/>
        <v>2929.8435833333333</v>
      </c>
      <c r="R16" s="239">
        <f t="shared" si="2"/>
        <v>2929.8435833333333</v>
      </c>
      <c r="S16" s="239">
        <f t="shared" si="2"/>
        <v>2929.8435833333333</v>
      </c>
      <c r="T16" s="239">
        <f t="shared" si="7"/>
        <v>3017.7388908333337</v>
      </c>
      <c r="U16" s="239">
        <f t="shared" si="3"/>
        <v>3017.7388908333337</v>
      </c>
      <c r="V16" s="239">
        <f t="shared" si="3"/>
        <v>3017.7388908333337</v>
      </c>
      <c r="W16" s="83"/>
      <c r="X16" s="83"/>
      <c r="Y16" s="84"/>
      <c r="Z16" s="84">
        <f>+ROUND((IF(F16&gt;=113700,113700*0.062,F16*0.062)+(F16*0.0145)),0)</f>
        <v>2611</v>
      </c>
      <c r="AA16" s="84"/>
      <c r="AB16" s="84">
        <f t="shared" si="8"/>
        <v>56</v>
      </c>
      <c r="AC16" s="84"/>
      <c r="AD16" s="83">
        <f>IF(F16&lt;=9300,F16*0.033,9300*0.033)</f>
        <v>306.90000000000003</v>
      </c>
      <c r="AE16" s="84"/>
      <c r="AF16" s="84">
        <f t="shared" si="14"/>
        <v>2973.9</v>
      </c>
      <c r="AG16" s="84"/>
      <c r="AH16" s="84">
        <f t="shared" si="9"/>
        <v>7481.8509443099274</v>
      </c>
      <c r="AI16" s="84"/>
      <c r="AJ16" s="84">
        <f>F16*0.03</f>
        <v>1024.0229999999999</v>
      </c>
      <c r="AK16" s="84"/>
      <c r="AL16" s="84">
        <f>F16*0.04</f>
        <v>1365.364</v>
      </c>
      <c r="AM16" s="84"/>
      <c r="AN16" s="84">
        <f t="shared" si="16"/>
        <v>453.52290556900732</v>
      </c>
      <c r="AO16" s="84"/>
      <c r="AP16" s="84">
        <f t="shared" si="15"/>
        <v>10324.760849878934</v>
      </c>
      <c r="AQ16" s="40"/>
      <c r="AR16" s="85">
        <v>1</v>
      </c>
      <c r="AS16" s="52"/>
      <c r="AT16" s="92">
        <v>15.4</v>
      </c>
      <c r="AU16" s="80"/>
      <c r="AV16" s="65">
        <v>2080</v>
      </c>
      <c r="AW16" s="40"/>
      <c r="AX16" s="87">
        <f t="shared" si="10"/>
        <v>32032</v>
      </c>
      <c r="AY16" s="83"/>
      <c r="AZ16" s="83">
        <v>91</v>
      </c>
      <c r="BA16" s="84"/>
      <c r="BB16" s="88">
        <f t="shared" si="11"/>
        <v>2102.1000000000004</v>
      </c>
      <c r="BC16" s="84"/>
      <c r="BD16" s="84">
        <f t="shared" si="12"/>
        <v>34134.1</v>
      </c>
      <c r="BE16" s="58"/>
      <c r="BF16" s="89"/>
      <c r="BG16" s="90"/>
      <c r="BH16" s="91">
        <f t="shared" si="13"/>
        <v>6</v>
      </c>
    </row>
    <row r="17" spans="1:60" ht="15.75" thickBot="1">
      <c r="A17" s="40"/>
      <c r="B17" s="81"/>
      <c r="C17" s="82" t="str">
        <f t="shared" si="0"/>
        <v>Maintenance 7</v>
      </c>
      <c r="D17" s="82" t="s">
        <v>257</v>
      </c>
      <c r="E17" s="40"/>
      <c r="F17" s="83">
        <f t="shared" si="1"/>
        <v>40127.425000000003</v>
      </c>
      <c r="G17" s="83"/>
      <c r="H17" s="83">
        <f t="shared" si="4"/>
        <v>41331.247750000002</v>
      </c>
      <c r="I17" s="83">
        <f t="shared" si="5"/>
        <v>42571.185182500005</v>
      </c>
      <c r="J17" s="83"/>
      <c r="K17" s="239">
        <f t="shared" si="6"/>
        <v>3444.2706458333337</v>
      </c>
      <c r="L17" s="239">
        <f t="shared" si="2"/>
        <v>3444.2706458333337</v>
      </c>
      <c r="M17" s="239">
        <f t="shared" si="2"/>
        <v>3444.2706458333337</v>
      </c>
      <c r="N17" s="239">
        <f t="shared" si="2"/>
        <v>3444.2706458333337</v>
      </c>
      <c r="O17" s="239">
        <f t="shared" si="2"/>
        <v>3444.2706458333337</v>
      </c>
      <c r="P17" s="239">
        <f t="shared" si="2"/>
        <v>3444.2706458333337</v>
      </c>
      <c r="Q17" s="239">
        <f t="shared" si="2"/>
        <v>3444.2706458333337</v>
      </c>
      <c r="R17" s="239">
        <f t="shared" si="2"/>
        <v>3444.2706458333337</v>
      </c>
      <c r="S17" s="239">
        <f t="shared" si="2"/>
        <v>3444.2706458333337</v>
      </c>
      <c r="T17" s="239">
        <f t="shared" si="7"/>
        <v>3547.5987652083336</v>
      </c>
      <c r="U17" s="239">
        <f t="shared" si="3"/>
        <v>3547.5987652083336</v>
      </c>
      <c r="V17" s="239">
        <f t="shared" si="3"/>
        <v>3547.5987652083336</v>
      </c>
      <c r="W17" s="83"/>
      <c r="X17" s="83"/>
      <c r="Y17" s="84"/>
      <c r="Z17" s="84">
        <f>+ROUND((IF(F17&gt;=113700,113700*0.062,F17*0.062)+(F17*0.0145)),0)</f>
        <v>3070</v>
      </c>
      <c r="AA17" s="84"/>
      <c r="AB17" s="84">
        <f t="shared" si="8"/>
        <v>56</v>
      </c>
      <c r="AC17" s="84"/>
      <c r="AD17" s="83">
        <f>IF(F17&lt;=9300,F17*0.033,9300*0.033)</f>
        <v>306.90000000000003</v>
      </c>
      <c r="AE17" s="84"/>
      <c r="AF17" s="84">
        <f t="shared" si="14"/>
        <v>3432.9</v>
      </c>
      <c r="AG17" s="84"/>
      <c r="AH17" s="84">
        <f t="shared" si="9"/>
        <v>7481.8509443099274</v>
      </c>
      <c r="AI17" s="84"/>
      <c r="AJ17" s="84">
        <f>F17*0.03</f>
        <v>1203.82275</v>
      </c>
      <c r="AK17" s="84"/>
      <c r="AL17" s="84">
        <f>F17*0.04</f>
        <v>1605.0970000000002</v>
      </c>
      <c r="AM17" s="84"/>
      <c r="AN17" s="84">
        <f t="shared" si="16"/>
        <v>453.52290556900732</v>
      </c>
      <c r="AO17" s="84"/>
      <c r="AP17" s="84">
        <f t="shared" si="15"/>
        <v>10744.293599878934</v>
      </c>
      <c r="AQ17" s="40"/>
      <c r="AR17" s="85">
        <v>1</v>
      </c>
      <c r="AS17" s="52"/>
      <c r="AT17" s="92">
        <v>18.46</v>
      </c>
      <c r="AU17" s="80"/>
      <c r="AV17" s="65">
        <v>2080</v>
      </c>
      <c r="AW17" s="40"/>
      <c r="AX17" s="87">
        <f t="shared" si="10"/>
        <v>38396.800000000003</v>
      </c>
      <c r="AY17" s="83"/>
      <c r="AZ17" s="83">
        <v>62.5</v>
      </c>
      <c r="BA17" s="84"/>
      <c r="BB17" s="88">
        <f t="shared" si="11"/>
        <v>1730.625</v>
      </c>
      <c r="BC17" s="84"/>
      <c r="BD17" s="84">
        <f t="shared" si="12"/>
        <v>40127.425000000003</v>
      </c>
      <c r="BE17" s="58"/>
      <c r="BF17" s="89"/>
      <c r="BG17" s="90"/>
      <c r="BH17" s="91">
        <f t="shared" si="13"/>
        <v>7</v>
      </c>
    </row>
    <row r="18" spans="1:60" ht="15.75" thickBot="1">
      <c r="A18" s="40"/>
      <c r="B18" s="81"/>
      <c r="C18" s="82" t="str">
        <f t="shared" si="0"/>
        <v>Maintenance 8</v>
      </c>
      <c r="D18" s="82" t="s">
        <v>258</v>
      </c>
      <c r="E18" s="40"/>
      <c r="F18" s="83">
        <f t="shared" si="1"/>
        <v>26858.28</v>
      </c>
      <c r="G18" s="83"/>
      <c r="H18" s="83">
        <f t="shared" si="4"/>
        <v>27664.028399999999</v>
      </c>
      <c r="I18" s="83">
        <f t="shared" si="5"/>
        <v>28493.949251999999</v>
      </c>
      <c r="J18" s="83"/>
      <c r="K18" s="239">
        <f t="shared" si="6"/>
        <v>2305.3357000000001</v>
      </c>
      <c r="L18" s="239">
        <f t="shared" si="2"/>
        <v>2305.3357000000001</v>
      </c>
      <c r="M18" s="239">
        <f t="shared" si="2"/>
        <v>2305.3357000000001</v>
      </c>
      <c r="N18" s="239">
        <f t="shared" si="2"/>
        <v>2305.3357000000001</v>
      </c>
      <c r="O18" s="239">
        <f t="shared" si="2"/>
        <v>2305.3357000000001</v>
      </c>
      <c r="P18" s="239">
        <f t="shared" si="2"/>
        <v>2305.3357000000001</v>
      </c>
      <c r="Q18" s="239">
        <f t="shared" si="2"/>
        <v>2305.3357000000001</v>
      </c>
      <c r="R18" s="239">
        <f t="shared" si="2"/>
        <v>2305.3357000000001</v>
      </c>
      <c r="S18" s="239">
        <f t="shared" si="2"/>
        <v>2305.3357000000001</v>
      </c>
      <c r="T18" s="239">
        <f t="shared" si="7"/>
        <v>2374.4957709999999</v>
      </c>
      <c r="U18" s="239">
        <f t="shared" si="3"/>
        <v>2374.4957709999999</v>
      </c>
      <c r="V18" s="239">
        <f t="shared" si="3"/>
        <v>2374.4957709999999</v>
      </c>
      <c r="W18" s="83"/>
      <c r="X18" s="83"/>
      <c r="Y18" s="84"/>
      <c r="Z18" s="84">
        <f>+ROUND((IF(F18&gt;=113700,113700*0.062,F18*0.062)+(F18*0.0145)),0)</f>
        <v>2055</v>
      </c>
      <c r="AA18" s="84"/>
      <c r="AB18" s="84">
        <f t="shared" si="8"/>
        <v>56</v>
      </c>
      <c r="AC18" s="84"/>
      <c r="AD18" s="83">
        <f>IF(F18&lt;=9300,F18*0.033,9300*0.033)</f>
        <v>306.90000000000003</v>
      </c>
      <c r="AE18" s="84"/>
      <c r="AF18" s="84">
        <f t="shared" si="14"/>
        <v>2417.9</v>
      </c>
      <c r="AG18" s="84"/>
      <c r="AH18" s="84">
        <f t="shared" si="9"/>
        <v>7481.8509443099274</v>
      </c>
      <c r="AI18" s="84"/>
      <c r="AJ18" s="84">
        <f>F18*0.03</f>
        <v>805.74839999999995</v>
      </c>
      <c r="AK18" s="84"/>
      <c r="AL18" s="84">
        <f>F18*0.04</f>
        <v>1074.3312000000001</v>
      </c>
      <c r="AM18" s="84"/>
      <c r="AN18" s="84">
        <f t="shared" si="16"/>
        <v>453.52290556900732</v>
      </c>
      <c r="AO18" s="84"/>
      <c r="AP18" s="84">
        <f t="shared" si="15"/>
        <v>9815.4534498789344</v>
      </c>
      <c r="AQ18" s="40"/>
      <c r="AR18" s="85">
        <v>1</v>
      </c>
      <c r="AS18" s="52"/>
      <c r="AT18" s="92">
        <v>12.36</v>
      </c>
      <c r="AU18" s="80"/>
      <c r="AV18" s="65">
        <v>2080</v>
      </c>
      <c r="AW18" s="40"/>
      <c r="AX18" s="87">
        <f t="shared" si="10"/>
        <v>25708.799999999999</v>
      </c>
      <c r="AY18" s="83"/>
      <c r="AZ18" s="83">
        <v>62</v>
      </c>
      <c r="BA18" s="84"/>
      <c r="BB18" s="88">
        <f t="shared" si="11"/>
        <v>1149.48</v>
      </c>
      <c r="BC18" s="84"/>
      <c r="BD18" s="84">
        <f t="shared" si="12"/>
        <v>26858.28</v>
      </c>
      <c r="BE18" s="58"/>
      <c r="BF18" s="89"/>
      <c r="BG18" s="90"/>
      <c r="BH18" s="91">
        <f t="shared" si="13"/>
        <v>8</v>
      </c>
    </row>
    <row r="19" spans="1:60" ht="15.75" thickBot="1">
      <c r="A19" s="40"/>
      <c r="B19" s="81"/>
      <c r="C19" s="82" t="str">
        <f t="shared" si="0"/>
        <v>Maintenance 9</v>
      </c>
      <c r="D19" s="82" t="s">
        <v>258</v>
      </c>
      <c r="E19" s="40"/>
      <c r="F19" s="83">
        <f t="shared" si="1"/>
        <v>33866.157500000001</v>
      </c>
      <c r="G19" s="83"/>
      <c r="H19" s="83">
        <f t="shared" si="4"/>
        <v>34882.142225000003</v>
      </c>
      <c r="I19" s="83">
        <f t="shared" si="5"/>
        <v>35928.606491750004</v>
      </c>
      <c r="J19" s="83"/>
      <c r="K19" s="239">
        <f t="shared" si="6"/>
        <v>2906.8451854166669</v>
      </c>
      <c r="L19" s="239">
        <f t="shared" si="2"/>
        <v>2906.8451854166669</v>
      </c>
      <c r="M19" s="239">
        <f t="shared" si="2"/>
        <v>2906.8451854166669</v>
      </c>
      <c r="N19" s="239">
        <f t="shared" si="2"/>
        <v>2906.8451854166669</v>
      </c>
      <c r="O19" s="239">
        <f t="shared" si="2"/>
        <v>2906.8451854166669</v>
      </c>
      <c r="P19" s="239">
        <f t="shared" si="2"/>
        <v>2906.8451854166669</v>
      </c>
      <c r="Q19" s="239">
        <f t="shared" si="2"/>
        <v>2906.8451854166669</v>
      </c>
      <c r="R19" s="239">
        <f t="shared" si="2"/>
        <v>2906.8451854166669</v>
      </c>
      <c r="S19" s="239">
        <f t="shared" si="2"/>
        <v>2906.8451854166669</v>
      </c>
      <c r="T19" s="239">
        <f t="shared" si="7"/>
        <v>2994.0505409791672</v>
      </c>
      <c r="U19" s="239">
        <f t="shared" si="3"/>
        <v>2994.0505409791672</v>
      </c>
      <c r="V19" s="239">
        <f t="shared" si="3"/>
        <v>2994.0505409791672</v>
      </c>
      <c r="W19" s="83"/>
      <c r="X19" s="83"/>
      <c r="Y19" s="84"/>
      <c r="Z19" s="84">
        <f>+ROUND((IF(F19&gt;=113700,113700*0.062,F19*0.062)+(F19*0.0145)),0)</f>
        <v>2591</v>
      </c>
      <c r="AA19" s="84"/>
      <c r="AB19" s="84">
        <f t="shared" si="8"/>
        <v>56</v>
      </c>
      <c r="AC19" s="84"/>
      <c r="AD19" s="83">
        <f>IF(F19&lt;=9300,F19*0.033,9300*0.033)</f>
        <v>306.90000000000003</v>
      </c>
      <c r="AE19" s="84"/>
      <c r="AF19" s="84">
        <f t="shared" si="14"/>
        <v>2953.9</v>
      </c>
      <c r="AG19" s="84"/>
      <c r="AH19" s="84">
        <f t="shared" si="9"/>
        <v>7481.8509443099274</v>
      </c>
      <c r="AI19" s="84"/>
      <c r="AJ19" s="84">
        <f>F19*0.03</f>
        <v>1015.984725</v>
      </c>
      <c r="AK19" s="84"/>
      <c r="AL19" s="84">
        <f>F19*0.04</f>
        <v>1354.6463000000001</v>
      </c>
      <c r="AM19" s="84"/>
      <c r="AN19" s="84">
        <f t="shared" si="16"/>
        <v>453.52290556900732</v>
      </c>
      <c r="AO19" s="84"/>
      <c r="AP19" s="84">
        <f t="shared" si="15"/>
        <v>10306.004874878934</v>
      </c>
      <c r="AQ19" s="40"/>
      <c r="AR19" s="85">
        <v>1</v>
      </c>
      <c r="AS19" s="52"/>
      <c r="AT19" s="92">
        <v>14.99</v>
      </c>
      <c r="AU19" s="80"/>
      <c r="AV19" s="65">
        <v>2080</v>
      </c>
      <c r="AW19" s="40"/>
      <c r="AX19" s="87">
        <f t="shared" si="10"/>
        <v>31179.200000000001</v>
      </c>
      <c r="AY19" s="83"/>
      <c r="AZ19" s="83">
        <v>119.5</v>
      </c>
      <c r="BA19" s="84"/>
      <c r="BB19" s="88">
        <f t="shared" si="11"/>
        <v>2686.9575</v>
      </c>
      <c r="BC19" s="84"/>
      <c r="BD19" s="84">
        <f t="shared" si="12"/>
        <v>33866.157500000001</v>
      </c>
      <c r="BE19" s="58"/>
      <c r="BF19" s="89"/>
      <c r="BG19" s="90"/>
      <c r="BH19" s="91">
        <f t="shared" si="13"/>
        <v>9</v>
      </c>
    </row>
    <row r="20" spans="1:60" ht="15.75" thickBot="1">
      <c r="A20" s="40"/>
      <c r="B20" s="40"/>
      <c r="C20" s="82" t="str">
        <f t="shared" si="0"/>
        <v>Maintenance 10</v>
      </c>
      <c r="D20" s="82" t="s">
        <v>257</v>
      </c>
      <c r="E20" s="41"/>
      <c r="F20" s="83">
        <f t="shared" si="1"/>
        <v>42966.3</v>
      </c>
      <c r="G20" s="83"/>
      <c r="H20" s="83">
        <f t="shared" si="4"/>
        <v>44255.289000000004</v>
      </c>
      <c r="I20" s="83">
        <f t="shared" si="5"/>
        <v>45582.947670000009</v>
      </c>
      <c r="J20" s="83"/>
      <c r="K20" s="239">
        <f t="shared" si="6"/>
        <v>3687.9407500000002</v>
      </c>
      <c r="L20" s="239">
        <f t="shared" si="2"/>
        <v>3687.9407500000002</v>
      </c>
      <c r="M20" s="239">
        <f t="shared" si="2"/>
        <v>3687.9407500000002</v>
      </c>
      <c r="N20" s="239">
        <f t="shared" si="2"/>
        <v>3687.9407500000002</v>
      </c>
      <c r="O20" s="239">
        <f t="shared" si="2"/>
        <v>3687.9407500000002</v>
      </c>
      <c r="P20" s="239">
        <f t="shared" si="2"/>
        <v>3687.9407500000002</v>
      </c>
      <c r="Q20" s="239">
        <f t="shared" si="2"/>
        <v>3687.9407500000002</v>
      </c>
      <c r="R20" s="239">
        <f t="shared" si="2"/>
        <v>3687.9407500000002</v>
      </c>
      <c r="S20" s="239">
        <f t="shared" si="2"/>
        <v>3687.9407500000002</v>
      </c>
      <c r="T20" s="239">
        <f t="shared" si="7"/>
        <v>3798.5789725000009</v>
      </c>
      <c r="U20" s="239">
        <f t="shared" si="3"/>
        <v>3798.5789725000009</v>
      </c>
      <c r="V20" s="239">
        <f t="shared" si="3"/>
        <v>3798.5789725000009</v>
      </c>
      <c r="W20" s="83"/>
      <c r="X20" s="83"/>
      <c r="Y20" s="84"/>
      <c r="Z20" s="84">
        <f>+ROUND((IF(F20&gt;=113700,113700*0.062,F20*0.062)+(F20*0.0145)),0)</f>
        <v>3287</v>
      </c>
      <c r="AA20" s="84"/>
      <c r="AB20" s="84">
        <f t="shared" si="8"/>
        <v>56</v>
      </c>
      <c r="AC20" s="84"/>
      <c r="AD20" s="83">
        <f>IF(F20&lt;=9300,F20*0.033,9300*0.033)</f>
        <v>306.90000000000003</v>
      </c>
      <c r="AE20" s="84"/>
      <c r="AF20" s="84">
        <f t="shared" si="14"/>
        <v>3649.9</v>
      </c>
      <c r="AG20" s="84"/>
      <c r="AH20" s="84">
        <f t="shared" si="9"/>
        <v>7481.8509443099274</v>
      </c>
      <c r="AI20" s="84"/>
      <c r="AJ20" s="84">
        <f>F20*0.03</f>
        <v>1288.989</v>
      </c>
      <c r="AK20" s="84"/>
      <c r="AL20" s="84">
        <f>F20*0.04</f>
        <v>1718.652</v>
      </c>
      <c r="AM20" s="84"/>
      <c r="AN20" s="84">
        <f t="shared" si="16"/>
        <v>453.52290556900732</v>
      </c>
      <c r="AO20" s="84"/>
      <c r="AP20" s="84">
        <f>SUM(AH20:AN20)</f>
        <v>10943.014849878935</v>
      </c>
      <c r="AQ20" s="40"/>
      <c r="AR20" s="85">
        <v>1</v>
      </c>
      <c r="AS20" s="52"/>
      <c r="AT20" s="92">
        <v>17.940000000000001</v>
      </c>
      <c r="AU20" s="80"/>
      <c r="AV20" s="65">
        <v>2080</v>
      </c>
      <c r="AW20" s="80"/>
      <c r="AX20" s="87">
        <f t="shared" si="10"/>
        <v>37315.200000000004</v>
      </c>
      <c r="AY20" s="83"/>
      <c r="AZ20" s="83">
        <v>210</v>
      </c>
      <c r="BA20" s="84"/>
      <c r="BB20" s="88">
        <f t="shared" si="11"/>
        <v>5651.1</v>
      </c>
      <c r="BC20" s="83"/>
      <c r="BD20" s="84">
        <f t="shared" si="12"/>
        <v>42966.3</v>
      </c>
      <c r="BE20" s="58"/>
      <c r="BF20" s="89"/>
      <c r="BG20" s="90"/>
      <c r="BH20" s="91">
        <f t="shared" si="13"/>
        <v>10</v>
      </c>
    </row>
    <row r="21" spans="1:60" ht="15.75" thickBot="1">
      <c r="A21" s="40"/>
      <c r="B21" s="40"/>
      <c r="C21" s="82" t="str">
        <f t="shared" si="0"/>
        <v>Maintenance 11</v>
      </c>
      <c r="D21" s="82" t="s">
        <v>261</v>
      </c>
      <c r="E21" s="41"/>
      <c r="F21" s="83">
        <f t="shared" ref="F21" si="17">BD21*1.03</f>
        <v>38883.308550000002</v>
      </c>
      <c r="G21" s="83"/>
      <c r="H21" s="83">
        <f t="shared" si="4"/>
        <v>40049.807806500001</v>
      </c>
      <c r="I21" s="83">
        <f t="shared" si="5"/>
        <v>41251.302040695002</v>
      </c>
      <c r="J21" s="83"/>
      <c r="K21" s="239">
        <f t="shared" si="6"/>
        <v>3337.4839838749999</v>
      </c>
      <c r="L21" s="239">
        <f t="shared" si="2"/>
        <v>3337.4839838749999</v>
      </c>
      <c r="M21" s="239">
        <f t="shared" si="2"/>
        <v>3337.4839838749999</v>
      </c>
      <c r="N21" s="239">
        <f t="shared" si="2"/>
        <v>3337.4839838749999</v>
      </c>
      <c r="O21" s="239">
        <f t="shared" si="2"/>
        <v>3337.4839838749999</v>
      </c>
      <c r="P21" s="239">
        <f t="shared" si="2"/>
        <v>3337.4839838749999</v>
      </c>
      <c r="Q21" s="239">
        <f t="shared" si="2"/>
        <v>3337.4839838749999</v>
      </c>
      <c r="R21" s="239">
        <f t="shared" si="2"/>
        <v>3337.4839838749999</v>
      </c>
      <c r="S21" s="239">
        <f t="shared" si="2"/>
        <v>3337.4839838749999</v>
      </c>
      <c r="T21" s="239">
        <f t="shared" si="7"/>
        <v>3437.60850339125</v>
      </c>
      <c r="U21" s="239">
        <f t="shared" si="3"/>
        <v>3437.60850339125</v>
      </c>
      <c r="V21" s="239">
        <f t="shared" si="3"/>
        <v>3437.60850339125</v>
      </c>
      <c r="W21" s="83"/>
      <c r="X21" s="83"/>
      <c r="Y21" s="84"/>
      <c r="Z21" s="84">
        <f>+ROUND((IF(F21&gt;=113700,113700*0.062,F21*0.062)+(F21*0.0145)),0)</f>
        <v>2975</v>
      </c>
      <c r="AA21" s="84"/>
      <c r="AB21" s="84">
        <f t="shared" si="8"/>
        <v>56</v>
      </c>
      <c r="AC21" s="84"/>
      <c r="AD21" s="83">
        <f>IF(F21&lt;=9300,F21*0.033,9300*0.033)</f>
        <v>306.90000000000003</v>
      </c>
      <c r="AE21" s="84"/>
      <c r="AF21" s="84">
        <f>SUM(Z21:AD21)</f>
        <v>3337.9</v>
      </c>
      <c r="AG21" s="84"/>
      <c r="AH21" s="84">
        <f t="shared" si="9"/>
        <v>7481.8509443099274</v>
      </c>
      <c r="AI21" s="84"/>
      <c r="AJ21" s="84">
        <f>F21*0.03</f>
        <v>1166.4992565</v>
      </c>
      <c r="AK21" s="84"/>
      <c r="AL21" s="84">
        <f>F21*0.04</f>
        <v>1555.3323420000002</v>
      </c>
      <c r="AM21" s="84"/>
      <c r="AN21" s="84">
        <f t="shared" si="16"/>
        <v>453.52290556900732</v>
      </c>
      <c r="AO21" s="84"/>
      <c r="AP21" s="84">
        <f>SUM(AH21:AN21)</f>
        <v>10657.205448378934</v>
      </c>
      <c r="AQ21" s="40"/>
      <c r="AR21" s="85">
        <v>1</v>
      </c>
      <c r="AS21" s="52"/>
      <c r="AT21" s="92">
        <v>16.98</v>
      </c>
      <c r="AU21" s="80"/>
      <c r="AV21" s="65">
        <v>2080</v>
      </c>
      <c r="AW21" s="80"/>
      <c r="AX21" s="87">
        <f t="shared" si="10"/>
        <v>35318.400000000001</v>
      </c>
      <c r="AY21" s="83"/>
      <c r="AZ21" s="83">
        <v>95.5</v>
      </c>
      <c r="BA21" s="84"/>
      <c r="BB21" s="88">
        <f t="shared" si="11"/>
        <v>2432.3850000000002</v>
      </c>
      <c r="BC21" s="83"/>
      <c r="BD21" s="84">
        <f t="shared" si="12"/>
        <v>37750.785000000003</v>
      </c>
      <c r="BE21" s="58"/>
      <c r="BF21" s="89"/>
      <c r="BG21" s="90"/>
      <c r="BH21" s="91">
        <f t="shared" si="13"/>
        <v>11</v>
      </c>
    </row>
    <row r="22" spans="1:60" ht="15">
      <c r="A22" s="40"/>
      <c r="B22" s="40"/>
      <c r="C22" s="82"/>
      <c r="D22" s="82"/>
      <c r="E22" s="41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40"/>
      <c r="AR22" s="52"/>
      <c r="AS22" s="52"/>
      <c r="AT22" s="92"/>
      <c r="AU22" s="80"/>
      <c r="AV22" s="67"/>
      <c r="AW22" s="80"/>
      <c r="AX22" s="84"/>
      <c r="AY22" s="84"/>
      <c r="AZ22" s="84"/>
      <c r="BA22" s="84"/>
      <c r="BB22" s="83"/>
      <c r="BC22" s="83"/>
      <c r="BD22" s="83"/>
      <c r="BE22" s="41"/>
      <c r="BF22" s="93"/>
      <c r="BG22" s="90"/>
      <c r="BH22" s="68"/>
    </row>
    <row r="23" spans="1:60" ht="15.75" thickBot="1">
      <c r="A23" s="64"/>
      <c r="B23" s="76" t="s">
        <v>262</v>
      </c>
      <c r="C23" s="64"/>
      <c r="D23" s="64"/>
      <c r="E23" s="64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4"/>
      <c r="AE23" s="83"/>
      <c r="AF23" s="83"/>
      <c r="AG23" s="83"/>
      <c r="AH23" s="83"/>
      <c r="AI23" s="83"/>
      <c r="AJ23" s="84"/>
      <c r="AK23" s="83"/>
      <c r="AL23" s="83"/>
      <c r="AM23" s="83"/>
      <c r="AN23" s="83"/>
      <c r="AO23" s="83"/>
      <c r="AP23" s="84"/>
      <c r="AQ23" s="64"/>
      <c r="AR23" s="52"/>
      <c r="AS23" s="52"/>
      <c r="AT23" s="92"/>
      <c r="AU23" s="77"/>
      <c r="AV23" s="61"/>
      <c r="AW23" s="77"/>
      <c r="AX23" s="83"/>
      <c r="AY23" s="83"/>
      <c r="AZ23" s="83"/>
      <c r="BA23" s="83"/>
      <c r="BB23" s="83"/>
      <c r="BC23" s="83"/>
      <c r="BD23" s="83"/>
      <c r="BE23" s="41"/>
      <c r="BF23" s="93"/>
      <c r="BG23" s="90"/>
      <c r="BH23" s="68"/>
    </row>
    <row r="24" spans="1:60" ht="15.75" thickBot="1">
      <c r="A24" s="64"/>
      <c r="B24" s="76"/>
      <c r="C24" s="82" t="str">
        <f>CONCATENATE("Supervisory ", BH24)</f>
        <v>Supervisory 1</v>
      </c>
      <c r="D24" s="82" t="s">
        <v>263</v>
      </c>
      <c r="E24" s="64"/>
      <c r="F24" s="83">
        <f>BD24</f>
        <v>124819.20000000001</v>
      </c>
      <c r="G24" s="83"/>
      <c r="H24" s="83">
        <f t="shared" ref="H24:H28" si="18">F24*(1.03)</f>
        <v>128563.77600000001</v>
      </c>
      <c r="I24" s="83">
        <f t="shared" ref="I24:I28" si="19">H24*1.03</f>
        <v>132420.68928000002</v>
      </c>
      <c r="J24" s="83"/>
      <c r="K24" s="239">
        <f t="shared" ref="K24:S28" si="20">$H24/12</f>
        <v>10713.648000000001</v>
      </c>
      <c r="L24" s="239">
        <f t="shared" si="20"/>
        <v>10713.648000000001</v>
      </c>
      <c r="M24" s="239">
        <f t="shared" si="20"/>
        <v>10713.648000000001</v>
      </c>
      <c r="N24" s="239">
        <f t="shared" si="20"/>
        <v>10713.648000000001</v>
      </c>
      <c r="O24" s="239">
        <f t="shared" si="20"/>
        <v>10713.648000000001</v>
      </c>
      <c r="P24" s="239">
        <f t="shared" si="20"/>
        <v>10713.648000000001</v>
      </c>
      <c r="Q24" s="239">
        <f t="shared" si="20"/>
        <v>10713.648000000001</v>
      </c>
      <c r="R24" s="239">
        <f t="shared" si="20"/>
        <v>10713.648000000001</v>
      </c>
      <c r="S24" s="239">
        <f t="shared" si="20"/>
        <v>10713.648000000001</v>
      </c>
      <c r="T24" s="239">
        <f t="shared" ref="T24:V28" si="21">$I24/12</f>
        <v>11035.057440000002</v>
      </c>
      <c r="U24" s="239">
        <f t="shared" si="21"/>
        <v>11035.057440000002</v>
      </c>
      <c r="V24" s="239">
        <f t="shared" si="21"/>
        <v>11035.057440000002</v>
      </c>
      <c r="W24" s="83"/>
      <c r="X24" s="83"/>
      <c r="Y24" s="83"/>
      <c r="Z24" s="84">
        <f>+ROUND((IF(F24&gt;=113700,113700*0.062,F24*0.062)+(F24*0.0145)),0)</f>
        <v>8859</v>
      </c>
      <c r="AA24" s="84"/>
      <c r="AB24" s="84">
        <f>ROUND(7000*0.008,0)</f>
        <v>56</v>
      </c>
      <c r="AC24" s="84"/>
      <c r="AD24" s="83">
        <f>IF(F24&lt;=9300,F24*0.033,9300*0.033)</f>
        <v>306.90000000000003</v>
      </c>
      <c r="AE24" s="84"/>
      <c r="AF24" s="84">
        <f>SUM(Z24:AD24)</f>
        <v>9221.9</v>
      </c>
      <c r="AG24" s="84"/>
      <c r="AH24" s="84">
        <f>+AH21</f>
        <v>7481.8509443099274</v>
      </c>
      <c r="AI24" s="84"/>
      <c r="AJ24" s="84">
        <f>F24*0.03</f>
        <v>3744.576</v>
      </c>
      <c r="AK24" s="84"/>
      <c r="AL24" s="84">
        <f>F24*0.04</f>
        <v>4992.7680000000009</v>
      </c>
      <c r="AM24" s="84"/>
      <c r="AN24" s="84">
        <f>+AN21</f>
        <v>453.52290556900732</v>
      </c>
      <c r="AO24" s="84"/>
      <c r="AP24" s="84">
        <f>SUM(AH24:AN24)</f>
        <v>16672.717849878936</v>
      </c>
      <c r="AQ24" s="64"/>
      <c r="AR24" s="85">
        <v>0.21677963406806305</v>
      </c>
      <c r="AS24" s="52"/>
      <c r="AT24" s="92">
        <v>5200.8</v>
      </c>
      <c r="AU24" s="77"/>
      <c r="AV24" s="61">
        <v>24</v>
      </c>
      <c r="AW24" s="77"/>
      <c r="AX24" s="87">
        <f>AT24*AV24</f>
        <v>124819.20000000001</v>
      </c>
      <c r="AY24" s="83"/>
      <c r="AZ24" s="83"/>
      <c r="BA24" s="83"/>
      <c r="BB24" s="83"/>
      <c r="BC24" s="83"/>
      <c r="BD24" s="84">
        <f t="shared" ref="BD24:BD28" si="22">BB24+AX24</f>
        <v>124819.20000000001</v>
      </c>
      <c r="BE24" s="41"/>
      <c r="BF24" s="41"/>
      <c r="BG24" s="64"/>
      <c r="BH24" s="68">
        <v>1</v>
      </c>
    </row>
    <row r="25" spans="1:60" ht="15.75" thickBot="1">
      <c r="A25" s="40"/>
      <c r="B25" s="81"/>
      <c r="C25" s="82" t="str">
        <f>CONCATENATE("Supervisory ", BH25)</f>
        <v>Supervisory 2</v>
      </c>
      <c r="D25" s="82" t="s">
        <v>264</v>
      </c>
      <c r="E25" s="41"/>
      <c r="F25" s="83">
        <f>BD25</f>
        <v>184997.52</v>
      </c>
      <c r="G25" s="83"/>
      <c r="H25" s="83">
        <f t="shared" si="18"/>
        <v>190547.44560000001</v>
      </c>
      <c r="I25" s="83">
        <f t="shared" si="19"/>
        <v>196263.86896800002</v>
      </c>
      <c r="J25" s="83"/>
      <c r="K25" s="239">
        <f t="shared" si="20"/>
        <v>15878.953800000001</v>
      </c>
      <c r="L25" s="239">
        <f t="shared" si="20"/>
        <v>15878.953800000001</v>
      </c>
      <c r="M25" s="239">
        <f t="shared" si="20"/>
        <v>15878.953800000001</v>
      </c>
      <c r="N25" s="239">
        <f t="shared" si="20"/>
        <v>15878.953800000001</v>
      </c>
      <c r="O25" s="239">
        <f t="shared" si="20"/>
        <v>15878.953800000001</v>
      </c>
      <c r="P25" s="239">
        <f t="shared" si="20"/>
        <v>15878.953800000001</v>
      </c>
      <c r="Q25" s="239">
        <f t="shared" si="20"/>
        <v>15878.953800000001</v>
      </c>
      <c r="R25" s="239">
        <f t="shared" si="20"/>
        <v>15878.953800000001</v>
      </c>
      <c r="S25" s="239">
        <f t="shared" si="20"/>
        <v>15878.953800000001</v>
      </c>
      <c r="T25" s="239">
        <f t="shared" si="21"/>
        <v>16355.322414000002</v>
      </c>
      <c r="U25" s="239">
        <f t="shared" si="21"/>
        <v>16355.322414000002</v>
      </c>
      <c r="V25" s="239">
        <f t="shared" si="21"/>
        <v>16355.322414000002</v>
      </c>
      <c r="W25" s="83"/>
      <c r="X25" s="83"/>
      <c r="Y25" s="84"/>
      <c r="Z25" s="84">
        <f>+ROUND((IF(F25&gt;=113700,113700*0.062,F25*0.062)+(F25*0.0145)),0)</f>
        <v>9732</v>
      </c>
      <c r="AA25" s="84"/>
      <c r="AB25" s="84">
        <f>ROUND(7000*0.008,0)</f>
        <v>56</v>
      </c>
      <c r="AC25" s="84"/>
      <c r="AD25" s="83">
        <f>IF(F25&lt;=9300,F25*0.033,9300*0.033)</f>
        <v>306.90000000000003</v>
      </c>
      <c r="AE25" s="84"/>
      <c r="AF25" s="84">
        <f>SUM(Z25:AD25)</f>
        <v>10094.9</v>
      </c>
      <c r="AG25" s="84"/>
      <c r="AH25" s="84">
        <f>AH11</f>
        <v>7481.8509443099274</v>
      </c>
      <c r="AI25" s="84"/>
      <c r="AJ25" s="84">
        <f>F25*0.03</f>
        <v>5549.9255999999996</v>
      </c>
      <c r="AK25" s="84"/>
      <c r="AL25" s="84">
        <f>F25*0.04</f>
        <v>7399.9007999999994</v>
      </c>
      <c r="AM25" s="84"/>
      <c r="AN25" s="84">
        <f>AN11</f>
        <v>453.52290556900732</v>
      </c>
      <c r="AO25" s="84"/>
      <c r="AP25" s="84">
        <f>SUM(AH25:AN25)</f>
        <v>20885.200249878933</v>
      </c>
      <c r="AQ25" s="40"/>
      <c r="AR25" s="85">
        <v>6.9774677565532461E-2</v>
      </c>
      <c r="AS25" s="52"/>
      <c r="AT25" s="86">
        <v>7708.23</v>
      </c>
      <c r="AU25" s="77"/>
      <c r="AV25" s="65">
        <v>24</v>
      </c>
      <c r="AW25" s="40"/>
      <c r="AX25" s="87">
        <f>AT25*AV25</f>
        <v>184997.52</v>
      </c>
      <c r="AY25" s="83"/>
      <c r="AZ25" s="83"/>
      <c r="BA25" s="84"/>
      <c r="BB25" s="88"/>
      <c r="BC25" s="84"/>
      <c r="BD25" s="84">
        <f t="shared" si="22"/>
        <v>184997.52</v>
      </c>
      <c r="BE25" s="58"/>
      <c r="BF25" s="59"/>
      <c r="BG25" s="70"/>
      <c r="BH25" s="91">
        <f>+BH24+1</f>
        <v>2</v>
      </c>
    </row>
    <row r="26" spans="1:60" ht="15.75" thickBot="1">
      <c r="A26" s="40"/>
      <c r="B26" s="81"/>
      <c r="C26" s="82" t="str">
        <f>CONCATENATE("Supervisory ", BH26)</f>
        <v>Supervisory 3</v>
      </c>
      <c r="D26" s="82" t="s">
        <v>265</v>
      </c>
      <c r="E26" s="41"/>
      <c r="F26" s="83">
        <f>BD26</f>
        <v>69913.200000000012</v>
      </c>
      <c r="G26" s="83"/>
      <c r="H26" s="83">
        <f t="shared" si="18"/>
        <v>72010.59600000002</v>
      </c>
      <c r="I26" s="83">
        <f t="shared" si="19"/>
        <v>74170.913880000022</v>
      </c>
      <c r="J26" s="83"/>
      <c r="K26" s="239">
        <f t="shared" si="20"/>
        <v>6000.8830000000016</v>
      </c>
      <c r="L26" s="239">
        <f t="shared" si="20"/>
        <v>6000.8830000000016</v>
      </c>
      <c r="M26" s="239">
        <f t="shared" si="20"/>
        <v>6000.8830000000016</v>
      </c>
      <c r="N26" s="239">
        <f t="shared" si="20"/>
        <v>6000.8830000000016</v>
      </c>
      <c r="O26" s="239">
        <f t="shared" si="20"/>
        <v>6000.8830000000016</v>
      </c>
      <c r="P26" s="239">
        <f t="shared" si="20"/>
        <v>6000.8830000000016</v>
      </c>
      <c r="Q26" s="239">
        <f t="shared" si="20"/>
        <v>6000.8830000000016</v>
      </c>
      <c r="R26" s="239">
        <f t="shared" si="20"/>
        <v>6000.8830000000016</v>
      </c>
      <c r="S26" s="239">
        <f t="shared" si="20"/>
        <v>6000.8830000000016</v>
      </c>
      <c r="T26" s="239">
        <f t="shared" si="21"/>
        <v>6180.9094900000018</v>
      </c>
      <c r="U26" s="239">
        <f t="shared" si="21"/>
        <v>6180.9094900000018</v>
      </c>
      <c r="V26" s="239">
        <f t="shared" si="21"/>
        <v>6180.9094900000018</v>
      </c>
      <c r="W26" s="83"/>
      <c r="X26" s="83"/>
      <c r="Y26" s="84"/>
      <c r="Z26" s="84">
        <f>+ROUND((IF(F26&gt;=113700,113700*0.062,F26*0.062)+(F26*0.0145)),0)</f>
        <v>5348</v>
      </c>
      <c r="AA26" s="84"/>
      <c r="AB26" s="84">
        <f>ROUND(7000*0.008,0)</f>
        <v>56</v>
      </c>
      <c r="AC26" s="84"/>
      <c r="AD26" s="83">
        <f>IF(F26&lt;=9300,F26*0.033,9300*0.033)</f>
        <v>306.90000000000003</v>
      </c>
      <c r="AE26" s="84"/>
      <c r="AF26" s="84">
        <f>SUM(Z26:AD26)</f>
        <v>5710.9</v>
      </c>
      <c r="AG26" s="84"/>
      <c r="AH26" s="84">
        <f>AH12</f>
        <v>7481.8509443099274</v>
      </c>
      <c r="AI26" s="84"/>
      <c r="AJ26" s="84">
        <f>F26*0.03</f>
        <v>2097.3960000000002</v>
      </c>
      <c r="AK26" s="84"/>
      <c r="AL26" s="84">
        <f>F26*0.04</f>
        <v>2796.5280000000007</v>
      </c>
      <c r="AM26" s="84"/>
      <c r="AN26" s="84">
        <f>+AN25</f>
        <v>453.52290556900732</v>
      </c>
      <c r="AO26" s="84"/>
      <c r="AP26" s="84">
        <f>SUM(AH26:AN26)</f>
        <v>12829.297849878934</v>
      </c>
      <c r="AQ26" s="40"/>
      <c r="AR26" s="85">
        <v>6.9774677565532461E-2</v>
      </c>
      <c r="AS26" s="52"/>
      <c r="AT26" s="86">
        <v>2913.05</v>
      </c>
      <c r="AU26" s="77"/>
      <c r="AV26" s="65">
        <v>24</v>
      </c>
      <c r="AW26" s="40"/>
      <c r="AX26" s="87">
        <f>AT26*AV26</f>
        <v>69913.200000000012</v>
      </c>
      <c r="AY26" s="83"/>
      <c r="AZ26" s="83"/>
      <c r="BA26" s="84"/>
      <c r="BB26" s="88"/>
      <c r="BC26" s="84"/>
      <c r="BD26" s="84">
        <f t="shared" si="22"/>
        <v>69913.200000000012</v>
      </c>
      <c r="BE26" s="58"/>
      <c r="BF26" s="59"/>
      <c r="BG26" s="70"/>
      <c r="BH26" s="91">
        <f t="shared" ref="BH26:BH28" si="23">+BH25+1</f>
        <v>3</v>
      </c>
    </row>
    <row r="27" spans="1:60" ht="15.75" thickBot="1">
      <c r="A27" s="40"/>
      <c r="B27" s="81"/>
      <c r="C27" s="82" t="str">
        <f>CONCATENATE("Supervisory ", BH27)</f>
        <v>Supervisory 4</v>
      </c>
      <c r="D27" s="82" t="s">
        <v>266</v>
      </c>
      <c r="E27" s="41"/>
      <c r="F27" s="83">
        <f>BD27</f>
        <v>72407.040000000008</v>
      </c>
      <c r="G27" s="83"/>
      <c r="H27" s="83">
        <f t="shared" si="18"/>
        <v>74579.251200000013</v>
      </c>
      <c r="I27" s="83">
        <f t="shared" si="19"/>
        <v>76816.628736000013</v>
      </c>
      <c r="J27" s="83"/>
      <c r="K27" s="239">
        <f t="shared" si="20"/>
        <v>6214.9376000000011</v>
      </c>
      <c r="L27" s="239">
        <f t="shared" si="20"/>
        <v>6214.9376000000011</v>
      </c>
      <c r="M27" s="239">
        <f t="shared" si="20"/>
        <v>6214.9376000000011</v>
      </c>
      <c r="N27" s="239">
        <f t="shared" si="20"/>
        <v>6214.9376000000011</v>
      </c>
      <c r="O27" s="239">
        <f t="shared" si="20"/>
        <v>6214.9376000000011</v>
      </c>
      <c r="P27" s="239">
        <f t="shared" si="20"/>
        <v>6214.9376000000011</v>
      </c>
      <c r="Q27" s="239">
        <f t="shared" si="20"/>
        <v>6214.9376000000011</v>
      </c>
      <c r="R27" s="239">
        <f t="shared" si="20"/>
        <v>6214.9376000000011</v>
      </c>
      <c r="S27" s="239">
        <f t="shared" si="20"/>
        <v>6214.9376000000011</v>
      </c>
      <c r="T27" s="239">
        <f t="shared" si="21"/>
        <v>6401.3857280000011</v>
      </c>
      <c r="U27" s="239">
        <f t="shared" si="21"/>
        <v>6401.3857280000011</v>
      </c>
      <c r="V27" s="239">
        <f t="shared" si="21"/>
        <v>6401.3857280000011</v>
      </c>
      <c r="W27" s="83"/>
      <c r="X27" s="83"/>
      <c r="Y27" s="84"/>
      <c r="Z27" s="84">
        <f>+ROUND((IF(F27&gt;=113700,113700*0.062,F27*0.062)+(F27*0.0145)),0)</f>
        <v>5539</v>
      </c>
      <c r="AA27" s="84"/>
      <c r="AB27" s="84">
        <f>ROUND(7000*0.008,0)</f>
        <v>56</v>
      </c>
      <c r="AC27" s="84"/>
      <c r="AD27" s="83">
        <f>IF(F27&lt;=9300,F27*0.033,9300*0.033)</f>
        <v>306.90000000000003</v>
      </c>
      <c r="AE27" s="84"/>
      <c r="AF27" s="84">
        <f>SUM(Z27:AD27)</f>
        <v>5901.9</v>
      </c>
      <c r="AG27" s="84"/>
      <c r="AH27" s="84">
        <f>AH14</f>
        <v>7481.8509443099274</v>
      </c>
      <c r="AI27" s="84"/>
      <c r="AJ27" s="84">
        <f>F27*0.03</f>
        <v>2172.2112000000002</v>
      </c>
      <c r="AK27" s="84"/>
      <c r="AL27" s="84">
        <f>F27*0.04</f>
        <v>2896.2816000000003</v>
      </c>
      <c r="AM27" s="84"/>
      <c r="AN27" s="84">
        <f>+AN26</f>
        <v>453.52290556900732</v>
      </c>
      <c r="AO27" s="84"/>
      <c r="AP27" s="84">
        <f>SUM(AH27:AN27)</f>
        <v>13003.866649878935</v>
      </c>
      <c r="AQ27" s="40"/>
      <c r="AR27" s="85">
        <v>6.9774677565532461E-2</v>
      </c>
      <c r="AS27" s="52"/>
      <c r="AT27" s="86">
        <v>3016.96</v>
      </c>
      <c r="AU27" s="77"/>
      <c r="AV27" s="65">
        <v>24</v>
      </c>
      <c r="AW27" s="40"/>
      <c r="AX27" s="87">
        <f>AT27*AV27</f>
        <v>72407.040000000008</v>
      </c>
      <c r="AY27" s="83"/>
      <c r="AZ27" s="83"/>
      <c r="BA27" s="84"/>
      <c r="BB27" s="88"/>
      <c r="BC27" s="84"/>
      <c r="BD27" s="84">
        <f t="shared" si="22"/>
        <v>72407.040000000008</v>
      </c>
      <c r="BE27" s="58"/>
      <c r="BF27" s="59"/>
      <c r="BG27" s="70"/>
      <c r="BH27" s="91">
        <f t="shared" si="23"/>
        <v>4</v>
      </c>
    </row>
    <row r="28" spans="1:60" ht="15.75" thickBot="1">
      <c r="A28" s="40"/>
      <c r="B28" s="40"/>
      <c r="C28" s="82" t="str">
        <f>CONCATENATE("Supervisory ", BH28)</f>
        <v>Supervisory 5</v>
      </c>
      <c r="D28" s="82" t="s">
        <v>267</v>
      </c>
      <c r="E28" s="41"/>
      <c r="F28" s="83">
        <f>BD28</f>
        <v>60864.479999999996</v>
      </c>
      <c r="G28" s="83"/>
      <c r="H28" s="83">
        <f t="shared" si="18"/>
        <v>62690.414399999994</v>
      </c>
      <c r="I28" s="83">
        <f t="shared" si="19"/>
        <v>64571.126831999994</v>
      </c>
      <c r="J28" s="83"/>
      <c r="K28" s="239">
        <f t="shared" si="20"/>
        <v>5224.2011999999995</v>
      </c>
      <c r="L28" s="239">
        <f t="shared" si="20"/>
        <v>5224.2011999999995</v>
      </c>
      <c r="M28" s="239">
        <f t="shared" si="20"/>
        <v>5224.2011999999995</v>
      </c>
      <c r="N28" s="239">
        <f t="shared" si="20"/>
        <v>5224.2011999999995</v>
      </c>
      <c r="O28" s="239">
        <f t="shared" si="20"/>
        <v>5224.2011999999995</v>
      </c>
      <c r="P28" s="239">
        <f t="shared" si="20"/>
        <v>5224.2011999999995</v>
      </c>
      <c r="Q28" s="239">
        <f t="shared" si="20"/>
        <v>5224.2011999999995</v>
      </c>
      <c r="R28" s="239">
        <f t="shared" si="20"/>
        <v>5224.2011999999995</v>
      </c>
      <c r="S28" s="239">
        <f t="shared" si="20"/>
        <v>5224.2011999999995</v>
      </c>
      <c r="T28" s="239">
        <f t="shared" si="21"/>
        <v>5380.9272359999995</v>
      </c>
      <c r="U28" s="239">
        <f t="shared" si="21"/>
        <v>5380.9272359999995</v>
      </c>
      <c r="V28" s="239">
        <f t="shared" si="21"/>
        <v>5380.9272359999995</v>
      </c>
      <c r="W28" s="83"/>
      <c r="X28" s="83"/>
      <c r="Y28" s="84"/>
      <c r="Z28" s="84">
        <f>+ROUND((IF(F28&gt;=113700,113700*0.062,F28*0.062)+(F28*0.0145)),0)</f>
        <v>4656</v>
      </c>
      <c r="AA28" s="84"/>
      <c r="AB28" s="84">
        <f>ROUND(7000*0.008,0)</f>
        <v>56</v>
      </c>
      <c r="AC28" s="84"/>
      <c r="AD28" s="83">
        <f>IF(F28&lt;=9300,F28*0.033,9300*0.033)</f>
        <v>306.90000000000003</v>
      </c>
      <c r="AE28" s="84"/>
      <c r="AF28" s="84">
        <f>SUM(Z28:AD28)</f>
        <v>5018.8999999999996</v>
      </c>
      <c r="AG28" s="84"/>
      <c r="AH28" s="84">
        <f>AH15</f>
        <v>7481.8509443099274</v>
      </c>
      <c r="AI28" s="84"/>
      <c r="AJ28" s="84">
        <f>F28*0.03</f>
        <v>1825.9343999999999</v>
      </c>
      <c r="AK28" s="84"/>
      <c r="AL28" s="84">
        <f>F28*0.04</f>
        <v>2434.5791999999997</v>
      </c>
      <c r="AM28" s="84"/>
      <c r="AN28" s="84">
        <f>AN12</f>
        <v>453.52290556900732</v>
      </c>
      <c r="AO28" s="84"/>
      <c r="AP28" s="84">
        <f>SUM(AH28:AN28)</f>
        <v>12195.887449878934</v>
      </c>
      <c r="AQ28" s="40"/>
      <c r="AR28" s="85">
        <v>6.9774677565532461E-2</v>
      </c>
      <c r="AS28" s="64"/>
      <c r="AT28" s="94">
        <v>2536.02</v>
      </c>
      <c r="AU28" s="40"/>
      <c r="AV28" s="65">
        <v>24</v>
      </c>
      <c r="AW28" s="40"/>
      <c r="AX28" s="87">
        <f>AT28*AV28</f>
        <v>60864.479999999996</v>
      </c>
      <c r="AY28" s="83"/>
      <c r="AZ28" s="83"/>
      <c r="BA28" s="40"/>
      <c r="BB28" s="95"/>
      <c r="BC28" s="40"/>
      <c r="BD28" s="96">
        <f t="shared" si="22"/>
        <v>60864.479999999996</v>
      </c>
      <c r="BE28" s="58"/>
      <c r="BF28" s="40"/>
      <c r="BG28" s="40"/>
      <c r="BH28" s="91">
        <f t="shared" si="23"/>
        <v>5</v>
      </c>
    </row>
    <row r="29" spans="1:60" ht="15">
      <c r="A29" s="40"/>
      <c r="B29" s="40"/>
      <c r="C29" s="40"/>
      <c r="D29" s="40"/>
      <c r="E29" s="40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4"/>
      <c r="Z29" s="97"/>
      <c r="AA29" s="84"/>
      <c r="AB29" s="97"/>
      <c r="AC29" s="84"/>
      <c r="AD29" s="97"/>
      <c r="AE29" s="84"/>
      <c r="AF29" s="97"/>
      <c r="AG29" s="84"/>
      <c r="AH29" s="97"/>
      <c r="AI29" s="84"/>
      <c r="AJ29" s="97"/>
      <c r="AK29" s="84"/>
      <c r="AL29" s="97"/>
      <c r="AM29" s="84"/>
      <c r="AN29" s="97"/>
      <c r="AO29" s="84"/>
      <c r="AP29" s="97"/>
      <c r="AQ29" s="64"/>
      <c r="AR29" s="64"/>
      <c r="AS29" s="64"/>
      <c r="AT29" s="86"/>
      <c r="AU29" s="77"/>
      <c r="AV29" s="61"/>
      <c r="AW29" s="80"/>
      <c r="AX29" s="84"/>
      <c r="AY29" s="84"/>
      <c r="AZ29" s="84"/>
      <c r="BA29" s="84"/>
      <c r="BB29" s="83"/>
      <c r="BC29" s="83"/>
      <c r="BD29" s="83"/>
      <c r="BE29" s="76"/>
      <c r="BF29" s="64"/>
      <c r="BG29" s="40"/>
      <c r="BH29" s="49"/>
    </row>
    <row r="30" spans="1:60" ht="15.75" thickBot="1">
      <c r="A30" s="40"/>
      <c r="B30" s="42" t="s">
        <v>268</v>
      </c>
      <c r="C30" s="40"/>
      <c r="D30" s="40"/>
      <c r="E30" s="40"/>
      <c r="F30" s="98">
        <f>SUM(F11:F28)</f>
        <v>977956.96354999999</v>
      </c>
      <c r="G30" s="83"/>
      <c r="H30" s="98">
        <f t="shared" ref="H30:V30" si="24">SUM(H11:H28)</f>
        <v>1007295.6724565001</v>
      </c>
      <c r="I30" s="98">
        <f t="shared" si="24"/>
        <v>1037514.542630195</v>
      </c>
      <c r="J30" s="83"/>
      <c r="K30" s="98">
        <f t="shared" si="24"/>
        <v>83941.306038041672</v>
      </c>
      <c r="L30" s="98">
        <f t="shared" si="24"/>
        <v>83941.306038041672</v>
      </c>
      <c r="M30" s="98">
        <f t="shared" si="24"/>
        <v>83941.306038041672</v>
      </c>
      <c r="N30" s="98">
        <f t="shared" si="24"/>
        <v>83941.306038041672</v>
      </c>
      <c r="O30" s="98">
        <f t="shared" si="24"/>
        <v>83941.306038041672</v>
      </c>
      <c r="P30" s="98">
        <f t="shared" si="24"/>
        <v>83941.306038041672</v>
      </c>
      <c r="Q30" s="98">
        <f t="shared" si="24"/>
        <v>83941.306038041672</v>
      </c>
      <c r="R30" s="98">
        <f t="shared" si="24"/>
        <v>83941.306038041672</v>
      </c>
      <c r="S30" s="98">
        <f t="shared" si="24"/>
        <v>83941.306038041672</v>
      </c>
      <c r="T30" s="98">
        <f t="shared" si="24"/>
        <v>86459.545219182924</v>
      </c>
      <c r="U30" s="98">
        <f t="shared" si="24"/>
        <v>86459.545219182924</v>
      </c>
      <c r="V30" s="98">
        <f t="shared" si="24"/>
        <v>86459.545219182924</v>
      </c>
      <c r="W30" s="83"/>
      <c r="X30" s="83"/>
      <c r="Y30" s="84"/>
      <c r="Z30" s="98">
        <f>SUM(Z11:Z28)</f>
        <v>69704</v>
      </c>
      <c r="AA30" s="84"/>
      <c r="AB30" s="98">
        <f>SUM(AB11:AB28)</f>
        <v>896</v>
      </c>
      <c r="AC30" s="84"/>
      <c r="AD30" s="98">
        <f>SUM(AD11:AD28)</f>
        <v>4910.3999999999996</v>
      </c>
      <c r="AE30" s="84"/>
      <c r="AF30" s="98">
        <f>SUM(AF11:AF28)</f>
        <v>75510.400000000009</v>
      </c>
      <c r="AG30" s="84"/>
      <c r="AH30" s="98">
        <f>SUM(AH11:AH28)</f>
        <v>119709.61510895887</v>
      </c>
      <c r="AI30" s="84"/>
      <c r="AJ30" s="98">
        <f>SUM(AJ11:AJ28)</f>
        <v>29338.708906499996</v>
      </c>
      <c r="AK30" s="84"/>
      <c r="AL30" s="98">
        <f>SUM(AL11:AL28)</f>
        <v>39118.278542</v>
      </c>
      <c r="AM30" s="84"/>
      <c r="AN30" s="98">
        <f>SUM(AN11:AN28)</f>
        <v>7256.3664891041153</v>
      </c>
      <c r="AO30" s="84"/>
      <c r="AP30" s="98">
        <f>SUM(AP11:AP28)</f>
        <v>195422.96904656294</v>
      </c>
      <c r="AQ30" s="64"/>
      <c r="AR30" s="64"/>
      <c r="AS30" s="64"/>
      <c r="AT30" s="64"/>
      <c r="AU30" s="77"/>
      <c r="AV30" s="64"/>
      <c r="AW30" s="80"/>
      <c r="AX30" s="98">
        <f>SUM(AX11:AX28)</f>
        <v>948243.44</v>
      </c>
      <c r="AY30" s="83"/>
      <c r="AZ30" s="83"/>
      <c r="BA30" s="84"/>
      <c r="BB30" s="98">
        <f>SUM(BB11:BB28)</f>
        <v>28581.000000000007</v>
      </c>
      <c r="BC30" s="83"/>
      <c r="BD30" s="98">
        <f>SUM(BD11:BD28)</f>
        <v>976824.44</v>
      </c>
      <c r="BE30" s="41"/>
      <c r="BF30" s="40"/>
      <c r="BG30" s="40"/>
      <c r="BH30" s="49"/>
    </row>
    <row r="31" spans="1:60" ht="15.75" thickTop="1">
      <c r="A31" s="40"/>
      <c r="B31" s="42"/>
      <c r="C31" s="40"/>
      <c r="D31" s="40"/>
      <c r="E31" s="41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84"/>
      <c r="Z31" s="83"/>
      <c r="AA31" s="84"/>
      <c r="AB31" s="83"/>
      <c r="AC31" s="84"/>
      <c r="AD31" s="83"/>
      <c r="AE31" s="84"/>
      <c r="AF31" s="83"/>
      <c r="AG31" s="84"/>
      <c r="AH31" s="83"/>
      <c r="AI31" s="84"/>
      <c r="AJ31" s="83"/>
      <c r="AK31" s="84"/>
      <c r="AL31" s="83"/>
      <c r="AM31" s="84"/>
      <c r="AN31" s="83"/>
      <c r="AO31" s="84"/>
      <c r="AP31" s="83"/>
      <c r="AQ31" s="64"/>
      <c r="AR31" s="64"/>
      <c r="AS31" s="64"/>
      <c r="AT31" s="40"/>
      <c r="AU31" s="40"/>
      <c r="AV31" s="40"/>
      <c r="AW31" s="40"/>
      <c r="AX31" s="84"/>
      <c r="AY31" s="84"/>
      <c r="AZ31" s="84"/>
      <c r="BA31" s="84"/>
      <c r="BB31" s="84"/>
      <c r="BC31" s="84"/>
      <c r="BD31" s="99"/>
      <c r="BE31" s="100"/>
      <c r="BF31" s="100"/>
      <c r="BG31" s="40"/>
      <c r="BH31" s="49"/>
    </row>
    <row r="32" spans="1:60" ht="15">
      <c r="A32" s="40"/>
      <c r="B32" s="64"/>
      <c r="C32" s="64"/>
      <c r="D32" s="64"/>
      <c r="E32" s="64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64"/>
      <c r="AR32" s="64"/>
      <c r="AS32" s="64"/>
      <c r="AT32" s="64"/>
      <c r="AU32" s="64"/>
      <c r="AV32" s="64"/>
      <c r="AW32" s="64"/>
      <c r="AX32" s="83"/>
      <c r="AY32" s="83"/>
      <c r="AZ32" s="83"/>
      <c r="BA32" s="83"/>
      <c r="BB32" s="83"/>
      <c r="BC32" s="83"/>
      <c r="BD32" s="83"/>
      <c r="BE32" s="40"/>
      <c r="BF32" s="40"/>
      <c r="BG32" s="40"/>
      <c r="BH32" s="64"/>
    </row>
    <row r="33" spans="1:60" ht="15">
      <c r="A33" s="40"/>
      <c r="B33" s="76" t="s">
        <v>269</v>
      </c>
      <c r="C33" s="64"/>
      <c r="D33" s="64"/>
      <c r="E33" s="40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64"/>
      <c r="AR33" s="64"/>
      <c r="AS33" s="64"/>
      <c r="AT33" s="64"/>
      <c r="AU33" s="64"/>
      <c r="AV33" s="64"/>
      <c r="AW33" s="64"/>
      <c r="AX33" s="83"/>
      <c r="AY33" s="83"/>
      <c r="AZ33" s="83"/>
      <c r="BA33" s="83"/>
      <c r="BB33" s="83"/>
      <c r="BC33" s="83"/>
      <c r="BD33" s="83"/>
      <c r="BE33" s="40"/>
      <c r="BF33" s="40"/>
      <c r="BG33" s="40"/>
      <c r="BH33" s="49"/>
    </row>
    <row r="34" spans="1:60" ht="15">
      <c r="A34" s="40"/>
      <c r="B34" s="76"/>
      <c r="C34" s="64"/>
      <c r="D34" s="64"/>
      <c r="E34" s="40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64"/>
      <c r="AR34" s="64"/>
      <c r="AS34" s="64"/>
      <c r="AT34" s="64"/>
      <c r="AU34" s="64"/>
      <c r="AV34" s="64"/>
      <c r="AW34" s="64"/>
      <c r="AX34" s="83"/>
      <c r="AY34" s="83"/>
      <c r="AZ34" s="83"/>
      <c r="BA34" s="83"/>
      <c r="BB34" s="83"/>
      <c r="BC34" s="83"/>
      <c r="BD34" s="83"/>
      <c r="BE34" s="40"/>
      <c r="BF34" s="40"/>
      <c r="BG34" s="40"/>
      <c r="BH34" s="49"/>
    </row>
    <row r="35" spans="1:60" ht="15">
      <c r="A35" s="40"/>
      <c r="B35" s="82" t="str">
        <f>+C11</f>
        <v>Maintenance 1</v>
      </c>
      <c r="C35" s="40"/>
      <c r="D35" s="82" t="s">
        <v>256</v>
      </c>
      <c r="E35" s="40"/>
      <c r="F35" s="83">
        <f>F11*AR11</f>
        <v>50756.05</v>
      </c>
      <c r="G35" s="83"/>
      <c r="H35" s="83"/>
      <c r="I35" s="83"/>
      <c r="J35" s="83"/>
      <c r="K35" s="83">
        <f>K11*K$77</f>
        <v>4356.5609583333335</v>
      </c>
      <c r="L35" s="83">
        <f t="shared" ref="L35:V35" si="25">L11*L$77</f>
        <v>4356.5609583333335</v>
      </c>
      <c r="M35" s="83">
        <f t="shared" si="25"/>
        <v>4356.5609583333335</v>
      </c>
      <c r="N35" s="83">
        <f t="shared" si="25"/>
        <v>4356.5609583333335</v>
      </c>
      <c r="O35" s="83">
        <f t="shared" si="25"/>
        <v>4356.5609583333335</v>
      </c>
      <c r="P35" s="83">
        <f t="shared" si="25"/>
        <v>4356.5609583333335</v>
      </c>
      <c r="Q35" s="83">
        <f t="shared" si="25"/>
        <v>4356.5609583333335</v>
      </c>
      <c r="R35" s="83">
        <f t="shared" si="25"/>
        <v>4356.5609583333335</v>
      </c>
      <c r="S35" s="83">
        <f t="shared" si="25"/>
        <v>4356.5609583333335</v>
      </c>
      <c r="T35" s="83">
        <f t="shared" si="25"/>
        <v>4487.2577870833338</v>
      </c>
      <c r="U35" s="83">
        <f t="shared" si="25"/>
        <v>4487.2577870833338</v>
      </c>
      <c r="V35" s="83">
        <f t="shared" si="25"/>
        <v>4487.2577870833338</v>
      </c>
      <c r="W35" s="83"/>
      <c r="X35" s="83"/>
      <c r="Y35" s="83"/>
      <c r="Z35" s="83">
        <f>$AR11*Z11</f>
        <v>3883</v>
      </c>
      <c r="AA35" s="83"/>
      <c r="AB35" s="83">
        <f>$AR11*AB11</f>
        <v>56</v>
      </c>
      <c r="AC35" s="83"/>
      <c r="AD35" s="83">
        <f>$AR11*AD11</f>
        <v>306.90000000000003</v>
      </c>
      <c r="AE35" s="83"/>
      <c r="AF35" s="83">
        <f>SUM(Z35:AD35)</f>
        <v>4245.8999999999996</v>
      </c>
      <c r="AG35" s="83"/>
      <c r="AH35" s="83">
        <f>$AR11*AH11</f>
        <v>7481.8509443099274</v>
      </c>
      <c r="AI35" s="83"/>
      <c r="AJ35" s="84">
        <f>$AR11*AJ11</f>
        <v>1522.6815000000001</v>
      </c>
      <c r="AK35" s="83"/>
      <c r="AL35" s="83">
        <f>$AR11*AL11</f>
        <v>2030.2420000000002</v>
      </c>
      <c r="AM35" s="83"/>
      <c r="AN35" s="83">
        <f>$AR11*AN11</f>
        <v>453.52290556900732</v>
      </c>
      <c r="AO35" s="83"/>
      <c r="AP35" s="84">
        <f>SUM(AH35:AN35)</f>
        <v>11488.297349878934</v>
      </c>
      <c r="AQ35" s="64"/>
      <c r="AR35" s="233">
        <f>AR11</f>
        <v>1</v>
      </c>
      <c r="AS35" s="64"/>
      <c r="AT35" s="64"/>
      <c r="AU35" s="64"/>
      <c r="AV35" s="64"/>
      <c r="AW35" s="64"/>
      <c r="AX35" s="83"/>
      <c r="AY35" s="83"/>
      <c r="AZ35" s="83"/>
      <c r="BA35" s="83"/>
      <c r="BB35" s="83"/>
      <c r="BC35" s="83"/>
      <c r="BD35" s="83"/>
      <c r="BE35" s="40"/>
      <c r="BF35" s="40"/>
      <c r="BG35" s="40"/>
      <c r="BH35" s="49"/>
    </row>
    <row r="36" spans="1:60" ht="15">
      <c r="A36" s="40"/>
      <c r="B36" s="82" t="str">
        <f t="shared" ref="B36:B45" si="26">+C12</f>
        <v>Maintenance 2</v>
      </c>
      <c r="C36" s="40"/>
      <c r="D36" s="82" t="s">
        <v>257</v>
      </c>
      <c r="E36" s="40"/>
      <c r="F36" s="83">
        <f>F12*AR12</f>
        <v>39906.829999999994</v>
      </c>
      <c r="G36" s="83"/>
      <c r="H36" s="83"/>
      <c r="I36" s="83"/>
      <c r="J36" s="83"/>
      <c r="K36" s="83">
        <f t="shared" ref="K36:V36" si="27">K12*K$77</f>
        <v>3425.3362416666664</v>
      </c>
      <c r="L36" s="83">
        <f t="shared" si="27"/>
        <v>3425.3362416666664</v>
      </c>
      <c r="M36" s="83">
        <f t="shared" si="27"/>
        <v>3425.3362416666664</v>
      </c>
      <c r="N36" s="83">
        <f t="shared" si="27"/>
        <v>3425.3362416666664</v>
      </c>
      <c r="O36" s="83">
        <f t="shared" si="27"/>
        <v>3425.3362416666664</v>
      </c>
      <c r="P36" s="83">
        <f t="shared" si="27"/>
        <v>3425.3362416666664</v>
      </c>
      <c r="Q36" s="83">
        <f t="shared" si="27"/>
        <v>3425.3362416666664</v>
      </c>
      <c r="R36" s="83">
        <f t="shared" si="27"/>
        <v>3425.3362416666664</v>
      </c>
      <c r="S36" s="83">
        <f t="shared" si="27"/>
        <v>3425.3362416666664</v>
      </c>
      <c r="T36" s="83">
        <f t="shared" si="27"/>
        <v>3528.0963289166666</v>
      </c>
      <c r="U36" s="83">
        <f t="shared" si="27"/>
        <v>3528.0963289166666</v>
      </c>
      <c r="V36" s="83">
        <f t="shared" si="27"/>
        <v>3528.0963289166666</v>
      </c>
      <c r="W36" s="83"/>
      <c r="X36" s="83"/>
      <c r="Y36" s="83"/>
      <c r="Z36" s="83">
        <f>$AR12*Z12</f>
        <v>3053</v>
      </c>
      <c r="AA36" s="83"/>
      <c r="AB36" s="83">
        <f>$AR12*AB12</f>
        <v>56</v>
      </c>
      <c r="AC36" s="83"/>
      <c r="AD36" s="83">
        <f>$AR12*AD12</f>
        <v>306.90000000000003</v>
      </c>
      <c r="AE36" s="83"/>
      <c r="AF36" s="83">
        <f>SUM(Z36:AD36)</f>
        <v>3415.9</v>
      </c>
      <c r="AG36" s="83"/>
      <c r="AH36" s="83">
        <f>$AR12*AH12</f>
        <v>7481.8509443099274</v>
      </c>
      <c r="AI36" s="83"/>
      <c r="AJ36" s="84">
        <f>$AR12*AJ12</f>
        <v>1197.2048999999997</v>
      </c>
      <c r="AK36" s="83"/>
      <c r="AL36" s="83">
        <f>$AR12*AL12</f>
        <v>1596.2731999999999</v>
      </c>
      <c r="AM36" s="83"/>
      <c r="AN36" s="83">
        <f>$AR12*AN12</f>
        <v>453.52290556900732</v>
      </c>
      <c r="AO36" s="83"/>
      <c r="AP36" s="84">
        <f>SUM(AH36:AN36)</f>
        <v>10728.851949878934</v>
      </c>
      <c r="AQ36" s="64"/>
      <c r="AR36" s="233">
        <f t="shared" ref="AR36:AR45" si="28">AR12</f>
        <v>1</v>
      </c>
      <c r="AS36" s="64"/>
      <c r="AT36" s="64"/>
      <c r="AU36" s="64"/>
      <c r="AV36" s="64"/>
      <c r="AW36" s="64"/>
      <c r="AX36" s="83"/>
      <c r="AY36" s="83"/>
      <c r="AZ36" s="83"/>
      <c r="BA36" s="83"/>
      <c r="BB36" s="83"/>
      <c r="BC36" s="83"/>
      <c r="BD36" s="83"/>
      <c r="BE36" s="40"/>
      <c r="BF36" s="40"/>
      <c r="BG36" s="40"/>
      <c r="BH36" s="49"/>
    </row>
    <row r="37" spans="1:60" ht="15">
      <c r="A37" s="40"/>
      <c r="B37" s="82" t="str">
        <f t="shared" si="26"/>
        <v>Maintenance 3</v>
      </c>
      <c r="C37" s="40"/>
      <c r="D37" s="82" t="s">
        <v>258</v>
      </c>
      <c r="E37" s="40"/>
      <c r="F37" s="83">
        <f>F13*AR13</f>
        <v>32332.0625</v>
      </c>
      <c r="G37" s="83"/>
      <c r="H37" s="83"/>
      <c r="I37" s="83"/>
      <c r="J37" s="83"/>
      <c r="K37" s="83">
        <f t="shared" ref="K37:V37" si="29">K13*K$77</f>
        <v>2775.1686979166666</v>
      </c>
      <c r="L37" s="83">
        <f t="shared" si="29"/>
        <v>2775.1686979166666</v>
      </c>
      <c r="M37" s="83">
        <f t="shared" si="29"/>
        <v>2775.1686979166666</v>
      </c>
      <c r="N37" s="83">
        <f t="shared" si="29"/>
        <v>2775.1686979166666</v>
      </c>
      <c r="O37" s="83">
        <f t="shared" si="29"/>
        <v>2775.1686979166666</v>
      </c>
      <c r="P37" s="83">
        <f t="shared" si="29"/>
        <v>2775.1686979166666</v>
      </c>
      <c r="Q37" s="83">
        <f t="shared" si="29"/>
        <v>2775.1686979166666</v>
      </c>
      <c r="R37" s="83">
        <f t="shared" si="29"/>
        <v>2775.1686979166666</v>
      </c>
      <c r="S37" s="83">
        <f t="shared" si="29"/>
        <v>2775.1686979166666</v>
      </c>
      <c r="T37" s="83">
        <f t="shared" si="29"/>
        <v>2858.4237588541669</v>
      </c>
      <c r="U37" s="83">
        <f t="shared" si="29"/>
        <v>2858.4237588541669</v>
      </c>
      <c r="V37" s="83">
        <f t="shared" si="29"/>
        <v>2858.4237588541669</v>
      </c>
      <c r="W37" s="83"/>
      <c r="X37" s="83"/>
      <c r="Y37" s="83"/>
      <c r="Z37" s="83">
        <f t="shared" ref="Z37:Z45" si="30">$AR13*Z13</f>
        <v>2473</v>
      </c>
      <c r="AA37" s="83"/>
      <c r="AB37" s="83">
        <f t="shared" ref="AB37:AB45" si="31">$AR13*AB13</f>
        <v>56</v>
      </c>
      <c r="AC37" s="83"/>
      <c r="AD37" s="83">
        <f t="shared" ref="AD37:AD45" si="32">$AR13*AD13</f>
        <v>306.90000000000003</v>
      </c>
      <c r="AE37" s="83"/>
      <c r="AF37" s="83">
        <f t="shared" ref="AF37:AF45" si="33">SUM(Z37:AD37)</f>
        <v>2835.9</v>
      </c>
      <c r="AG37" s="83"/>
      <c r="AH37" s="83">
        <f t="shared" ref="AH37:AH45" si="34">$AR13*AH13</f>
        <v>7481.8509443099274</v>
      </c>
      <c r="AI37" s="83"/>
      <c r="AJ37" s="84">
        <f t="shared" ref="AJ37:AJ45" si="35">$AR13*AJ13</f>
        <v>969.96187499999996</v>
      </c>
      <c r="AK37" s="83"/>
      <c r="AL37" s="83">
        <f t="shared" ref="AL37:AL45" si="36">$AR13*AL13</f>
        <v>1293.2825</v>
      </c>
      <c r="AM37" s="83"/>
      <c r="AN37" s="83">
        <f t="shared" ref="AN37:AN45" si="37">$AR13*AN13</f>
        <v>453.52290556900732</v>
      </c>
      <c r="AO37" s="83"/>
      <c r="AP37" s="84">
        <f t="shared" ref="AP37:AP45" si="38">SUM(AH37:AN37)</f>
        <v>10198.618224878934</v>
      </c>
      <c r="AQ37" s="64"/>
      <c r="AR37" s="233">
        <f t="shared" si="28"/>
        <v>1</v>
      </c>
      <c r="AS37" s="64"/>
      <c r="AT37" s="64"/>
      <c r="AU37" s="64"/>
      <c r="AV37" s="64"/>
      <c r="AW37" s="64"/>
      <c r="AX37" s="83"/>
      <c r="AY37" s="83"/>
      <c r="AZ37" s="83"/>
      <c r="BA37" s="83"/>
      <c r="BB37" s="83"/>
      <c r="BC37" s="83"/>
      <c r="BD37" s="83"/>
      <c r="BE37" s="40"/>
      <c r="BF37" s="40"/>
      <c r="BG37" s="40"/>
      <c r="BH37" s="49"/>
    </row>
    <row r="38" spans="1:60" ht="15">
      <c r="A38" s="40"/>
      <c r="B38" s="82" t="str">
        <f t="shared" si="26"/>
        <v>Maintenance 4</v>
      </c>
      <c r="C38" s="40"/>
      <c r="D38" s="82" t="s">
        <v>259</v>
      </c>
      <c r="E38" s="40"/>
      <c r="F38" s="83">
        <f>F14*AR14</f>
        <v>73654.799999999988</v>
      </c>
      <c r="G38" s="83"/>
      <c r="H38" s="83"/>
      <c r="I38" s="83"/>
      <c r="J38" s="83"/>
      <c r="K38" s="83">
        <f t="shared" ref="K38:V38" si="39">K14*K$77</f>
        <v>6322.0369999999994</v>
      </c>
      <c r="L38" s="83">
        <f t="shared" si="39"/>
        <v>6322.0369999999994</v>
      </c>
      <c r="M38" s="83">
        <f t="shared" si="39"/>
        <v>6322.0369999999994</v>
      </c>
      <c r="N38" s="83">
        <f t="shared" si="39"/>
        <v>6322.0369999999994</v>
      </c>
      <c r="O38" s="83">
        <f t="shared" si="39"/>
        <v>6322.0369999999994</v>
      </c>
      <c r="P38" s="83">
        <f t="shared" si="39"/>
        <v>6322.0369999999994</v>
      </c>
      <c r="Q38" s="83">
        <f t="shared" si="39"/>
        <v>6322.0369999999994</v>
      </c>
      <c r="R38" s="83">
        <f t="shared" si="39"/>
        <v>6322.0369999999994</v>
      </c>
      <c r="S38" s="83">
        <f t="shared" si="39"/>
        <v>6322.0369999999994</v>
      </c>
      <c r="T38" s="83">
        <f t="shared" si="39"/>
        <v>6511.6981099999985</v>
      </c>
      <c r="U38" s="83">
        <f t="shared" si="39"/>
        <v>6511.6981099999985</v>
      </c>
      <c r="V38" s="83">
        <f t="shared" si="39"/>
        <v>6511.6981099999985</v>
      </c>
      <c r="W38" s="83"/>
      <c r="X38" s="83"/>
      <c r="Y38" s="83"/>
      <c r="Z38" s="83">
        <f t="shared" si="30"/>
        <v>5635</v>
      </c>
      <c r="AA38" s="83"/>
      <c r="AB38" s="83">
        <f t="shared" si="31"/>
        <v>56</v>
      </c>
      <c r="AC38" s="83"/>
      <c r="AD38" s="83">
        <f t="shared" si="32"/>
        <v>306.90000000000003</v>
      </c>
      <c r="AE38" s="83"/>
      <c r="AF38" s="83">
        <f t="shared" si="33"/>
        <v>5997.9</v>
      </c>
      <c r="AG38" s="83"/>
      <c r="AH38" s="83">
        <f t="shared" si="34"/>
        <v>7481.8509443099274</v>
      </c>
      <c r="AI38" s="83"/>
      <c r="AJ38" s="84">
        <f t="shared" si="35"/>
        <v>2209.6439999999998</v>
      </c>
      <c r="AK38" s="83"/>
      <c r="AL38" s="83">
        <f t="shared" si="36"/>
        <v>2946.1919999999996</v>
      </c>
      <c r="AM38" s="83"/>
      <c r="AN38" s="83">
        <f t="shared" si="37"/>
        <v>453.52290556900732</v>
      </c>
      <c r="AO38" s="83"/>
      <c r="AP38" s="84">
        <f t="shared" si="38"/>
        <v>13091.209849878933</v>
      </c>
      <c r="AQ38" s="64"/>
      <c r="AR38" s="233">
        <f t="shared" si="28"/>
        <v>1</v>
      </c>
      <c r="AS38" s="64"/>
      <c r="AT38" s="64"/>
      <c r="AU38" s="64"/>
      <c r="AV38" s="64"/>
      <c r="AW38" s="64"/>
      <c r="AX38" s="83"/>
      <c r="AY38" s="83"/>
      <c r="AZ38" s="83"/>
      <c r="BA38" s="83"/>
      <c r="BB38" s="83"/>
      <c r="BC38" s="83"/>
      <c r="BD38" s="83"/>
      <c r="BE38" s="40"/>
      <c r="BF38" s="40"/>
      <c r="BG38" s="40"/>
      <c r="BH38" s="49"/>
    </row>
    <row r="39" spans="1:60" ht="15">
      <c r="A39" s="40"/>
      <c r="B39" s="82" t="str">
        <f t="shared" si="26"/>
        <v>Maintenance 5</v>
      </c>
      <c r="C39" s="40"/>
      <c r="D39" s="82" t="s">
        <v>260</v>
      </c>
      <c r="E39" s="40"/>
      <c r="F39" s="83">
        <f>F15*AR15</f>
        <v>51470.21</v>
      </c>
      <c r="G39" s="83"/>
      <c r="H39" s="83"/>
      <c r="I39" s="83"/>
      <c r="J39" s="83"/>
      <c r="K39" s="83">
        <f t="shared" ref="K39:V39" si="40">K15*K$77</f>
        <v>4417.8596916666665</v>
      </c>
      <c r="L39" s="83">
        <f t="shared" si="40"/>
        <v>4417.8596916666665</v>
      </c>
      <c r="M39" s="83">
        <f t="shared" si="40"/>
        <v>4417.8596916666665</v>
      </c>
      <c r="N39" s="83">
        <f t="shared" si="40"/>
        <v>4417.8596916666665</v>
      </c>
      <c r="O39" s="83">
        <f t="shared" si="40"/>
        <v>4417.8596916666665</v>
      </c>
      <c r="P39" s="83">
        <f t="shared" si="40"/>
        <v>4417.8596916666665</v>
      </c>
      <c r="Q39" s="83">
        <f t="shared" si="40"/>
        <v>4417.8596916666665</v>
      </c>
      <c r="R39" s="83">
        <f t="shared" si="40"/>
        <v>4417.8596916666665</v>
      </c>
      <c r="S39" s="83">
        <f t="shared" si="40"/>
        <v>4417.8596916666665</v>
      </c>
      <c r="T39" s="83">
        <f t="shared" si="40"/>
        <v>4550.3954824166667</v>
      </c>
      <c r="U39" s="83">
        <f t="shared" si="40"/>
        <v>4550.3954824166667</v>
      </c>
      <c r="V39" s="83">
        <f t="shared" si="40"/>
        <v>4550.3954824166667</v>
      </c>
      <c r="W39" s="83"/>
      <c r="X39" s="83"/>
      <c r="Y39" s="83"/>
      <c r="Z39" s="83">
        <f t="shared" si="30"/>
        <v>3937</v>
      </c>
      <c r="AA39" s="83"/>
      <c r="AB39" s="83">
        <f t="shared" si="31"/>
        <v>56</v>
      </c>
      <c r="AC39" s="83"/>
      <c r="AD39" s="83">
        <f t="shared" si="32"/>
        <v>306.90000000000003</v>
      </c>
      <c r="AE39" s="83"/>
      <c r="AF39" s="83">
        <f t="shared" si="33"/>
        <v>4299.8999999999996</v>
      </c>
      <c r="AG39" s="83"/>
      <c r="AH39" s="83">
        <f t="shared" si="34"/>
        <v>7481.8509443099274</v>
      </c>
      <c r="AI39" s="83"/>
      <c r="AJ39" s="84">
        <f t="shared" si="35"/>
        <v>1544.1062999999999</v>
      </c>
      <c r="AK39" s="83"/>
      <c r="AL39" s="83">
        <f t="shared" si="36"/>
        <v>2058.8083999999999</v>
      </c>
      <c r="AM39" s="83"/>
      <c r="AN39" s="83">
        <f t="shared" si="37"/>
        <v>453.52290556900732</v>
      </c>
      <c r="AO39" s="83"/>
      <c r="AP39" s="84">
        <f t="shared" si="38"/>
        <v>11538.288549878935</v>
      </c>
      <c r="AQ39" s="64"/>
      <c r="AR39" s="233">
        <f t="shared" si="28"/>
        <v>1</v>
      </c>
      <c r="AS39" s="64"/>
      <c r="AT39" s="64"/>
      <c r="AU39" s="64"/>
      <c r="AV39" s="64"/>
      <c r="AW39" s="64"/>
      <c r="AX39" s="83"/>
      <c r="AY39" s="83"/>
      <c r="AZ39" s="83"/>
      <c r="BA39" s="83"/>
      <c r="BB39" s="83"/>
      <c r="BC39" s="83"/>
      <c r="BD39" s="83"/>
      <c r="BE39" s="40"/>
      <c r="BF39" s="40"/>
      <c r="BG39" s="40"/>
      <c r="BH39" s="49"/>
    </row>
    <row r="40" spans="1:60" ht="15">
      <c r="A40" s="40"/>
      <c r="B40" s="82" t="str">
        <f t="shared" si="26"/>
        <v>Maintenance 6</v>
      </c>
      <c r="C40" s="40"/>
      <c r="D40" s="82" t="s">
        <v>258</v>
      </c>
      <c r="E40" s="40"/>
      <c r="F40" s="83">
        <f>F16*AR16</f>
        <v>34134.1</v>
      </c>
      <c r="G40" s="83"/>
      <c r="H40" s="83"/>
      <c r="I40" s="83"/>
      <c r="J40" s="83"/>
      <c r="K40" s="83">
        <f t="shared" ref="K40:V40" si="41">K16*K$77</f>
        <v>2929.8435833333333</v>
      </c>
      <c r="L40" s="83">
        <f t="shared" si="41"/>
        <v>2929.8435833333333</v>
      </c>
      <c r="M40" s="83">
        <f t="shared" si="41"/>
        <v>2929.8435833333333</v>
      </c>
      <c r="N40" s="83">
        <f t="shared" si="41"/>
        <v>2929.8435833333333</v>
      </c>
      <c r="O40" s="83">
        <f t="shared" si="41"/>
        <v>2929.8435833333333</v>
      </c>
      <c r="P40" s="83">
        <f t="shared" si="41"/>
        <v>2929.8435833333333</v>
      </c>
      <c r="Q40" s="83">
        <f t="shared" si="41"/>
        <v>2929.8435833333333</v>
      </c>
      <c r="R40" s="83">
        <f t="shared" si="41"/>
        <v>2929.8435833333333</v>
      </c>
      <c r="S40" s="83">
        <f t="shared" si="41"/>
        <v>2929.8435833333333</v>
      </c>
      <c r="T40" s="83">
        <f t="shared" si="41"/>
        <v>3017.7388908333337</v>
      </c>
      <c r="U40" s="83">
        <f t="shared" si="41"/>
        <v>3017.7388908333337</v>
      </c>
      <c r="V40" s="83">
        <f t="shared" si="41"/>
        <v>3017.7388908333337</v>
      </c>
      <c r="W40" s="83"/>
      <c r="X40" s="83"/>
      <c r="Y40" s="83"/>
      <c r="Z40" s="83">
        <f t="shared" si="30"/>
        <v>2611</v>
      </c>
      <c r="AA40" s="83"/>
      <c r="AB40" s="83">
        <f t="shared" si="31"/>
        <v>56</v>
      </c>
      <c r="AC40" s="83"/>
      <c r="AD40" s="83">
        <f t="shared" si="32"/>
        <v>306.90000000000003</v>
      </c>
      <c r="AE40" s="83"/>
      <c r="AF40" s="83">
        <f t="shared" si="33"/>
        <v>2973.9</v>
      </c>
      <c r="AG40" s="83"/>
      <c r="AH40" s="83">
        <f t="shared" si="34"/>
        <v>7481.8509443099274</v>
      </c>
      <c r="AI40" s="83"/>
      <c r="AJ40" s="84">
        <f t="shared" si="35"/>
        <v>1024.0229999999999</v>
      </c>
      <c r="AK40" s="83"/>
      <c r="AL40" s="83">
        <f t="shared" si="36"/>
        <v>1365.364</v>
      </c>
      <c r="AM40" s="83"/>
      <c r="AN40" s="83">
        <f t="shared" si="37"/>
        <v>453.52290556900732</v>
      </c>
      <c r="AO40" s="83"/>
      <c r="AP40" s="84">
        <f t="shared" si="38"/>
        <v>10324.760849878934</v>
      </c>
      <c r="AQ40" s="64"/>
      <c r="AR40" s="233">
        <f t="shared" si="28"/>
        <v>1</v>
      </c>
      <c r="AS40" s="64"/>
      <c r="AT40" s="64"/>
      <c r="AU40" s="64"/>
      <c r="AV40" s="64"/>
      <c r="AW40" s="64"/>
      <c r="AX40" s="83"/>
      <c r="AY40" s="83"/>
      <c r="AZ40" s="83"/>
      <c r="BA40" s="83"/>
      <c r="BB40" s="83"/>
      <c r="BC40" s="83"/>
      <c r="BD40" s="83"/>
      <c r="BE40" s="40"/>
      <c r="BF40" s="40"/>
      <c r="BG40" s="40"/>
      <c r="BH40" s="49"/>
    </row>
    <row r="41" spans="1:60" ht="15">
      <c r="A41" s="40"/>
      <c r="B41" s="82" t="str">
        <f t="shared" si="26"/>
        <v>Maintenance 7</v>
      </c>
      <c r="C41" s="40"/>
      <c r="D41" s="82" t="s">
        <v>257</v>
      </c>
      <c r="E41" s="40"/>
      <c r="F41" s="83">
        <f>F17*AR17</f>
        <v>40127.425000000003</v>
      </c>
      <c r="G41" s="83"/>
      <c r="H41" s="83"/>
      <c r="I41" s="83"/>
      <c r="J41" s="83"/>
      <c r="K41" s="83">
        <f t="shared" ref="K41:V41" si="42">K17*K$77</f>
        <v>3444.2706458333337</v>
      </c>
      <c r="L41" s="83">
        <f t="shared" si="42"/>
        <v>3444.2706458333337</v>
      </c>
      <c r="M41" s="83">
        <f t="shared" si="42"/>
        <v>3444.2706458333337</v>
      </c>
      <c r="N41" s="83">
        <f t="shared" si="42"/>
        <v>3444.2706458333337</v>
      </c>
      <c r="O41" s="83">
        <f t="shared" si="42"/>
        <v>3444.2706458333337</v>
      </c>
      <c r="P41" s="83">
        <f t="shared" si="42"/>
        <v>3444.2706458333337</v>
      </c>
      <c r="Q41" s="83">
        <f t="shared" si="42"/>
        <v>3444.2706458333337</v>
      </c>
      <c r="R41" s="83">
        <f t="shared" si="42"/>
        <v>3444.2706458333337</v>
      </c>
      <c r="S41" s="83">
        <f t="shared" si="42"/>
        <v>3444.2706458333337</v>
      </c>
      <c r="T41" s="83">
        <f t="shared" si="42"/>
        <v>3547.5987652083336</v>
      </c>
      <c r="U41" s="83">
        <f t="shared" si="42"/>
        <v>3547.5987652083336</v>
      </c>
      <c r="V41" s="83">
        <f t="shared" si="42"/>
        <v>3547.5987652083336</v>
      </c>
      <c r="W41" s="83"/>
      <c r="X41" s="83"/>
      <c r="Y41" s="83"/>
      <c r="Z41" s="83">
        <f t="shared" si="30"/>
        <v>3070</v>
      </c>
      <c r="AA41" s="83"/>
      <c r="AB41" s="83">
        <f t="shared" si="31"/>
        <v>56</v>
      </c>
      <c r="AC41" s="83"/>
      <c r="AD41" s="83">
        <f t="shared" si="32"/>
        <v>306.90000000000003</v>
      </c>
      <c r="AE41" s="83"/>
      <c r="AF41" s="83">
        <f t="shared" si="33"/>
        <v>3432.9</v>
      </c>
      <c r="AG41" s="83"/>
      <c r="AH41" s="83">
        <f t="shared" si="34"/>
        <v>7481.8509443099274</v>
      </c>
      <c r="AI41" s="83"/>
      <c r="AJ41" s="84">
        <f t="shared" si="35"/>
        <v>1203.82275</v>
      </c>
      <c r="AK41" s="83"/>
      <c r="AL41" s="83">
        <f t="shared" si="36"/>
        <v>1605.0970000000002</v>
      </c>
      <c r="AM41" s="83"/>
      <c r="AN41" s="83">
        <f t="shared" si="37"/>
        <v>453.52290556900732</v>
      </c>
      <c r="AO41" s="83"/>
      <c r="AP41" s="84">
        <f t="shared" si="38"/>
        <v>10744.293599878934</v>
      </c>
      <c r="AQ41" s="64"/>
      <c r="AR41" s="233">
        <f t="shared" si="28"/>
        <v>1</v>
      </c>
      <c r="AS41" s="64"/>
      <c r="AT41" s="64"/>
      <c r="AU41" s="64"/>
      <c r="AV41" s="64"/>
      <c r="AW41" s="64"/>
      <c r="AX41" s="83"/>
      <c r="AY41" s="83"/>
      <c r="AZ41" s="83"/>
      <c r="BA41" s="83"/>
      <c r="BB41" s="83"/>
      <c r="BC41" s="83"/>
      <c r="BD41" s="83"/>
      <c r="BE41" s="40"/>
      <c r="BF41" s="40"/>
      <c r="BG41" s="40"/>
      <c r="BH41" s="49"/>
    </row>
    <row r="42" spans="1:60" ht="15">
      <c r="A42" s="40"/>
      <c r="B42" s="82" t="str">
        <f t="shared" si="26"/>
        <v>Maintenance 8</v>
      </c>
      <c r="C42" s="40"/>
      <c r="D42" s="82" t="s">
        <v>258</v>
      </c>
      <c r="E42" s="40"/>
      <c r="F42" s="83">
        <f>F18*AR18</f>
        <v>26858.28</v>
      </c>
      <c r="G42" s="83"/>
      <c r="H42" s="83"/>
      <c r="I42" s="83"/>
      <c r="J42" s="83"/>
      <c r="K42" s="83">
        <f t="shared" ref="K42:V42" si="43">K18*K$77</f>
        <v>2305.3357000000001</v>
      </c>
      <c r="L42" s="83">
        <f t="shared" si="43"/>
        <v>2305.3357000000001</v>
      </c>
      <c r="M42" s="83">
        <f t="shared" si="43"/>
        <v>2305.3357000000001</v>
      </c>
      <c r="N42" s="83">
        <f t="shared" si="43"/>
        <v>2305.3357000000001</v>
      </c>
      <c r="O42" s="83">
        <f t="shared" si="43"/>
        <v>2305.3357000000001</v>
      </c>
      <c r="P42" s="83">
        <f t="shared" si="43"/>
        <v>2305.3357000000001</v>
      </c>
      <c r="Q42" s="83">
        <f t="shared" si="43"/>
        <v>2305.3357000000001</v>
      </c>
      <c r="R42" s="83">
        <f t="shared" si="43"/>
        <v>2305.3357000000001</v>
      </c>
      <c r="S42" s="83">
        <f t="shared" si="43"/>
        <v>2305.3357000000001</v>
      </c>
      <c r="T42" s="83">
        <f t="shared" si="43"/>
        <v>2374.4957709999999</v>
      </c>
      <c r="U42" s="83">
        <f t="shared" si="43"/>
        <v>2374.4957709999999</v>
      </c>
      <c r="V42" s="83">
        <f t="shared" si="43"/>
        <v>2374.4957709999999</v>
      </c>
      <c r="W42" s="83"/>
      <c r="X42" s="83"/>
      <c r="Y42" s="83"/>
      <c r="Z42" s="83">
        <f t="shared" si="30"/>
        <v>2055</v>
      </c>
      <c r="AA42" s="83"/>
      <c r="AB42" s="83">
        <f t="shared" si="31"/>
        <v>56</v>
      </c>
      <c r="AC42" s="83"/>
      <c r="AD42" s="83">
        <f t="shared" si="32"/>
        <v>306.90000000000003</v>
      </c>
      <c r="AE42" s="83"/>
      <c r="AF42" s="83">
        <f t="shared" si="33"/>
        <v>2417.9</v>
      </c>
      <c r="AG42" s="83"/>
      <c r="AH42" s="83">
        <f t="shared" si="34"/>
        <v>7481.8509443099274</v>
      </c>
      <c r="AI42" s="83"/>
      <c r="AJ42" s="84">
        <f t="shared" si="35"/>
        <v>805.74839999999995</v>
      </c>
      <c r="AK42" s="83"/>
      <c r="AL42" s="83">
        <f t="shared" si="36"/>
        <v>1074.3312000000001</v>
      </c>
      <c r="AM42" s="83"/>
      <c r="AN42" s="83">
        <f t="shared" si="37"/>
        <v>453.52290556900732</v>
      </c>
      <c r="AO42" s="83"/>
      <c r="AP42" s="84">
        <f t="shared" si="38"/>
        <v>9815.4534498789344</v>
      </c>
      <c r="AQ42" s="64"/>
      <c r="AR42" s="233">
        <f t="shared" si="28"/>
        <v>1</v>
      </c>
      <c r="AS42" s="64"/>
      <c r="AT42" s="64"/>
      <c r="AU42" s="64"/>
      <c r="AV42" s="64"/>
      <c r="AW42" s="64"/>
      <c r="AX42" s="83"/>
      <c r="AY42" s="83"/>
      <c r="AZ42" s="83"/>
      <c r="BA42" s="83"/>
      <c r="BB42" s="83"/>
      <c r="BC42" s="83"/>
      <c r="BD42" s="83"/>
      <c r="BE42" s="40"/>
      <c r="BF42" s="40"/>
      <c r="BG42" s="40"/>
      <c r="BH42" s="49"/>
    </row>
    <row r="43" spans="1:60" ht="15">
      <c r="A43" s="40"/>
      <c r="B43" s="82" t="str">
        <f t="shared" si="26"/>
        <v>Maintenance 9</v>
      </c>
      <c r="C43" s="40"/>
      <c r="D43" s="82" t="s">
        <v>258</v>
      </c>
      <c r="E43" s="40"/>
      <c r="F43" s="83">
        <f>F19*AR19</f>
        <v>33866.157500000001</v>
      </c>
      <c r="G43" s="83"/>
      <c r="H43" s="83"/>
      <c r="I43" s="83"/>
      <c r="J43" s="83"/>
      <c r="K43" s="83">
        <f t="shared" ref="K43:V43" si="44">K19*K$77</f>
        <v>2906.8451854166669</v>
      </c>
      <c r="L43" s="83">
        <f t="shared" si="44"/>
        <v>2906.8451854166669</v>
      </c>
      <c r="M43" s="83">
        <f t="shared" si="44"/>
        <v>2906.8451854166669</v>
      </c>
      <c r="N43" s="83">
        <f t="shared" si="44"/>
        <v>2906.8451854166669</v>
      </c>
      <c r="O43" s="83">
        <f t="shared" si="44"/>
        <v>2906.8451854166669</v>
      </c>
      <c r="P43" s="83">
        <f t="shared" si="44"/>
        <v>2906.8451854166669</v>
      </c>
      <c r="Q43" s="83">
        <f t="shared" si="44"/>
        <v>2906.8451854166669</v>
      </c>
      <c r="R43" s="83">
        <f t="shared" si="44"/>
        <v>2906.8451854166669</v>
      </c>
      <c r="S43" s="83">
        <f t="shared" si="44"/>
        <v>2906.8451854166669</v>
      </c>
      <c r="T43" s="83">
        <f t="shared" si="44"/>
        <v>2994.0505409791672</v>
      </c>
      <c r="U43" s="83">
        <f t="shared" si="44"/>
        <v>2994.0505409791672</v>
      </c>
      <c r="V43" s="83">
        <f t="shared" si="44"/>
        <v>2994.0505409791672</v>
      </c>
      <c r="W43" s="83"/>
      <c r="X43" s="83"/>
      <c r="Y43" s="83"/>
      <c r="Z43" s="83">
        <f t="shared" si="30"/>
        <v>2591</v>
      </c>
      <c r="AA43" s="83"/>
      <c r="AB43" s="83">
        <f t="shared" si="31"/>
        <v>56</v>
      </c>
      <c r="AC43" s="83"/>
      <c r="AD43" s="83">
        <f t="shared" si="32"/>
        <v>306.90000000000003</v>
      </c>
      <c r="AE43" s="83"/>
      <c r="AF43" s="83">
        <f t="shared" si="33"/>
        <v>2953.9</v>
      </c>
      <c r="AG43" s="83"/>
      <c r="AH43" s="83">
        <f t="shared" si="34"/>
        <v>7481.8509443099274</v>
      </c>
      <c r="AI43" s="83"/>
      <c r="AJ43" s="84">
        <f t="shared" si="35"/>
        <v>1015.984725</v>
      </c>
      <c r="AK43" s="83"/>
      <c r="AL43" s="83">
        <f t="shared" si="36"/>
        <v>1354.6463000000001</v>
      </c>
      <c r="AM43" s="83"/>
      <c r="AN43" s="83">
        <f t="shared" si="37"/>
        <v>453.52290556900732</v>
      </c>
      <c r="AO43" s="83"/>
      <c r="AP43" s="84">
        <f t="shared" si="38"/>
        <v>10306.004874878934</v>
      </c>
      <c r="AQ43" s="64"/>
      <c r="AR43" s="233">
        <f t="shared" si="28"/>
        <v>1</v>
      </c>
      <c r="AS43" s="64"/>
      <c r="AT43" s="64"/>
      <c r="AU43" s="64"/>
      <c r="AV43" s="64"/>
      <c r="AW43" s="64"/>
      <c r="AX43" s="83"/>
      <c r="AY43" s="83"/>
      <c r="AZ43" s="83"/>
      <c r="BA43" s="83"/>
      <c r="BB43" s="83"/>
      <c r="BC43" s="83"/>
      <c r="BD43" s="83"/>
      <c r="BE43" s="40"/>
      <c r="BF43" s="40"/>
      <c r="BG43" s="40"/>
      <c r="BH43" s="49"/>
    </row>
    <row r="44" spans="1:60" ht="15">
      <c r="A44" s="40"/>
      <c r="B44" s="82" t="str">
        <f t="shared" si="26"/>
        <v>Maintenance 10</v>
      </c>
      <c r="C44" s="40"/>
      <c r="D44" s="82" t="s">
        <v>257</v>
      </c>
      <c r="E44" s="40"/>
      <c r="F44" s="83">
        <f>F20*AR20</f>
        <v>42966.3</v>
      </c>
      <c r="G44" s="83"/>
      <c r="H44" s="83"/>
      <c r="I44" s="83"/>
      <c r="J44" s="83"/>
      <c r="K44" s="83">
        <f t="shared" ref="K44:V44" si="45">K20*K$77</f>
        <v>3687.9407500000002</v>
      </c>
      <c r="L44" s="83">
        <f t="shared" si="45"/>
        <v>3687.9407500000002</v>
      </c>
      <c r="M44" s="83">
        <f t="shared" si="45"/>
        <v>3687.9407500000002</v>
      </c>
      <c r="N44" s="83">
        <f t="shared" si="45"/>
        <v>3687.9407500000002</v>
      </c>
      <c r="O44" s="83">
        <f t="shared" si="45"/>
        <v>3687.9407500000002</v>
      </c>
      <c r="P44" s="83">
        <f t="shared" si="45"/>
        <v>3687.9407500000002</v>
      </c>
      <c r="Q44" s="83">
        <f t="shared" si="45"/>
        <v>3687.9407500000002</v>
      </c>
      <c r="R44" s="83">
        <f t="shared" si="45"/>
        <v>3687.9407500000002</v>
      </c>
      <c r="S44" s="83">
        <f t="shared" si="45"/>
        <v>3687.9407500000002</v>
      </c>
      <c r="T44" s="83">
        <f t="shared" si="45"/>
        <v>3798.5789725000009</v>
      </c>
      <c r="U44" s="83">
        <f t="shared" si="45"/>
        <v>3798.5789725000009</v>
      </c>
      <c r="V44" s="83">
        <f t="shared" si="45"/>
        <v>3798.5789725000009</v>
      </c>
      <c r="W44" s="83"/>
      <c r="X44" s="83"/>
      <c r="Y44" s="83"/>
      <c r="Z44" s="83">
        <f t="shared" si="30"/>
        <v>3287</v>
      </c>
      <c r="AA44" s="83"/>
      <c r="AB44" s="83">
        <f t="shared" si="31"/>
        <v>56</v>
      </c>
      <c r="AC44" s="83"/>
      <c r="AD44" s="83">
        <f t="shared" si="32"/>
        <v>306.90000000000003</v>
      </c>
      <c r="AE44" s="83"/>
      <c r="AF44" s="83">
        <f t="shared" si="33"/>
        <v>3649.9</v>
      </c>
      <c r="AG44" s="83"/>
      <c r="AH44" s="83">
        <f t="shared" si="34"/>
        <v>7481.8509443099274</v>
      </c>
      <c r="AI44" s="83"/>
      <c r="AJ44" s="84">
        <f t="shared" si="35"/>
        <v>1288.989</v>
      </c>
      <c r="AK44" s="83"/>
      <c r="AL44" s="83">
        <f t="shared" si="36"/>
        <v>1718.652</v>
      </c>
      <c r="AM44" s="83"/>
      <c r="AN44" s="83">
        <f t="shared" si="37"/>
        <v>453.52290556900732</v>
      </c>
      <c r="AO44" s="83"/>
      <c r="AP44" s="84">
        <f t="shared" si="38"/>
        <v>10943.014849878935</v>
      </c>
      <c r="AQ44" s="64"/>
      <c r="AR44" s="233">
        <f t="shared" si="28"/>
        <v>1</v>
      </c>
      <c r="AS44" s="64"/>
      <c r="AT44" s="64"/>
      <c r="AU44" s="64"/>
      <c r="AV44" s="64"/>
      <c r="AW44" s="64"/>
      <c r="AX44" s="83"/>
      <c r="AY44" s="83"/>
      <c r="AZ44" s="83"/>
      <c r="BA44" s="83"/>
      <c r="BB44" s="83"/>
      <c r="BC44" s="83"/>
      <c r="BD44" s="83"/>
      <c r="BE44" s="40"/>
      <c r="BF44" s="40"/>
      <c r="BG44" s="40"/>
      <c r="BH44" s="49"/>
    </row>
    <row r="45" spans="1:60" ht="15">
      <c r="A45" s="40"/>
      <c r="B45" s="82" t="str">
        <f t="shared" si="26"/>
        <v>Maintenance 11</v>
      </c>
      <c r="C45" s="40"/>
      <c r="D45" s="82" t="s">
        <v>261</v>
      </c>
      <c r="E45" s="40"/>
      <c r="F45" s="83">
        <f>F21*AR21</f>
        <v>38883.308550000002</v>
      </c>
      <c r="G45" s="83"/>
      <c r="H45" s="83"/>
      <c r="I45" s="83"/>
      <c r="J45" s="83"/>
      <c r="K45" s="83">
        <f t="shared" ref="K45:V45" si="46">K21*K$77</f>
        <v>3337.4839838749999</v>
      </c>
      <c r="L45" s="83">
        <f t="shared" si="46"/>
        <v>3337.4839838749999</v>
      </c>
      <c r="M45" s="83">
        <f t="shared" si="46"/>
        <v>3337.4839838749999</v>
      </c>
      <c r="N45" s="83">
        <f t="shared" si="46"/>
        <v>3337.4839838749999</v>
      </c>
      <c r="O45" s="83">
        <f t="shared" si="46"/>
        <v>3337.4839838749999</v>
      </c>
      <c r="P45" s="83">
        <f t="shared" si="46"/>
        <v>3337.4839838749999</v>
      </c>
      <c r="Q45" s="83">
        <f t="shared" si="46"/>
        <v>3337.4839838749999</v>
      </c>
      <c r="R45" s="83">
        <f t="shared" si="46"/>
        <v>3337.4839838749999</v>
      </c>
      <c r="S45" s="83">
        <f t="shared" si="46"/>
        <v>3337.4839838749999</v>
      </c>
      <c r="T45" s="83">
        <f t="shared" si="46"/>
        <v>3437.60850339125</v>
      </c>
      <c r="U45" s="83">
        <f t="shared" si="46"/>
        <v>3437.60850339125</v>
      </c>
      <c r="V45" s="83">
        <f t="shared" si="46"/>
        <v>3437.60850339125</v>
      </c>
      <c r="W45" s="83"/>
      <c r="X45" s="83"/>
      <c r="Y45" s="83"/>
      <c r="Z45" s="83">
        <f t="shared" si="30"/>
        <v>2975</v>
      </c>
      <c r="AA45" s="83"/>
      <c r="AB45" s="83">
        <f t="shared" si="31"/>
        <v>56</v>
      </c>
      <c r="AC45" s="83"/>
      <c r="AD45" s="83">
        <f t="shared" si="32"/>
        <v>306.90000000000003</v>
      </c>
      <c r="AE45" s="83"/>
      <c r="AF45" s="83">
        <f t="shared" si="33"/>
        <v>3337.9</v>
      </c>
      <c r="AG45" s="83"/>
      <c r="AH45" s="83">
        <f t="shared" si="34"/>
        <v>7481.8509443099274</v>
      </c>
      <c r="AI45" s="83"/>
      <c r="AJ45" s="84">
        <f t="shared" si="35"/>
        <v>1166.4992565</v>
      </c>
      <c r="AK45" s="83"/>
      <c r="AL45" s="83">
        <f t="shared" si="36"/>
        <v>1555.3323420000002</v>
      </c>
      <c r="AM45" s="83"/>
      <c r="AN45" s="83">
        <f t="shared" si="37"/>
        <v>453.52290556900732</v>
      </c>
      <c r="AO45" s="83"/>
      <c r="AP45" s="84">
        <f t="shared" si="38"/>
        <v>10657.205448378934</v>
      </c>
      <c r="AQ45" s="64"/>
      <c r="AR45" s="233">
        <f t="shared" si="28"/>
        <v>1</v>
      </c>
      <c r="AS45" s="64"/>
      <c r="AT45" s="64"/>
      <c r="AU45" s="64"/>
      <c r="AV45" s="64"/>
      <c r="AW45" s="64"/>
      <c r="AX45" s="83"/>
      <c r="AY45" s="83"/>
      <c r="AZ45" s="83"/>
      <c r="BA45" s="83"/>
      <c r="BB45" s="83"/>
      <c r="BC45" s="83"/>
      <c r="BD45" s="83"/>
      <c r="BE45" s="40"/>
      <c r="BF45" s="40"/>
      <c r="BG45" s="40"/>
      <c r="BH45" s="49"/>
    </row>
    <row r="46" spans="1:60" ht="15">
      <c r="A46" s="40"/>
      <c r="B46" s="82"/>
      <c r="C46" s="40"/>
      <c r="D46" s="82"/>
      <c r="E46" s="40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4"/>
      <c r="AG46" s="83"/>
      <c r="AH46" s="83"/>
      <c r="AI46" s="83"/>
      <c r="AJ46" s="83"/>
      <c r="AK46" s="83"/>
      <c r="AL46" s="83"/>
      <c r="AM46" s="83"/>
      <c r="AN46" s="83"/>
      <c r="AO46" s="83"/>
      <c r="AP46" s="84"/>
      <c r="AQ46" s="64"/>
      <c r="AR46" s="64"/>
      <c r="AS46" s="64"/>
      <c r="AT46" s="64"/>
      <c r="AU46" s="64"/>
      <c r="AV46" s="64"/>
      <c r="AW46" s="64"/>
      <c r="AX46" s="83"/>
      <c r="AY46" s="83"/>
      <c r="AZ46" s="83"/>
      <c r="BA46" s="83"/>
      <c r="BB46" s="83"/>
      <c r="BC46" s="83"/>
      <c r="BD46" s="83"/>
      <c r="BE46" s="40"/>
      <c r="BF46" s="40"/>
      <c r="BG46" s="40"/>
      <c r="BH46" s="49"/>
    </row>
    <row r="47" spans="1:60" ht="15">
      <c r="A47" s="40"/>
      <c r="B47" s="76" t="s">
        <v>262</v>
      </c>
      <c r="C47" s="40"/>
      <c r="D47" s="64"/>
      <c r="E47" s="40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3"/>
      <c r="Z47" s="83"/>
      <c r="AA47" s="83"/>
      <c r="AB47" s="83"/>
      <c r="AC47" s="83"/>
      <c r="AD47" s="83"/>
      <c r="AE47" s="83"/>
      <c r="AF47" s="84"/>
      <c r="AG47" s="83"/>
      <c r="AH47" s="83"/>
      <c r="AI47" s="83"/>
      <c r="AJ47" s="83"/>
      <c r="AK47" s="83"/>
      <c r="AL47" s="83"/>
      <c r="AM47" s="83"/>
      <c r="AN47" s="83"/>
      <c r="AO47" s="83"/>
      <c r="AP47" s="84"/>
      <c r="AQ47" s="64"/>
      <c r="AR47" s="64"/>
      <c r="AS47" s="64"/>
      <c r="AT47" s="64"/>
      <c r="AU47" s="64"/>
      <c r="AV47" s="64"/>
      <c r="AW47" s="64"/>
      <c r="AX47" s="83"/>
      <c r="AY47" s="83"/>
      <c r="AZ47" s="83"/>
      <c r="BA47" s="83"/>
      <c r="BB47" s="83"/>
      <c r="BC47" s="83"/>
      <c r="BD47" s="83"/>
      <c r="BE47" s="40"/>
      <c r="BF47" s="40"/>
      <c r="BG47" s="40"/>
      <c r="BH47" s="49"/>
    </row>
    <row r="48" spans="1:60" ht="15">
      <c r="A48" s="40"/>
      <c r="B48" s="82" t="str">
        <f>C24</f>
        <v>Supervisory 1</v>
      </c>
      <c r="C48" s="40"/>
      <c r="D48" s="82" t="s">
        <v>263</v>
      </c>
      <c r="E48" s="40"/>
      <c r="F48" s="83">
        <f>F24*AR24</f>
        <v>27058.260500668377</v>
      </c>
      <c r="G48" s="83"/>
      <c r="H48" s="83"/>
      <c r="I48" s="83"/>
      <c r="J48" s="83"/>
      <c r="K48" s="83">
        <f>K24*K$79</f>
        <v>2225.9869634844817</v>
      </c>
      <c r="L48" s="83">
        <f t="shared" ref="L48:V48" si="47">L24*L$79</f>
        <v>2224.9119600776521</v>
      </c>
      <c r="M48" s="83">
        <f t="shared" si="47"/>
        <v>2222.3163359634964</v>
      </c>
      <c r="N48" s="83">
        <f t="shared" si="47"/>
        <v>2217.7366890809108</v>
      </c>
      <c r="O48" s="83">
        <f t="shared" si="47"/>
        <v>2212.3724574081789</v>
      </c>
      <c r="P48" s="83">
        <f t="shared" si="47"/>
        <v>2210.7739813457283</v>
      </c>
      <c r="Q48" s="83">
        <f t="shared" si="47"/>
        <v>2209.9994354329151</v>
      </c>
      <c r="R48" s="83">
        <f t="shared" si="47"/>
        <v>2195.462312170439</v>
      </c>
      <c r="S48" s="83">
        <f t="shared" si="47"/>
        <v>2190.3871965099734</v>
      </c>
      <c r="T48" s="83">
        <f t="shared" si="47"/>
        <v>2256.4057882921547</v>
      </c>
      <c r="U48" s="83">
        <f t="shared" si="47"/>
        <v>2252.4888072850217</v>
      </c>
      <c r="V48" s="83">
        <f t="shared" si="47"/>
        <v>2254.8028935075517</v>
      </c>
      <c r="W48" s="83"/>
      <c r="X48" s="83"/>
      <c r="Y48" s="83"/>
      <c r="Z48" s="83">
        <f>$AR24*Z24</f>
        <v>1920.4507782089706</v>
      </c>
      <c r="AA48" s="83"/>
      <c r="AB48" s="83">
        <f>$AR24*AB24</f>
        <v>12.139659507811531</v>
      </c>
      <c r="AC48" s="83"/>
      <c r="AD48" s="83">
        <f>$AR24*AD24</f>
        <v>66.529669695488565</v>
      </c>
      <c r="AE48" s="83"/>
      <c r="AF48" s="83">
        <f>SUM(Z48:AD48)</f>
        <v>1999.1201074122707</v>
      </c>
      <c r="AG48" s="83"/>
      <c r="AH48" s="83">
        <f>$AR24*AH24</f>
        <v>1621.912909859298</v>
      </c>
      <c r="AI48" s="83"/>
      <c r="AJ48" s="83">
        <f>$AR24*AJ24</f>
        <v>811.74781502005123</v>
      </c>
      <c r="AK48" s="83"/>
      <c r="AL48" s="83">
        <f>$AR24*AL24</f>
        <v>1082.3304200267353</v>
      </c>
      <c r="AM48" s="83"/>
      <c r="AN48" s="83">
        <f>$AR24*AN24</f>
        <v>98.314529510734118</v>
      </c>
      <c r="AO48" s="83"/>
      <c r="AP48" s="84">
        <f>SUM(AH48:AN48)</f>
        <v>3614.3056744168189</v>
      </c>
      <c r="AQ48" s="64"/>
      <c r="AR48" s="232">
        <f>'WSKY Allocation Factors'!M36</f>
        <v>0.20433087057021709</v>
      </c>
      <c r="AS48" s="64"/>
      <c r="AT48" s="64"/>
      <c r="AU48" s="64"/>
      <c r="AV48" s="64"/>
      <c r="AW48" s="64"/>
      <c r="AX48" s="83"/>
      <c r="AY48" s="83"/>
      <c r="AZ48" s="83"/>
      <c r="BA48" s="83"/>
      <c r="BB48" s="83"/>
      <c r="BC48" s="83"/>
      <c r="BD48" s="83"/>
      <c r="BE48" s="40"/>
      <c r="BF48" s="40"/>
      <c r="BG48" s="40"/>
      <c r="BH48" s="49"/>
    </row>
    <row r="49" spans="1:60" ht="15">
      <c r="A49" s="40"/>
      <c r="B49" s="82" t="str">
        <f>C25</f>
        <v>Supervisory 2</v>
      </c>
      <c r="C49" s="40"/>
      <c r="D49" s="82" t="s">
        <v>264</v>
      </c>
      <c r="E49" s="40"/>
      <c r="F49" s="83">
        <f>F25*AR25</f>
        <v>12908.142308423143</v>
      </c>
      <c r="G49" s="83"/>
      <c r="H49" s="83"/>
      <c r="I49" s="83"/>
      <c r="J49" s="83"/>
      <c r="K49" s="83">
        <f>K25*K$78</f>
        <v>1078.8686937265311</v>
      </c>
      <c r="L49" s="83">
        <f t="shared" ref="L49:V49" si="48">L25*L$78</f>
        <v>1078.6977167925065</v>
      </c>
      <c r="M49" s="83">
        <f t="shared" si="48"/>
        <v>1077.2582773792212</v>
      </c>
      <c r="N49" s="83">
        <f t="shared" si="48"/>
        <v>1072.419489352857</v>
      </c>
      <c r="O49" s="83">
        <f t="shared" si="48"/>
        <v>1068.9792946397258</v>
      </c>
      <c r="P49" s="83">
        <f t="shared" si="48"/>
        <v>1068.1938560468923</v>
      </c>
      <c r="Q49" s="83">
        <f t="shared" si="48"/>
        <v>1068.0574475506621</v>
      </c>
      <c r="R49" s="83">
        <f t="shared" si="48"/>
        <v>1058.9697291525147</v>
      </c>
      <c r="S49" s="83">
        <f t="shared" si="48"/>
        <v>1056.0892264683428</v>
      </c>
      <c r="T49" s="83">
        <f t="shared" si="48"/>
        <v>1098.3583620633931</v>
      </c>
      <c r="U49" s="83">
        <f t="shared" si="48"/>
        <v>1096.234659841582</v>
      </c>
      <c r="V49" s="83">
        <f t="shared" si="48"/>
        <v>1099.6227508851566</v>
      </c>
      <c r="W49" s="83"/>
      <c r="X49" s="83"/>
      <c r="Y49" s="83"/>
      <c r="Z49" s="83">
        <f>$AR25*Z25</f>
        <v>679.04716206776186</v>
      </c>
      <c r="AA49" s="83"/>
      <c r="AB49" s="83">
        <f>$AR25*AB25</f>
        <v>3.9073819436698178</v>
      </c>
      <c r="AC49" s="83"/>
      <c r="AD49" s="83">
        <f>$AR25*AD25</f>
        <v>21.413848544861914</v>
      </c>
      <c r="AE49" s="83"/>
      <c r="AF49" s="83">
        <f>SUM(Z49:AD49)</f>
        <v>704.36839255629366</v>
      </c>
      <c r="AG49" s="83"/>
      <c r="AH49" s="83">
        <f>$AR25*AH25</f>
        <v>522.04373723259971</v>
      </c>
      <c r="AI49" s="83"/>
      <c r="AJ49" s="83">
        <f>$AR25*AJ25</f>
        <v>387.24426925269427</v>
      </c>
      <c r="AK49" s="83"/>
      <c r="AL49" s="83">
        <f>$AR25*AL25</f>
        <v>516.32569233692573</v>
      </c>
      <c r="AM49" s="83"/>
      <c r="AN49" s="83">
        <f>$AR25*AN25</f>
        <v>31.644414504660912</v>
      </c>
      <c r="AO49" s="83"/>
      <c r="AP49" s="84">
        <f>SUM(AH49:AN49)</f>
        <v>1457.2581133268807</v>
      </c>
      <c r="AQ49" s="64"/>
      <c r="AR49" s="232">
        <f>'WSKY Allocation Factors'!$M$35</f>
        <v>6.7233327662430536E-2</v>
      </c>
      <c r="AS49" s="64"/>
      <c r="AT49" s="64"/>
      <c r="AU49" s="64"/>
      <c r="AV49" s="64"/>
      <c r="AW49" s="64"/>
      <c r="AX49" s="83"/>
      <c r="AY49" s="83"/>
      <c r="AZ49" s="83"/>
      <c r="BA49" s="83"/>
      <c r="BB49" s="83"/>
      <c r="BC49" s="83"/>
      <c r="BD49" s="83"/>
      <c r="BE49" s="40"/>
      <c r="BF49" s="40"/>
      <c r="BG49" s="40"/>
      <c r="BH49" s="49"/>
    </row>
    <row r="50" spans="1:60" ht="15">
      <c r="A50" s="40"/>
      <c r="B50" s="82" t="str">
        <f>C26</f>
        <v>Supervisory 3</v>
      </c>
      <c r="C50" s="40"/>
      <c r="D50" s="82" t="s">
        <v>265</v>
      </c>
      <c r="E50" s="40"/>
      <c r="F50" s="83">
        <f>F26*AR26</f>
        <v>4878.1709875745846</v>
      </c>
      <c r="G50" s="83"/>
      <c r="H50" s="83"/>
      <c r="I50" s="83"/>
      <c r="J50" s="83"/>
      <c r="K50" s="83">
        <f t="shared" ref="K50:V52" si="49">K26*K$78</f>
        <v>407.71985893779402</v>
      </c>
      <c r="L50" s="83">
        <f t="shared" si="49"/>
        <v>407.65524431710156</v>
      </c>
      <c r="M50" s="83">
        <f t="shared" si="49"/>
        <v>407.1112596432049</v>
      </c>
      <c r="N50" s="83">
        <f t="shared" si="49"/>
        <v>405.2826126697492</v>
      </c>
      <c r="O50" s="83">
        <f t="shared" si="49"/>
        <v>403.98251404670776</v>
      </c>
      <c r="P50" s="83">
        <f t="shared" si="49"/>
        <v>403.68568560582651</v>
      </c>
      <c r="Q50" s="83">
        <f t="shared" si="49"/>
        <v>403.63413489055949</v>
      </c>
      <c r="R50" s="83">
        <f t="shared" si="49"/>
        <v>400.19975655990197</v>
      </c>
      <c r="S50" s="83">
        <f t="shared" si="49"/>
        <v>399.11117353317252</v>
      </c>
      <c r="T50" s="83">
        <f t="shared" si="49"/>
        <v>415.08528243303164</v>
      </c>
      <c r="U50" s="83">
        <f t="shared" si="49"/>
        <v>414.28270508943308</v>
      </c>
      <c r="V50" s="83">
        <f t="shared" si="49"/>
        <v>415.56311299299654</v>
      </c>
      <c r="W50" s="83"/>
      <c r="X50" s="83"/>
      <c r="Y50" s="83"/>
      <c r="Z50" s="83">
        <f>$AR26*Z26</f>
        <v>373.15497562046761</v>
      </c>
      <c r="AA50" s="83"/>
      <c r="AB50" s="83">
        <f>$AR26*AB26</f>
        <v>3.9073819436698178</v>
      </c>
      <c r="AC50" s="83"/>
      <c r="AD50" s="83">
        <f>$AR26*AD26</f>
        <v>21.413848544861914</v>
      </c>
      <c r="AE50" s="83"/>
      <c r="AF50" s="83">
        <f>SUM(Z50:AD50)</f>
        <v>398.47620610899935</v>
      </c>
      <c r="AG50" s="83"/>
      <c r="AH50" s="83">
        <f>$AR26*AH26</f>
        <v>522.04373723259971</v>
      </c>
      <c r="AI50" s="83"/>
      <c r="AJ50" s="83">
        <f>$AR26*AJ26</f>
        <v>146.34512962723753</v>
      </c>
      <c r="AK50" s="83"/>
      <c r="AL50" s="83">
        <f>$AR26*AL26</f>
        <v>195.12683950298342</v>
      </c>
      <c r="AM50" s="83"/>
      <c r="AN50" s="83">
        <f>$AR26*AN26</f>
        <v>31.644414504660912</v>
      </c>
      <c r="AO50" s="83"/>
      <c r="AP50" s="84">
        <f>SUM(AH50:AN50)</f>
        <v>895.16012086748151</v>
      </c>
      <c r="AQ50" s="64"/>
      <c r="AR50" s="232">
        <f>'WSKY Allocation Factors'!$M$35</f>
        <v>6.7233327662430536E-2</v>
      </c>
      <c r="AS50" s="64"/>
      <c r="AT50" s="64"/>
      <c r="AU50" s="64"/>
      <c r="AV50" s="64"/>
      <c r="AW50" s="64"/>
      <c r="AX50" s="83"/>
      <c r="AY50" s="83"/>
      <c r="AZ50" s="83"/>
      <c r="BA50" s="83"/>
      <c r="BB50" s="83"/>
      <c r="BC50" s="83"/>
      <c r="BD50" s="83"/>
      <c r="BE50" s="40"/>
      <c r="BF50" s="40"/>
      <c r="BG50" s="40"/>
      <c r="BH50" s="49"/>
    </row>
    <row r="51" spans="1:60" ht="15">
      <c r="A51" s="40"/>
      <c r="B51" s="82" t="str">
        <f>C27</f>
        <v>Supervisory 4</v>
      </c>
      <c r="C51" s="40"/>
      <c r="D51" s="82" t="s">
        <v>266</v>
      </c>
      <c r="E51" s="40"/>
      <c r="F51" s="83">
        <f>F27*AR27</f>
        <v>5052.1778694746117</v>
      </c>
      <c r="G51" s="83"/>
      <c r="H51" s="83"/>
      <c r="I51" s="83"/>
      <c r="J51" s="83"/>
      <c r="K51" s="83">
        <f t="shared" si="49"/>
        <v>422.26343716069647</v>
      </c>
      <c r="L51" s="83">
        <f t="shared" si="49"/>
        <v>422.19651770306808</v>
      </c>
      <c r="M51" s="83">
        <f t="shared" si="49"/>
        <v>421.63312881452885</v>
      </c>
      <c r="N51" s="83">
        <f t="shared" si="49"/>
        <v>419.73925305783501</v>
      </c>
      <c r="O51" s="83">
        <f t="shared" si="49"/>
        <v>418.39277924455649</v>
      </c>
      <c r="P51" s="83">
        <f t="shared" si="49"/>
        <v>418.0853627796825</v>
      </c>
      <c r="Q51" s="83">
        <f t="shared" si="49"/>
        <v>418.03197322374217</v>
      </c>
      <c r="R51" s="83">
        <f t="shared" si="49"/>
        <v>414.47508884192229</v>
      </c>
      <c r="S51" s="83">
        <f t="shared" si="49"/>
        <v>413.3476754956626</v>
      </c>
      <c r="T51" s="83">
        <f t="shared" si="49"/>
        <v>429.89158912107894</v>
      </c>
      <c r="U51" s="83">
        <f t="shared" si="49"/>
        <v>429.06038342857687</v>
      </c>
      <c r="V51" s="83">
        <f t="shared" si="49"/>
        <v>430.3864641442305</v>
      </c>
      <c r="W51" s="83"/>
      <c r="X51" s="83"/>
      <c r="Y51" s="83"/>
      <c r="Z51" s="83">
        <f>$AR27*Z27</f>
        <v>386.48193903548429</v>
      </c>
      <c r="AA51" s="83"/>
      <c r="AB51" s="83">
        <f>$AR27*AB27</f>
        <v>3.9073819436698178</v>
      </c>
      <c r="AC51" s="83"/>
      <c r="AD51" s="83">
        <f>$AR27*AD27</f>
        <v>21.413848544861914</v>
      </c>
      <c r="AE51" s="83"/>
      <c r="AF51" s="83">
        <f>SUM(Z51:AD51)</f>
        <v>411.80316952401603</v>
      </c>
      <c r="AG51" s="83"/>
      <c r="AH51" s="83">
        <f>$AR27*AH27</f>
        <v>522.04373723259971</v>
      </c>
      <c r="AI51" s="83"/>
      <c r="AJ51" s="83">
        <f>$AR27*AJ27</f>
        <v>151.56533608423837</v>
      </c>
      <c r="AK51" s="83"/>
      <c r="AL51" s="83">
        <f>$AR27*AL27</f>
        <v>202.08711477898447</v>
      </c>
      <c r="AM51" s="83"/>
      <c r="AN51" s="83">
        <f>$AR27*AN27</f>
        <v>31.644414504660912</v>
      </c>
      <c r="AO51" s="83"/>
      <c r="AP51" s="84">
        <f>SUM(AH51:AN51)</f>
        <v>907.34060260048329</v>
      </c>
      <c r="AQ51" s="64"/>
      <c r="AR51" s="232">
        <f>'WSKY Allocation Factors'!$M$35</f>
        <v>6.7233327662430536E-2</v>
      </c>
      <c r="AS51" s="64"/>
      <c r="AT51" s="64"/>
      <c r="AU51" s="64"/>
      <c r="AV51" s="64"/>
      <c r="AW51" s="64"/>
      <c r="AX51" s="83"/>
      <c r="AY51" s="83"/>
      <c r="AZ51" s="83"/>
      <c r="BA51" s="83"/>
      <c r="BB51" s="83"/>
      <c r="BC51" s="83"/>
      <c r="BD51" s="83"/>
      <c r="BE51" s="40"/>
      <c r="BF51" s="40"/>
      <c r="BG51" s="40"/>
      <c r="BH51" s="49"/>
    </row>
    <row r="52" spans="1:60" ht="15">
      <c r="A52" s="40"/>
      <c r="B52" s="82" t="str">
        <f>C28</f>
        <v>Supervisory 5</v>
      </c>
      <c r="C52" s="40"/>
      <c r="D52" s="82" t="s">
        <v>267</v>
      </c>
      <c r="E52" s="40"/>
      <c r="F52" s="96">
        <f>F28*AR28</f>
        <v>4246.7994671937986</v>
      </c>
      <c r="G52" s="96"/>
      <c r="H52" s="83"/>
      <c r="I52" s="83"/>
      <c r="J52" s="83"/>
      <c r="K52" s="83">
        <f t="shared" si="49"/>
        <v>354.94952598253514</v>
      </c>
      <c r="L52" s="83">
        <f t="shared" si="49"/>
        <v>354.89327429774823</v>
      </c>
      <c r="M52" s="83">
        <f t="shared" si="49"/>
        <v>354.41969642826592</v>
      </c>
      <c r="N52" s="83">
        <f t="shared" si="49"/>
        <v>352.8277274275199</v>
      </c>
      <c r="O52" s="83">
        <f t="shared" si="49"/>
        <v>351.69589786400212</v>
      </c>
      <c r="P52" s="83">
        <f t="shared" si="49"/>
        <v>351.43748731058088</v>
      </c>
      <c r="Q52" s="83">
        <f t="shared" si="49"/>
        <v>351.39260869712371</v>
      </c>
      <c r="R52" s="83">
        <f t="shared" si="49"/>
        <v>348.4027348075187</v>
      </c>
      <c r="S52" s="83">
        <f t="shared" si="49"/>
        <v>347.4550448168057</v>
      </c>
      <c r="T52" s="83">
        <f t="shared" si="49"/>
        <v>361.36165804082202</v>
      </c>
      <c r="U52" s="83">
        <f t="shared" si="49"/>
        <v>360.66295661279543</v>
      </c>
      <c r="V52" s="83">
        <f t="shared" si="49"/>
        <v>361.77764398568468</v>
      </c>
      <c r="W52" s="83"/>
      <c r="X52" s="96"/>
      <c r="Y52" s="96"/>
      <c r="Z52" s="96">
        <f>$AR28*Z28</f>
        <v>324.87089874511912</v>
      </c>
      <c r="AA52" s="96"/>
      <c r="AB52" s="96">
        <f>$AR28*AB28</f>
        <v>3.9073819436698178</v>
      </c>
      <c r="AC52" s="96"/>
      <c r="AD52" s="96">
        <f>$AR28*AD28</f>
        <v>21.413848544861914</v>
      </c>
      <c r="AE52" s="96"/>
      <c r="AF52" s="96">
        <f>SUM(Z52:AD52)</f>
        <v>350.19212923365086</v>
      </c>
      <c r="AG52" s="96"/>
      <c r="AH52" s="96">
        <f>$AR28*AH28</f>
        <v>522.04373723259971</v>
      </c>
      <c r="AI52" s="96"/>
      <c r="AJ52" s="96">
        <f>$AR28*AJ28</f>
        <v>127.40398401581396</v>
      </c>
      <c r="AK52" s="96"/>
      <c r="AL52" s="96">
        <f>$AR28*AL28</f>
        <v>169.87197868775195</v>
      </c>
      <c r="AM52" s="96"/>
      <c r="AN52" s="96">
        <f>$AR28*AN28</f>
        <v>31.644414504660912</v>
      </c>
      <c r="AO52" s="96"/>
      <c r="AP52" s="96">
        <f>SUM(AH52:AN52)</f>
        <v>850.96411444082651</v>
      </c>
      <c r="AQ52" s="64"/>
      <c r="AR52" s="232">
        <f>'WSKY Allocation Factors'!$M$35</f>
        <v>6.7233327662430536E-2</v>
      </c>
      <c r="AS52" s="64"/>
      <c r="AT52" s="64"/>
      <c r="AU52" s="64"/>
      <c r="AV52" s="64"/>
      <c r="AW52" s="64"/>
      <c r="AX52" s="83"/>
      <c r="AY52" s="83"/>
      <c r="AZ52" s="83"/>
      <c r="BA52" s="83"/>
      <c r="BB52" s="83"/>
      <c r="BC52" s="83"/>
      <c r="BD52" s="83"/>
      <c r="BE52" s="40"/>
      <c r="BF52" s="40"/>
      <c r="BG52" s="40"/>
      <c r="BH52" s="49"/>
    </row>
    <row r="53" spans="1:60" ht="15">
      <c r="A53" s="40"/>
      <c r="B53" s="42" t="s">
        <v>270</v>
      </c>
      <c r="C53" s="40"/>
      <c r="D53" s="40"/>
      <c r="E53" s="40"/>
      <c r="F53" s="83">
        <f>SUM(F35:F52)</f>
        <v>519099.07468333439</v>
      </c>
      <c r="G53" s="83"/>
      <c r="H53" s="83"/>
      <c r="I53" s="83"/>
      <c r="J53" s="83"/>
      <c r="K53" s="97">
        <f t="shared" ref="K53:V53" si="50">SUM(K35:K52)</f>
        <v>44398.470917333703</v>
      </c>
      <c r="L53" s="97">
        <f t="shared" si="50"/>
        <v>44397.037151229742</v>
      </c>
      <c r="M53" s="97">
        <f t="shared" si="50"/>
        <v>44391.421136270386</v>
      </c>
      <c r="N53" s="97">
        <f t="shared" si="50"/>
        <v>44376.688209630534</v>
      </c>
      <c r="O53" s="97">
        <f t="shared" si="50"/>
        <v>44364.105381244837</v>
      </c>
      <c r="P53" s="97">
        <f t="shared" si="50"/>
        <v>44360.858811130383</v>
      </c>
      <c r="Q53" s="97">
        <f t="shared" si="50"/>
        <v>44359.798037836677</v>
      </c>
      <c r="R53" s="97">
        <f t="shared" si="50"/>
        <v>44326.192059573958</v>
      </c>
      <c r="S53" s="97">
        <f t="shared" si="50"/>
        <v>44315.072754865629</v>
      </c>
      <c r="T53" s="97">
        <f t="shared" si="50"/>
        <v>45667.045591133392</v>
      </c>
      <c r="U53" s="97">
        <f t="shared" si="50"/>
        <v>45658.67242344033</v>
      </c>
      <c r="V53" s="97">
        <f t="shared" si="50"/>
        <v>45668.09577669853</v>
      </c>
      <c r="W53" s="83"/>
      <c r="X53" s="83"/>
      <c r="Y53" s="83"/>
      <c r="Z53" s="83">
        <f t="shared" ref="Z53:AP53" si="51">SUM(Z35:Z52)</f>
        <v>39254.005753677804</v>
      </c>
      <c r="AA53" s="83">
        <f t="shared" si="51"/>
        <v>0</v>
      </c>
      <c r="AB53" s="83">
        <f t="shared" si="51"/>
        <v>643.76918728249098</v>
      </c>
      <c r="AC53" s="83">
        <f t="shared" si="51"/>
        <v>0</v>
      </c>
      <c r="AD53" s="83">
        <f t="shared" si="51"/>
        <v>3528.0850638749371</v>
      </c>
      <c r="AE53" s="83"/>
      <c r="AF53" s="83">
        <f t="shared" si="51"/>
        <v>43425.860004835238</v>
      </c>
      <c r="AG53" s="83">
        <f t="shared" si="51"/>
        <v>0</v>
      </c>
      <c r="AH53" s="83">
        <f t="shared" si="51"/>
        <v>86010.448246198896</v>
      </c>
      <c r="AI53" s="83">
        <f t="shared" si="51"/>
        <v>0</v>
      </c>
      <c r="AJ53" s="83">
        <f t="shared" si="51"/>
        <v>15572.972240500036</v>
      </c>
      <c r="AK53" s="83">
        <f t="shared" si="51"/>
        <v>0</v>
      </c>
      <c r="AL53" s="83">
        <f t="shared" si="51"/>
        <v>20763.96298733338</v>
      </c>
      <c r="AM53" s="83">
        <f t="shared" si="51"/>
        <v>0</v>
      </c>
      <c r="AN53" s="83">
        <f t="shared" si="51"/>
        <v>5213.6441487884576</v>
      </c>
      <c r="AO53" s="83">
        <f t="shared" si="51"/>
        <v>0</v>
      </c>
      <c r="AP53" s="83">
        <f t="shared" si="51"/>
        <v>127561.02762282077</v>
      </c>
      <c r="AQ53" s="64"/>
      <c r="AR53" s="64"/>
      <c r="AS53" s="64"/>
      <c r="AT53" s="64"/>
      <c r="AU53" s="64"/>
      <c r="AV53" s="64"/>
      <c r="AW53" s="64"/>
      <c r="AX53" s="83"/>
      <c r="AY53" s="83"/>
      <c r="AZ53" s="83"/>
      <c r="BA53" s="83"/>
      <c r="BB53" s="83"/>
      <c r="BC53" s="83"/>
      <c r="BD53" s="83"/>
      <c r="BE53" s="40"/>
      <c r="BF53" s="40"/>
      <c r="BG53" s="40"/>
      <c r="BH53" s="49"/>
    </row>
    <row r="54" spans="1:60" ht="15">
      <c r="A54" s="40"/>
      <c r="B54" s="64"/>
      <c r="C54" s="64"/>
      <c r="D54" s="64"/>
      <c r="E54" s="40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64"/>
      <c r="AR54" s="64"/>
      <c r="AS54" s="64"/>
      <c r="AT54" s="64"/>
      <c r="AU54" s="64"/>
      <c r="AV54" s="64"/>
      <c r="AW54" s="64"/>
      <c r="AX54" s="83"/>
      <c r="AY54" s="83"/>
      <c r="AZ54" s="83"/>
      <c r="BA54" s="83"/>
      <c r="BB54" s="83"/>
      <c r="BC54" s="83"/>
      <c r="BD54" s="83"/>
      <c r="BE54" s="40"/>
      <c r="BF54" s="40"/>
      <c r="BG54" s="40"/>
      <c r="BH54" s="49"/>
    </row>
    <row r="55" spans="1:60" ht="15" hidden="1">
      <c r="A55" s="101"/>
      <c r="B55" s="101"/>
      <c r="C55" s="102"/>
      <c r="D55" s="102"/>
      <c r="E55" s="101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1"/>
      <c r="AR55" s="105"/>
      <c r="AS55" s="105"/>
      <c r="AT55" s="105"/>
      <c r="AU55" s="105"/>
      <c r="AV55" s="105"/>
      <c r="AW55" s="105"/>
      <c r="AX55" s="106"/>
      <c r="AY55" s="106"/>
      <c r="AZ55" s="106"/>
      <c r="BA55" s="104"/>
      <c r="BB55" s="104"/>
      <c r="BC55" s="104"/>
      <c r="BD55" s="104"/>
      <c r="BE55" s="101"/>
      <c r="BF55" s="101"/>
      <c r="BG55" s="101"/>
      <c r="BH55" s="101"/>
    </row>
    <row r="56" spans="1:60" ht="15" hidden="1">
      <c r="A56" s="40"/>
      <c r="B56" s="42"/>
      <c r="C56" s="107"/>
      <c r="D56" s="107"/>
      <c r="E56" s="64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4"/>
      <c r="Z56" s="83"/>
      <c r="AA56" s="84"/>
      <c r="AB56" s="83"/>
      <c r="AC56" s="84"/>
      <c r="AD56" s="83"/>
      <c r="AE56" s="84"/>
      <c r="AF56" s="83"/>
      <c r="AG56" s="84"/>
      <c r="AH56" s="83"/>
      <c r="AI56" s="84"/>
      <c r="AJ56" s="83"/>
      <c r="AK56" s="84"/>
      <c r="AL56" s="83"/>
      <c r="AM56" s="84"/>
      <c r="AN56" s="83"/>
      <c r="AO56" s="83"/>
      <c r="AP56" s="83"/>
      <c r="AQ56" s="40"/>
      <c r="AR56" s="64"/>
      <c r="AS56" s="64"/>
      <c r="AT56" s="64"/>
      <c r="AU56" s="64"/>
      <c r="AV56" s="64"/>
      <c r="AW56" s="64"/>
      <c r="AX56" s="83"/>
      <c r="AY56" s="83"/>
      <c r="AZ56" s="83"/>
      <c r="BA56" s="83"/>
      <c r="BB56" s="83"/>
      <c r="BC56" s="83"/>
      <c r="BD56" s="83"/>
      <c r="BE56" s="64"/>
      <c r="BF56" s="64"/>
      <c r="BG56" s="64"/>
      <c r="BH56" s="49"/>
    </row>
    <row r="57" spans="1:60" ht="15" hidden="1">
      <c r="A57" s="40"/>
      <c r="B57" s="42"/>
      <c r="C57" s="64"/>
      <c r="D57" s="64"/>
      <c r="E57" s="64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4"/>
      <c r="Z57" s="83"/>
      <c r="AA57" s="84"/>
      <c r="AB57" s="83"/>
      <c r="AC57" s="84"/>
      <c r="AD57" s="83"/>
      <c r="AE57" s="84"/>
      <c r="AF57" s="83"/>
      <c r="AG57" s="84"/>
      <c r="AH57" s="83"/>
      <c r="AI57" s="84"/>
      <c r="AJ57" s="83"/>
      <c r="AK57" s="84"/>
      <c r="AL57" s="83"/>
      <c r="AM57" s="84"/>
      <c r="AN57" s="83"/>
      <c r="AO57" s="83"/>
      <c r="AP57" s="83"/>
      <c r="AQ57" s="40"/>
      <c r="AR57" s="64"/>
      <c r="AS57" s="64"/>
      <c r="AT57" s="64"/>
      <c r="AU57" s="64"/>
      <c r="AV57" s="64"/>
      <c r="AW57" s="64"/>
      <c r="AX57" s="83"/>
      <c r="AY57" s="83"/>
      <c r="AZ57" s="83"/>
      <c r="BA57" s="83"/>
      <c r="BB57" s="83"/>
      <c r="BC57" s="83"/>
      <c r="BD57" s="83"/>
      <c r="BE57" s="64"/>
      <c r="BF57" s="64"/>
      <c r="BG57" s="64"/>
      <c r="BH57" s="49"/>
    </row>
    <row r="58" spans="1:60" ht="15" hidden="1">
      <c r="A58" s="40"/>
      <c r="B58" s="42"/>
      <c r="C58" s="64"/>
      <c r="D58" s="64"/>
      <c r="E58" s="64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4"/>
      <c r="Z58" s="83"/>
      <c r="AA58" s="84"/>
      <c r="AB58" s="83"/>
      <c r="AC58" s="84"/>
      <c r="AD58" s="83"/>
      <c r="AE58" s="84"/>
      <c r="AF58" s="83"/>
      <c r="AG58" s="84"/>
      <c r="AH58" s="83"/>
      <c r="AI58" s="84"/>
      <c r="AJ58" s="83"/>
      <c r="AK58" s="84"/>
      <c r="AL58" s="83"/>
      <c r="AM58" s="84"/>
      <c r="AN58" s="83"/>
      <c r="AO58" s="83"/>
      <c r="AP58" s="83"/>
      <c r="AQ58" s="40"/>
      <c r="AR58" s="64"/>
      <c r="AS58" s="64"/>
      <c r="AT58" s="64"/>
      <c r="AU58" s="64"/>
      <c r="AV58" s="64"/>
      <c r="AW58" s="64"/>
      <c r="AX58" s="83"/>
      <c r="AY58" s="83"/>
      <c r="AZ58" s="83"/>
      <c r="BA58" s="83"/>
      <c r="BB58" s="83"/>
      <c r="BC58" s="83"/>
      <c r="BD58" s="83"/>
      <c r="BE58" s="64"/>
      <c r="BF58" s="64"/>
      <c r="BG58" s="64"/>
      <c r="BH58" s="49"/>
    </row>
    <row r="59" spans="1:60" ht="15" hidden="1">
      <c r="A59" s="40"/>
      <c r="B59" s="42"/>
      <c r="C59" s="40"/>
      <c r="D59" s="40"/>
      <c r="E59" s="40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4"/>
      <c r="Z59" s="83"/>
      <c r="AA59" s="84"/>
      <c r="AB59" s="83"/>
      <c r="AC59" s="84"/>
      <c r="AD59" s="83"/>
      <c r="AE59" s="84"/>
      <c r="AF59" s="83"/>
      <c r="AG59" s="84"/>
      <c r="AH59" s="83"/>
      <c r="AI59" s="84"/>
      <c r="AJ59" s="83"/>
      <c r="AK59" s="84"/>
      <c r="AL59" s="83"/>
      <c r="AM59" s="84"/>
      <c r="AN59" s="83"/>
      <c r="AO59" s="83"/>
      <c r="AP59" s="83"/>
      <c r="AQ59" s="40"/>
      <c r="AR59" s="64"/>
      <c r="AS59" s="64"/>
      <c r="AT59" s="64"/>
      <c r="AU59" s="64"/>
      <c r="AV59" s="64"/>
      <c r="AW59" s="64"/>
      <c r="AX59" s="83"/>
      <c r="AY59" s="83"/>
      <c r="AZ59" s="83"/>
      <c r="BA59" s="83"/>
      <c r="BB59" s="83"/>
      <c r="BC59" s="83"/>
      <c r="BD59" s="83"/>
      <c r="BE59" s="64"/>
      <c r="BF59" s="64"/>
      <c r="BG59" s="64"/>
      <c r="BH59" s="49"/>
    </row>
    <row r="60" spans="1:60" ht="15" hidden="1">
      <c r="A60" s="40"/>
      <c r="B60" s="40"/>
      <c r="C60" s="40"/>
      <c r="D60" s="40"/>
      <c r="E60" s="40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4"/>
      <c r="AA60" s="84"/>
      <c r="AB60" s="84"/>
      <c r="AC60" s="84"/>
      <c r="AD60" s="83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40"/>
      <c r="AR60" s="108"/>
      <c r="AS60" s="64"/>
      <c r="AT60" s="64"/>
      <c r="AU60" s="64"/>
      <c r="AV60" s="64"/>
      <c r="AW60" s="64"/>
      <c r="AX60" s="83"/>
      <c r="AY60" s="83"/>
      <c r="AZ60" s="83"/>
      <c r="BA60" s="83"/>
      <c r="BB60" s="83"/>
      <c r="BC60" s="83"/>
      <c r="BD60" s="84"/>
      <c r="BE60" s="64"/>
      <c r="BF60" s="64"/>
      <c r="BG60" s="64"/>
      <c r="BH60" s="49"/>
    </row>
    <row r="61" spans="1:60" ht="15" hidden="1">
      <c r="A61" s="64"/>
      <c r="B61" s="64"/>
      <c r="C61" s="64"/>
      <c r="D61" s="64"/>
      <c r="E61" s="64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4"/>
      <c r="AA61" s="84"/>
      <c r="AB61" s="84"/>
      <c r="AC61" s="84"/>
      <c r="AD61" s="83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64"/>
      <c r="AR61" s="85"/>
      <c r="AS61" s="52"/>
      <c r="AT61" s="86"/>
      <c r="AU61" s="77"/>
      <c r="AV61" s="65"/>
      <c r="AW61" s="40"/>
      <c r="AX61" s="83"/>
      <c r="AY61" s="83"/>
      <c r="AZ61" s="83"/>
      <c r="BA61" s="84"/>
      <c r="BB61" s="83"/>
      <c r="BC61" s="84"/>
      <c r="BD61" s="84"/>
      <c r="BE61" s="64"/>
      <c r="BF61" s="64"/>
      <c r="BG61" s="64"/>
      <c r="BH61" s="68"/>
    </row>
    <row r="62" spans="1:60" ht="15" hidden="1">
      <c r="A62" s="64"/>
      <c r="B62" s="64"/>
      <c r="C62" s="64"/>
      <c r="D62" s="64"/>
      <c r="E62" s="64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4"/>
      <c r="AA62" s="84"/>
      <c r="AB62" s="84"/>
      <c r="AC62" s="84"/>
      <c r="AD62" s="83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64"/>
      <c r="AR62" s="85"/>
      <c r="AS62" s="52"/>
      <c r="AT62" s="86"/>
      <c r="AU62" s="77"/>
      <c r="AV62" s="65"/>
      <c r="AW62" s="40"/>
      <c r="AX62" s="83"/>
      <c r="AY62" s="83"/>
      <c r="AZ62" s="83"/>
      <c r="BA62" s="84"/>
      <c r="BB62" s="83"/>
      <c r="BC62" s="84"/>
      <c r="BD62" s="84"/>
      <c r="BE62" s="64"/>
      <c r="BF62" s="64"/>
      <c r="BG62" s="64"/>
      <c r="BH62" s="68"/>
    </row>
    <row r="63" spans="1:60" ht="15" hidden="1">
      <c r="A63" s="64"/>
      <c r="B63" s="64"/>
      <c r="C63" s="64"/>
      <c r="D63" s="64"/>
      <c r="E63" s="64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4"/>
      <c r="AA63" s="84"/>
      <c r="AB63" s="84"/>
      <c r="AC63" s="84"/>
      <c r="AD63" s="83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64"/>
      <c r="AR63" s="85"/>
      <c r="AS63" s="52"/>
      <c r="AT63" s="86"/>
      <c r="AU63" s="77"/>
      <c r="AV63" s="65"/>
      <c r="AW63" s="40"/>
      <c r="AX63" s="83"/>
      <c r="AY63" s="83"/>
      <c r="AZ63" s="83"/>
      <c r="BA63" s="83"/>
      <c r="BB63" s="83"/>
      <c r="BC63" s="83"/>
      <c r="BD63" s="83"/>
      <c r="BE63" s="64"/>
      <c r="BF63" s="64"/>
      <c r="BG63" s="64"/>
      <c r="BH63" s="68"/>
    </row>
    <row r="64" spans="1:60" ht="15" hidden="1">
      <c r="A64" s="64"/>
      <c r="B64" s="41"/>
      <c r="C64" s="64"/>
      <c r="D64" s="64"/>
      <c r="E64" s="64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4"/>
      <c r="AA64" s="84"/>
      <c r="AB64" s="84"/>
      <c r="AC64" s="84"/>
      <c r="AD64" s="83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64"/>
      <c r="AR64" s="85"/>
      <c r="AS64" s="52"/>
      <c r="AT64" s="86"/>
      <c r="AU64" s="77"/>
      <c r="AV64" s="65"/>
      <c r="AW64" s="40"/>
      <c r="AX64" s="83"/>
      <c r="AY64" s="83"/>
      <c r="AZ64" s="83"/>
      <c r="BA64" s="84"/>
      <c r="BB64" s="83"/>
      <c r="BC64" s="84"/>
      <c r="BD64" s="83"/>
      <c r="BE64" s="64"/>
      <c r="BF64" s="64"/>
      <c r="BG64" s="64"/>
      <c r="BH64" s="68"/>
    </row>
    <row r="65" spans="1:60" ht="15" hidden="1">
      <c r="A65" s="64"/>
      <c r="B65" s="41"/>
      <c r="C65" s="64"/>
      <c r="D65" s="64"/>
      <c r="E65" s="64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4"/>
      <c r="AA65" s="84"/>
      <c r="AB65" s="84"/>
      <c r="AC65" s="84"/>
      <c r="AD65" s="83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64"/>
      <c r="AR65" s="85"/>
      <c r="AS65" s="52"/>
      <c r="AT65" s="86"/>
      <c r="AU65" s="77"/>
      <c r="AV65" s="65"/>
      <c r="AW65" s="64"/>
      <c r="AX65" s="83"/>
      <c r="AY65" s="83"/>
      <c r="AZ65" s="83"/>
      <c r="BA65" s="83"/>
      <c r="BB65" s="83"/>
      <c r="BC65" s="83"/>
      <c r="BD65" s="83"/>
      <c r="BE65" s="64"/>
      <c r="BF65" s="64"/>
      <c r="BG65" s="64"/>
      <c r="BH65" s="68"/>
    </row>
    <row r="66" spans="1:60" ht="15" hidden="1">
      <c r="A66" s="64"/>
      <c r="B66" s="109"/>
      <c r="C66" s="64"/>
      <c r="D66" s="64"/>
      <c r="E66" s="64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4"/>
      <c r="AA66" s="84"/>
      <c r="AB66" s="84"/>
      <c r="AC66" s="84"/>
      <c r="AD66" s="83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64"/>
      <c r="AR66" s="85"/>
      <c r="AS66" s="52"/>
      <c r="AT66" s="86"/>
      <c r="AU66" s="77"/>
      <c r="AV66" s="65"/>
      <c r="AW66" s="64"/>
      <c r="AX66" s="83"/>
      <c r="AY66" s="83"/>
      <c r="AZ66" s="83"/>
      <c r="BA66" s="83"/>
      <c r="BB66" s="83"/>
      <c r="BC66" s="83"/>
      <c r="BD66" s="83"/>
      <c r="BE66" s="64"/>
      <c r="BF66" s="64"/>
      <c r="BG66" s="64"/>
      <c r="BH66" s="68"/>
    </row>
    <row r="67" spans="1:60" ht="15" hidden="1">
      <c r="A67" s="64"/>
      <c r="B67" s="109"/>
      <c r="C67" s="64"/>
      <c r="D67" s="64"/>
      <c r="E67" s="64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4"/>
      <c r="AA67" s="84"/>
      <c r="AB67" s="84"/>
      <c r="AC67" s="84"/>
      <c r="AD67" s="83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64"/>
      <c r="AR67" s="85"/>
      <c r="AS67" s="52"/>
      <c r="AT67" s="86"/>
      <c r="AU67" s="77"/>
      <c r="AV67" s="65"/>
      <c r="AW67" s="64"/>
      <c r="AX67" s="96"/>
      <c r="AY67" s="83"/>
      <c r="AZ67" s="83"/>
      <c r="BA67" s="83"/>
      <c r="BB67" s="96"/>
      <c r="BC67" s="83"/>
      <c r="BD67" s="96"/>
      <c r="BE67" s="64"/>
      <c r="BF67" s="64"/>
      <c r="BG67" s="64"/>
      <c r="BH67" s="68"/>
    </row>
    <row r="68" spans="1:60" ht="15" hidden="1">
      <c r="A68" s="40"/>
      <c r="B68" s="42"/>
      <c r="C68" s="40"/>
      <c r="D68" s="40"/>
      <c r="E68" s="4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40"/>
      <c r="AR68" s="64"/>
      <c r="AS68" s="64"/>
      <c r="AT68" s="64"/>
      <c r="AU68" s="64"/>
      <c r="AV68" s="64"/>
      <c r="AW68" s="64"/>
      <c r="AX68" s="83"/>
      <c r="AY68" s="83"/>
      <c r="AZ68" s="83"/>
      <c r="BA68" s="83"/>
      <c r="BB68" s="83"/>
      <c r="BC68" s="83"/>
      <c r="BD68" s="83"/>
      <c r="BE68" s="64"/>
      <c r="BF68" s="64"/>
      <c r="BG68" s="64"/>
      <c r="BH68" s="49"/>
    </row>
    <row r="69" spans="1:60" ht="15" hidden="1">
      <c r="A69" s="40"/>
      <c r="B69" s="42"/>
      <c r="C69" s="40"/>
      <c r="D69" s="40"/>
      <c r="E69" s="40"/>
      <c r="F69" s="110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4"/>
      <c r="Z69" s="110"/>
      <c r="AA69" s="84"/>
      <c r="AB69" s="110"/>
      <c r="AC69" s="84"/>
      <c r="AD69" s="110"/>
      <c r="AE69" s="84"/>
      <c r="AF69" s="110"/>
      <c r="AG69" s="84"/>
      <c r="AH69" s="110"/>
      <c r="AI69" s="84"/>
      <c r="AJ69" s="110"/>
      <c r="AK69" s="84"/>
      <c r="AL69" s="110"/>
      <c r="AM69" s="84"/>
      <c r="AN69" s="110"/>
      <c r="AO69" s="83"/>
      <c r="AP69" s="110"/>
      <c r="AQ69" s="40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49"/>
    </row>
    <row r="70" spans="1:60" ht="15" hidden="1">
      <c r="A70" s="40"/>
      <c r="B70" s="42"/>
      <c r="C70" s="40"/>
      <c r="D70" s="40"/>
      <c r="E70" s="4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40"/>
      <c r="AR70" s="52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49"/>
    </row>
    <row r="71" spans="1:60" ht="1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64"/>
      <c r="AA71" s="40"/>
      <c r="AB71" s="64"/>
      <c r="AC71" s="40"/>
      <c r="AD71" s="64"/>
      <c r="AE71" s="40"/>
      <c r="AF71" s="64"/>
      <c r="AG71" s="40"/>
      <c r="AH71" s="64"/>
      <c r="AI71" s="40"/>
      <c r="AJ71" s="64"/>
      <c r="AK71" s="40"/>
      <c r="AL71" s="64"/>
      <c r="AM71" s="40"/>
      <c r="AN71" s="64"/>
      <c r="AO71" s="40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49"/>
    </row>
    <row r="72" spans="1:60" ht="15">
      <c r="A72" s="111"/>
      <c r="B72" s="111"/>
      <c r="C72" s="102"/>
      <c r="D72" s="102"/>
      <c r="E72" s="111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1"/>
      <c r="Z72" s="105"/>
      <c r="AA72" s="111"/>
      <c r="AB72" s="105"/>
      <c r="AC72" s="111"/>
      <c r="AD72" s="105"/>
      <c r="AE72" s="111"/>
      <c r="AF72" s="111"/>
      <c r="AG72" s="111"/>
      <c r="AH72" s="105"/>
      <c r="AI72" s="111"/>
      <c r="AJ72" s="105"/>
      <c r="AK72" s="111"/>
      <c r="AL72" s="105"/>
      <c r="AM72" s="111"/>
      <c r="AN72" s="105"/>
      <c r="AO72" s="111"/>
      <c r="AP72" s="111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  <c r="BD72" s="105"/>
      <c r="BE72" s="105"/>
      <c r="BF72" s="105"/>
      <c r="BG72" s="105"/>
      <c r="BH72" s="113"/>
    </row>
    <row r="73" spans="1:60" ht="15">
      <c r="A73" s="40"/>
      <c r="B73" s="40"/>
      <c r="C73" s="114"/>
      <c r="D73" s="114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64"/>
      <c r="AA73" s="40"/>
      <c r="AB73" s="64"/>
      <c r="AC73" s="40"/>
      <c r="AD73" s="64"/>
      <c r="AE73" s="40"/>
      <c r="AF73" s="40"/>
      <c r="AG73" s="40"/>
      <c r="AH73" s="64"/>
      <c r="AI73" s="40"/>
      <c r="AJ73" s="64"/>
      <c r="AK73" s="40"/>
      <c r="AL73" s="64"/>
      <c r="AM73" s="40"/>
      <c r="AN73" s="64"/>
      <c r="AO73" s="40"/>
      <c r="AP73" s="40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49"/>
    </row>
    <row r="74" spans="1:60" ht="15">
      <c r="A74" s="40"/>
      <c r="B74" s="64"/>
      <c r="C74" s="83"/>
      <c r="D74" s="83"/>
      <c r="E74" s="83"/>
      <c r="F74" s="83"/>
      <c r="G74" s="83"/>
      <c r="H74" s="83"/>
      <c r="I74" s="83"/>
      <c r="J74" s="83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43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</row>
    <row r="75" spans="1:60" ht="15">
      <c r="A75" s="40"/>
      <c r="B75" s="64"/>
      <c r="C75" s="83"/>
      <c r="D75" s="83"/>
      <c r="E75" s="83"/>
      <c r="F75" s="83"/>
      <c r="G75" s="83"/>
      <c r="H75" s="83"/>
      <c r="I75" s="83"/>
      <c r="J75" s="83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116" t="s">
        <v>272</v>
      </c>
      <c r="AB75" s="64"/>
      <c r="AC75" s="64"/>
      <c r="AD75" s="64"/>
      <c r="AE75" s="116" t="s">
        <v>273</v>
      </c>
      <c r="AF75" s="64"/>
      <c r="AG75" s="64"/>
      <c r="AH75" s="64"/>
      <c r="AI75" s="116" t="s">
        <v>13</v>
      </c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</row>
    <row r="76" spans="1:60" ht="15">
      <c r="A76" s="40"/>
      <c r="B76" s="83"/>
      <c r="C76" s="83"/>
      <c r="D76" s="83"/>
      <c r="E76" s="83"/>
      <c r="F76" s="83"/>
      <c r="G76" s="83"/>
      <c r="H76" s="83"/>
      <c r="I76" s="83"/>
      <c r="J76" s="83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40"/>
      <c r="Z76" s="117">
        <f>AD76</f>
        <v>1</v>
      </c>
      <c r="AA76" s="118"/>
      <c r="AB76" s="117">
        <f>AF76</f>
        <v>0</v>
      </c>
      <c r="AC76" s="40"/>
      <c r="AD76" s="117">
        <f>AH76</f>
        <v>1</v>
      </c>
      <c r="AE76" s="118"/>
      <c r="AF76" s="117">
        <f>AJ76</f>
        <v>0</v>
      </c>
      <c r="AG76" s="40"/>
      <c r="AH76" s="117">
        <f>AL94</f>
        <v>1</v>
      </c>
      <c r="AI76" s="118"/>
      <c r="AJ76" s="117">
        <f>AL95</f>
        <v>0</v>
      </c>
      <c r="AK76" s="40"/>
      <c r="AL76" s="40"/>
      <c r="AM76" s="40"/>
      <c r="AN76" s="40"/>
      <c r="AO76" s="40"/>
      <c r="AP76" s="40"/>
      <c r="AQ76" s="40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49"/>
    </row>
    <row r="77" spans="1:60" ht="15">
      <c r="A77" s="40"/>
      <c r="B77" s="83"/>
      <c r="C77" s="83" t="s">
        <v>358</v>
      </c>
      <c r="D77" s="83"/>
      <c r="E77" s="83"/>
      <c r="F77" s="83"/>
      <c r="G77" s="83"/>
      <c r="H77" s="83"/>
      <c r="I77" s="83"/>
      <c r="J77" s="83" t="s">
        <v>359</v>
      </c>
      <c r="K77" s="240">
        <f>'WSKY Allocation Factors'!B31</f>
        <v>1</v>
      </c>
      <c r="L77" s="240">
        <f>'WSKY Allocation Factors'!C31</f>
        <v>1</v>
      </c>
      <c r="M77" s="240">
        <f>'WSKY Allocation Factors'!D31</f>
        <v>1</v>
      </c>
      <c r="N77" s="240">
        <f>'WSKY Allocation Factors'!E31</f>
        <v>1</v>
      </c>
      <c r="O77" s="240">
        <f>'WSKY Allocation Factors'!F31</f>
        <v>1</v>
      </c>
      <c r="P77" s="240">
        <f>'WSKY Allocation Factors'!G31</f>
        <v>1</v>
      </c>
      <c r="Q77" s="240">
        <f>'WSKY Allocation Factors'!H31</f>
        <v>1</v>
      </c>
      <c r="R77" s="240">
        <f>'WSKY Allocation Factors'!I31</f>
        <v>1</v>
      </c>
      <c r="S77" s="240">
        <f>'WSKY Allocation Factors'!J31</f>
        <v>1</v>
      </c>
      <c r="T77" s="240">
        <f>'WSKY Allocation Factors'!K31</f>
        <v>1</v>
      </c>
      <c r="U77" s="240">
        <f>'WSKY Allocation Factors'!L31</f>
        <v>1</v>
      </c>
      <c r="V77" s="240">
        <f>'WSKY Allocation Factors'!M31</f>
        <v>1</v>
      </c>
      <c r="W77" s="84"/>
      <c r="X77" s="84"/>
      <c r="Y77" s="84"/>
      <c r="Z77" s="84"/>
      <c r="AA77" s="84"/>
      <c r="AB77" s="84"/>
      <c r="AC77" s="84"/>
      <c r="AD77" s="84">
        <f>AF53*AD76</f>
        <v>43425.860004835238</v>
      </c>
      <c r="AE77" s="84"/>
      <c r="AF77" s="84">
        <f>AF53-AD77</f>
        <v>0</v>
      </c>
      <c r="AG77" s="84"/>
      <c r="AH77" s="84">
        <f>AP53*AH76</f>
        <v>127561.02762282077</v>
      </c>
      <c r="AI77" s="84"/>
      <c r="AJ77" s="84">
        <f>AP53-AH77</f>
        <v>0</v>
      </c>
      <c r="AK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9"/>
    </row>
    <row r="78" spans="1:60" ht="15">
      <c r="A78" s="40"/>
      <c r="B78" s="83"/>
      <c r="C78" s="83"/>
      <c r="D78" s="83"/>
      <c r="E78" s="83"/>
      <c r="F78" s="83"/>
      <c r="G78" s="83"/>
      <c r="H78" s="83"/>
      <c r="I78" s="83"/>
      <c r="J78" s="83" t="s">
        <v>353</v>
      </c>
      <c r="K78" s="240">
        <f>'WSKY Allocation Factors'!B35</f>
        <v>6.7943310832388151E-2</v>
      </c>
      <c r="L78" s="240">
        <f>'WSKY Allocation Factors'!C35</f>
        <v>6.793254331355926E-2</v>
      </c>
      <c r="M78" s="240">
        <f>'WSKY Allocation Factors'!D35</f>
        <v>6.7841892542015031E-2</v>
      </c>
      <c r="N78" s="240">
        <f>'WSKY Allocation Factors'!E35</f>
        <v>6.7537162892485833E-2</v>
      </c>
      <c r="O78" s="240">
        <f>'WSKY Allocation Factors'!F35</f>
        <v>6.7320511672483471E-2</v>
      </c>
      <c r="P78" s="240">
        <f>'WSKY Allocation Factors'!G35</f>
        <v>6.7271047545140669E-2</v>
      </c>
      <c r="Q78" s="240">
        <f>'WSKY Allocation Factors'!H35</f>
        <v>6.7262457023501268E-2</v>
      </c>
      <c r="R78" s="240">
        <f>'WSKY Allocation Factors'!I35</f>
        <v>6.6690144860331702E-2</v>
      </c>
      <c r="S78" s="240">
        <f>'WSKY Allocation Factors'!J35</f>
        <v>6.650874105247051E-2</v>
      </c>
      <c r="T78" s="240">
        <f>'WSKY Allocation Factors'!K35</f>
        <v>6.7156020178679485E-2</v>
      </c>
      <c r="U78" s="240">
        <f>'WSKY Allocation Factors'!L35</f>
        <v>6.7026172403866241E-2</v>
      </c>
      <c r="V78" s="240">
        <f>'WSKY Allocation Factors'!M35</f>
        <v>6.7233327662430536E-2</v>
      </c>
      <c r="W78" s="84"/>
      <c r="X78" s="84"/>
      <c r="Y78" s="84"/>
      <c r="Z78" s="84">
        <v>37232.964989750952</v>
      </c>
      <c r="AA78" s="84"/>
      <c r="AB78" s="84">
        <v>0</v>
      </c>
      <c r="AC78" s="84"/>
      <c r="AD78" s="84">
        <v>3584.8079545211212</v>
      </c>
      <c r="AE78" s="84"/>
      <c r="AF78" s="84">
        <v>0</v>
      </c>
      <c r="AG78" s="84"/>
      <c r="AH78" s="84">
        <v>11415.675611102988</v>
      </c>
      <c r="AI78" s="84"/>
      <c r="AJ78" s="84">
        <v>0</v>
      </c>
      <c r="AK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9"/>
    </row>
    <row r="79" spans="1:60" ht="15">
      <c r="A79" s="40"/>
      <c r="B79" s="83"/>
      <c r="C79" s="83"/>
      <c r="D79" s="83"/>
      <c r="E79" s="83"/>
      <c r="F79" s="83"/>
      <c r="G79" s="83"/>
      <c r="H79" s="83"/>
      <c r="I79" s="83"/>
      <c r="J79" s="83" t="s">
        <v>354</v>
      </c>
      <c r="K79" s="232">
        <f>'WSKY Allocation Factors'!B36</f>
        <v>0.20777114979738753</v>
      </c>
      <c r="L79" s="232">
        <f>'WSKY Allocation Factors'!C36</f>
        <v>0.20767081017386907</v>
      </c>
      <c r="M79" s="232">
        <f>'WSKY Allocation Factors'!D36</f>
        <v>0.20742853750314516</v>
      </c>
      <c r="N79" s="232">
        <f>'WSKY Allocation Factors'!E36</f>
        <v>0.20700107835173515</v>
      </c>
      <c r="O79" s="232">
        <f>'WSKY Allocation Factors'!F36</f>
        <v>0.20650038692779329</v>
      </c>
      <c r="P79" s="232">
        <f>'WSKY Allocation Factors'!G36</f>
        <v>0.20635118694824844</v>
      </c>
      <c r="Q79" s="232">
        <f>'WSKY Allocation Factors'!H36</f>
        <v>0.2062788916933723</v>
      </c>
      <c r="R79" s="232">
        <f>'WSKY Allocation Factors'!I36</f>
        <v>0.20492201276077382</v>
      </c>
      <c r="S79" s="232">
        <f>'WSKY Allocation Factors'!J36</f>
        <v>0.20444830710416967</v>
      </c>
      <c r="T79" s="232">
        <f>'WSKY Allocation Factors'!K36</f>
        <v>0.20447612534513043</v>
      </c>
      <c r="U79" s="232">
        <f>'WSKY Allocation Factors'!L36</f>
        <v>0.20412116742774483</v>
      </c>
      <c r="V79" s="232">
        <f>'WSKY Allocation Factors'!M36</f>
        <v>0.20433087057021709</v>
      </c>
      <c r="W79" s="83"/>
      <c r="X79" s="83"/>
      <c r="Y79" s="84"/>
      <c r="Z79" s="84">
        <v>134651.65564523535</v>
      </c>
      <c r="AA79" s="84"/>
      <c r="AB79" s="84">
        <v>0</v>
      </c>
      <c r="AC79" s="84"/>
      <c r="AD79" s="84">
        <v>10740.413997248193</v>
      </c>
      <c r="AE79" s="84"/>
      <c r="AF79" s="84">
        <v>0</v>
      </c>
      <c r="AG79" s="84"/>
      <c r="AH79" s="84">
        <v>21738.893674997009</v>
      </c>
      <c r="AI79" s="84"/>
      <c r="AJ79" s="84">
        <v>0</v>
      </c>
      <c r="AK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9"/>
    </row>
    <row r="80" spans="1:60" ht="15">
      <c r="A80" s="40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4"/>
      <c r="Z80" s="97">
        <f>SUM(Z77:Z79)</f>
        <v>171884.62063498632</v>
      </c>
      <c r="AA80" s="83"/>
      <c r="AB80" s="97">
        <f>SUM(AB77:AB79)</f>
        <v>0</v>
      </c>
      <c r="AC80" s="84"/>
      <c r="AD80" s="97">
        <f>SUM(AD77:AD79)</f>
        <v>57751.081956604554</v>
      </c>
      <c r="AE80" s="84"/>
      <c r="AF80" s="97">
        <f>SUM(AF77:AF79)</f>
        <v>0</v>
      </c>
      <c r="AG80" s="84"/>
      <c r="AH80" s="97">
        <f>SUM(AH77:AH79)</f>
        <v>160715.59690892076</v>
      </c>
      <c r="AI80" s="84"/>
      <c r="AJ80" s="97">
        <f>SUM(AJ77:AJ79)</f>
        <v>0</v>
      </c>
      <c r="AK80" s="84"/>
      <c r="AL80" s="97">
        <f>SUM(E80:AJ80)</f>
        <v>390351.29950051161</v>
      </c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9"/>
    </row>
    <row r="81" spans="1:60" ht="15">
      <c r="A81" s="40"/>
      <c r="B81" s="83"/>
      <c r="C81" s="83"/>
      <c r="D81" s="83"/>
      <c r="E81" s="83"/>
      <c r="F81" s="83"/>
      <c r="G81" s="83"/>
      <c r="H81" s="83"/>
      <c r="I81" s="83"/>
      <c r="J81" s="83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3"/>
      <c r="AA81" s="83"/>
      <c r="AB81" s="83"/>
      <c r="AC81" s="84"/>
      <c r="AD81" s="83"/>
      <c r="AE81" s="84"/>
      <c r="AF81" s="83"/>
      <c r="AG81" s="84"/>
      <c r="AH81" s="83"/>
      <c r="AI81" s="84"/>
      <c r="AJ81" s="83"/>
      <c r="AK81" s="84"/>
      <c r="AL81" s="83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9"/>
    </row>
    <row r="82" spans="1:60" ht="15">
      <c r="A82" s="40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4"/>
      <c r="Z82" s="84">
        <v>227555.39</v>
      </c>
      <c r="AA82" s="84"/>
      <c r="AB82" s="84">
        <v>0</v>
      </c>
      <c r="AC82" s="84"/>
      <c r="AD82" s="84">
        <v>49453.909999999989</v>
      </c>
      <c r="AE82" s="84"/>
      <c r="AF82" s="84">
        <v>0</v>
      </c>
      <c r="AG82" s="84"/>
      <c r="AH82" s="84">
        <v>122141.03999999998</v>
      </c>
      <c r="AI82" s="84"/>
      <c r="AJ82" s="84">
        <v>0</v>
      </c>
      <c r="AK82" s="84"/>
      <c r="AL82" s="84">
        <f>SUM(E82:AJ82)</f>
        <v>399150.33999999997</v>
      </c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9"/>
    </row>
    <row r="83" spans="1:60" ht="15">
      <c r="A83" s="40"/>
      <c r="B83" s="83"/>
      <c r="C83" s="83"/>
      <c r="D83" s="83"/>
      <c r="E83" s="83"/>
      <c r="F83" s="83"/>
      <c r="G83" s="83"/>
      <c r="H83" s="83"/>
      <c r="I83" s="83"/>
      <c r="J83" s="83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97"/>
      <c r="AA83" s="83"/>
      <c r="AB83" s="97"/>
      <c r="AC83" s="84"/>
      <c r="AD83" s="97"/>
      <c r="AE83" s="84"/>
      <c r="AF83" s="97"/>
      <c r="AG83" s="84"/>
      <c r="AH83" s="97"/>
      <c r="AI83" s="84"/>
      <c r="AJ83" s="97"/>
      <c r="AK83" s="84"/>
      <c r="AL83" s="97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9"/>
    </row>
    <row r="84" spans="1:60" ht="15.75" thickBot="1">
      <c r="A84" s="42"/>
      <c r="B84" s="83"/>
      <c r="C84" s="83"/>
      <c r="D84" s="83"/>
      <c r="E84" s="83"/>
      <c r="F84" s="83"/>
      <c r="G84" s="83"/>
      <c r="H84" s="83"/>
      <c r="I84" s="83"/>
      <c r="J84" s="83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0"/>
      <c r="Z84" s="119">
        <f>Z80-Z82</f>
        <v>-55670.769365013693</v>
      </c>
      <c r="AA84" s="121"/>
      <c r="AB84" s="119">
        <f>AB80-AB82</f>
        <v>0</v>
      </c>
      <c r="AC84" s="120"/>
      <c r="AD84" s="119">
        <f>AD80-AD82</f>
        <v>8297.1719566045649</v>
      </c>
      <c r="AE84" s="120"/>
      <c r="AF84" s="119">
        <f>AF80-AF82</f>
        <v>0</v>
      </c>
      <c r="AG84" s="120"/>
      <c r="AH84" s="119">
        <f>AH80-AH82</f>
        <v>38574.556908920786</v>
      </c>
      <c r="AI84" s="120"/>
      <c r="AJ84" s="119">
        <f>AJ80-AJ82</f>
        <v>0</v>
      </c>
      <c r="AK84" s="120"/>
      <c r="AL84" s="119">
        <f>SUM(E84:AJ84)</f>
        <v>-8799.0404994883429</v>
      </c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122"/>
    </row>
    <row r="85" spans="1:60" ht="15.75" thickTop="1">
      <c r="A85" s="40"/>
      <c r="B85" s="83"/>
      <c r="C85" s="83"/>
      <c r="D85" s="83"/>
      <c r="E85" s="83"/>
      <c r="F85" s="83"/>
      <c r="G85" s="83"/>
      <c r="H85" s="83"/>
      <c r="I85" s="83"/>
      <c r="J85" s="83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40"/>
      <c r="Z85" s="65" t="s">
        <v>279</v>
      </c>
      <c r="AA85" s="65"/>
      <c r="AB85" s="65" t="s">
        <v>280</v>
      </c>
      <c r="AC85" s="40"/>
      <c r="AD85" s="65" t="s">
        <v>279</v>
      </c>
      <c r="AE85" s="65"/>
      <c r="AF85" s="65" t="s">
        <v>280</v>
      </c>
      <c r="AG85" s="64"/>
      <c r="AH85" s="65" t="s">
        <v>279</v>
      </c>
      <c r="AI85" s="65"/>
      <c r="AJ85" s="65" t="s">
        <v>280</v>
      </c>
      <c r="AK85" s="40"/>
      <c r="AL85" s="40"/>
      <c r="AM85" s="40"/>
      <c r="AN85" s="40"/>
      <c r="AO85" s="64"/>
      <c r="AP85" s="64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9"/>
    </row>
    <row r="86" spans="1:60" ht="15">
      <c r="A86" s="40"/>
      <c r="B86" s="83"/>
      <c r="C86" s="83"/>
      <c r="D86" s="83"/>
      <c r="E86" s="83"/>
      <c r="F86" s="83"/>
      <c r="G86" s="83"/>
      <c r="H86" s="83"/>
      <c r="I86" s="83"/>
      <c r="J86" s="83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64"/>
      <c r="AA86" s="64"/>
      <c r="AB86" s="64"/>
      <c r="AC86" s="40"/>
      <c r="AD86" s="64"/>
      <c r="AE86" s="40"/>
      <c r="AF86" s="64"/>
      <c r="AG86" s="40"/>
      <c r="AH86" s="64"/>
      <c r="AI86" s="42"/>
      <c r="AJ86" s="64"/>
      <c r="AK86" s="40"/>
      <c r="AL86" s="64"/>
      <c r="AM86" s="40"/>
      <c r="AN86" s="40"/>
      <c r="AO86" s="40"/>
      <c r="AP86" s="40"/>
      <c r="AQ86" s="40"/>
      <c r="AR86" s="64"/>
      <c r="AS86" s="64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9"/>
    </row>
    <row r="87" spans="1:60" ht="15">
      <c r="A87" s="40"/>
      <c r="B87" s="83"/>
      <c r="C87" s="83"/>
      <c r="D87" s="83"/>
      <c r="E87" s="83"/>
      <c r="F87" s="83"/>
      <c r="G87" s="83"/>
      <c r="H87" s="83"/>
      <c r="I87" s="83"/>
      <c r="J87" s="83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64"/>
      <c r="AA87" s="64"/>
      <c r="AB87" s="64"/>
      <c r="AC87" s="40"/>
      <c r="AD87" s="124"/>
      <c r="AE87" s="40"/>
      <c r="AF87" s="64"/>
      <c r="AG87" s="40"/>
      <c r="AH87" s="64"/>
      <c r="AI87" s="40"/>
      <c r="AJ87" s="64"/>
      <c r="AK87" s="40"/>
      <c r="AL87" s="64"/>
      <c r="AM87" s="40"/>
      <c r="AN87" s="40"/>
      <c r="AO87" s="40"/>
      <c r="AP87" s="64"/>
      <c r="AQ87" s="40"/>
      <c r="AR87" s="64"/>
      <c r="AS87" s="64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9"/>
    </row>
    <row r="88" spans="1:60" ht="15">
      <c r="A88" s="40"/>
      <c r="B88" s="40"/>
      <c r="C88" s="83"/>
      <c r="D88" s="83"/>
      <c r="E88" s="83"/>
      <c r="F88" s="83"/>
      <c r="G88" s="83"/>
      <c r="H88" s="83"/>
      <c r="I88" s="83"/>
      <c r="J88" s="83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64"/>
      <c r="AA88" s="64"/>
      <c r="AB88" s="124"/>
      <c r="AC88" s="40"/>
      <c r="AD88" s="64"/>
      <c r="AE88" s="40"/>
      <c r="AF88" s="64"/>
      <c r="AG88" s="40"/>
      <c r="AH88" s="64"/>
      <c r="AI88" s="40"/>
      <c r="AJ88" s="64"/>
      <c r="AK88" s="40"/>
      <c r="AL88" s="64"/>
      <c r="AM88" s="40"/>
      <c r="AN88" s="40"/>
      <c r="AO88" s="40"/>
      <c r="AP88" s="64"/>
      <c r="AQ88" s="40"/>
      <c r="AR88" s="64"/>
      <c r="AS88" s="64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9"/>
    </row>
    <row r="89" spans="1:60" ht="15">
      <c r="A89" s="40"/>
      <c r="B89" s="40"/>
      <c r="C89" s="83"/>
      <c r="D89" s="83"/>
      <c r="E89" s="83"/>
      <c r="F89" s="83"/>
      <c r="G89" s="83"/>
      <c r="H89" s="83"/>
      <c r="I89" s="83"/>
      <c r="J89" s="83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64"/>
      <c r="AA89" s="64"/>
      <c r="AB89" s="64"/>
      <c r="AC89" s="40"/>
      <c r="AD89" s="64"/>
      <c r="AE89" s="40"/>
      <c r="AF89" s="64"/>
      <c r="AG89" s="40"/>
      <c r="AH89" s="64"/>
      <c r="AI89" s="40"/>
      <c r="AJ89" s="64"/>
      <c r="AK89" s="40"/>
      <c r="AL89" s="64"/>
      <c r="AM89" s="40"/>
      <c r="AN89" s="40"/>
      <c r="AO89" s="40"/>
      <c r="AP89" s="64"/>
      <c r="AQ89" s="40"/>
      <c r="AR89" s="64"/>
      <c r="AS89" s="64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9"/>
    </row>
    <row r="90" spans="1:60" ht="15">
      <c r="A90" s="40"/>
      <c r="B90" s="40"/>
      <c r="C90" s="40"/>
      <c r="D90" s="40"/>
      <c r="E90" s="41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64"/>
      <c r="AA90" s="64"/>
      <c r="AB90" s="64"/>
      <c r="AC90" s="40"/>
      <c r="AD90" s="124"/>
      <c r="AE90" s="40"/>
      <c r="AF90" s="64"/>
      <c r="AG90" s="40"/>
      <c r="AH90" s="64"/>
      <c r="AI90" s="40"/>
      <c r="AJ90" s="64"/>
      <c r="AK90" s="40"/>
      <c r="AL90" s="64"/>
      <c r="AM90" s="40"/>
      <c r="AN90" s="40"/>
      <c r="AO90" s="40"/>
      <c r="AP90" s="64"/>
      <c r="AQ90" s="40"/>
      <c r="AR90" s="64"/>
      <c r="AS90" s="64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9"/>
    </row>
    <row r="91" spans="1:60" ht="15">
      <c r="A91" s="40"/>
      <c r="B91" s="40"/>
      <c r="C91" s="40"/>
      <c r="D91" s="40"/>
      <c r="E91" s="41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64"/>
      <c r="AA91" s="64"/>
      <c r="AB91" s="64"/>
      <c r="AC91" s="40"/>
      <c r="AD91" s="64"/>
      <c r="AE91" s="40"/>
      <c r="AF91" s="64"/>
      <c r="AG91" s="40"/>
      <c r="AH91" s="64"/>
      <c r="AI91" s="40"/>
      <c r="AJ91" s="64"/>
      <c r="AK91" s="40"/>
      <c r="AL91" s="64"/>
      <c r="AM91" s="40"/>
      <c r="AN91" s="40"/>
      <c r="AO91" s="40"/>
      <c r="AP91" s="64"/>
      <c r="AQ91" s="40"/>
      <c r="AR91" s="64"/>
      <c r="AS91" s="64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9"/>
    </row>
    <row r="94" spans="1:60" ht="15">
      <c r="AH94" s="125" t="s">
        <v>281</v>
      </c>
      <c r="AI94" s="126" t="s">
        <v>279</v>
      </c>
      <c r="AJ94" s="127">
        <v>7385.1</v>
      </c>
      <c r="AK94" s="127"/>
      <c r="AL94" s="128">
        <f>AJ94/AJ98</f>
        <v>1</v>
      </c>
    </row>
    <row r="95" spans="1:60" ht="15">
      <c r="AH95" s="129"/>
      <c r="AI95" s="76" t="s">
        <v>280</v>
      </c>
      <c r="AJ95" s="130">
        <v>0</v>
      </c>
      <c r="AK95" s="64"/>
      <c r="AL95" s="131">
        <f>1-AL94</f>
        <v>0</v>
      </c>
    </row>
    <row r="96" spans="1:60" ht="15">
      <c r="AH96" s="129"/>
      <c r="AI96" s="76"/>
      <c r="AJ96" s="64"/>
      <c r="AK96" s="64"/>
      <c r="AL96" s="131"/>
    </row>
    <row r="97" spans="34:38" ht="15">
      <c r="AH97" s="129"/>
      <c r="AI97" s="76"/>
      <c r="AJ97" s="64"/>
      <c r="AK97" s="64"/>
      <c r="AL97" s="131"/>
    </row>
    <row r="98" spans="34:38" ht="15">
      <c r="AH98" s="132"/>
      <c r="AI98" s="133"/>
      <c r="AJ98" s="133">
        <f>AJ95+AJ94</f>
        <v>7385.1</v>
      </c>
      <c r="AK98" s="133"/>
      <c r="AL98" s="134"/>
    </row>
  </sheetData>
  <pageMargins left="0.7" right="0.7" top="0.75" bottom="0.75" header="0.3" footer="0.3"/>
  <pageSetup scale="41" orientation="landscape" r:id="rId1"/>
  <rowBreaks count="1" manualBreakCount="1">
    <brk id="73" max="2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2"/>
  <sheetViews>
    <sheetView view="pageBreakPreview" zoomScale="70" zoomScaleNormal="100" zoomScaleSheetLayoutView="70" workbookViewId="0">
      <pane xSplit="5" ySplit="9" topLeftCell="F31" activePane="bottomRight" state="frozen"/>
      <selection activeCell="B71" sqref="B71:C71"/>
      <selection pane="topRight" activeCell="B71" sqref="B71:C71"/>
      <selection pane="bottomLeft" activeCell="B71" sqref="B71:C71"/>
      <selection pane="bottomRight" activeCell="C73" sqref="C73"/>
    </sheetView>
  </sheetViews>
  <sheetFormatPr defaultRowHeight="12.75"/>
  <cols>
    <col min="1" max="1" width="5" style="148" customWidth="1"/>
    <col min="2" max="2" width="46.5703125" style="148" bestFit="1" customWidth="1"/>
    <col min="3" max="3" width="46.5703125" style="148" customWidth="1"/>
    <col min="4" max="4" width="4.140625" style="148" customWidth="1"/>
    <col min="5" max="5" width="5.28515625" style="148" bestFit="1" customWidth="1"/>
    <col min="6" max="6" width="4.140625" style="148" customWidth="1"/>
    <col min="7" max="7" width="17.5703125" style="142" bestFit="1" customWidth="1"/>
    <col min="8" max="8" width="4.7109375" style="142" customWidth="1"/>
    <col min="9" max="9" width="17.5703125" style="142" customWidth="1"/>
    <col min="10" max="10" width="17.5703125" style="142" hidden="1" customWidth="1"/>
    <col min="11" max="11" width="4.140625" style="148" hidden="1" customWidth="1"/>
    <col min="12" max="12" width="10.42578125" style="148" hidden="1" customWidth="1"/>
    <col min="13" max="13" width="4.140625" style="148" hidden="1" customWidth="1"/>
    <col min="14" max="14" width="10.42578125" style="148" hidden="1" customWidth="1"/>
    <col min="15" max="15" width="4.140625" style="148" hidden="1" customWidth="1"/>
    <col min="16" max="16" width="10.42578125" style="148" hidden="1" customWidth="1"/>
    <col min="17" max="17" width="4.140625" style="148" hidden="1" customWidth="1"/>
    <col min="18" max="18" width="10.42578125" style="148" hidden="1" customWidth="1"/>
    <col min="19" max="19" width="4.140625" style="148" hidden="1" customWidth="1"/>
    <col min="20" max="20" width="11.28515625" style="148" hidden="1" customWidth="1"/>
    <col min="21" max="21" width="4.140625" style="148" hidden="1" customWidth="1"/>
    <col min="22" max="22" width="10.42578125" style="148" hidden="1" customWidth="1"/>
    <col min="23" max="23" width="4.140625" style="148" hidden="1" customWidth="1"/>
    <col min="24" max="24" width="10.42578125" style="148" hidden="1" customWidth="1"/>
    <col min="25" max="25" width="4.140625" style="148" hidden="1" customWidth="1"/>
    <col min="26" max="26" width="11.28515625" style="148" hidden="1" customWidth="1"/>
    <col min="27" max="27" width="4.140625" style="148" hidden="1" customWidth="1"/>
    <col min="28" max="28" width="10.42578125" style="148" hidden="1" customWidth="1"/>
    <col min="29" max="29" width="3.85546875" style="148" hidden="1" customWidth="1"/>
    <col min="30" max="30" width="13.7109375" style="147" bestFit="1" customWidth="1"/>
    <col min="31" max="31" width="2.28515625" style="147" customWidth="1"/>
    <col min="32" max="32" width="13.7109375" style="147" bestFit="1" customWidth="1"/>
    <col min="33" max="33" width="2" style="147" customWidth="1"/>
    <col min="34" max="34" width="11.85546875" style="147" bestFit="1" customWidth="1"/>
    <col min="35" max="35" width="2" style="147" customWidth="1"/>
    <col min="36" max="36" width="14.85546875" style="147" bestFit="1" customWidth="1"/>
    <col min="37" max="37" width="2" style="147" customWidth="1"/>
    <col min="38" max="38" width="15.5703125" style="147" bestFit="1" customWidth="1"/>
    <col min="39" max="39" width="2.7109375" style="147" customWidth="1"/>
    <col min="40" max="40" width="12.28515625" style="147" bestFit="1" customWidth="1"/>
    <col min="41" max="41" width="1.5703125" style="147" customWidth="1"/>
    <col min="42" max="42" width="9.85546875" style="147" bestFit="1" customWidth="1"/>
    <col min="43" max="44" width="9.140625" style="148"/>
    <col min="45" max="45" width="10.5703125" style="148" bestFit="1" customWidth="1"/>
    <col min="46" max="16384" width="9.140625" style="148"/>
  </cols>
  <sheetData>
    <row r="1" spans="1:45">
      <c r="A1" s="139" t="s">
        <v>235</v>
      </c>
      <c r="B1" s="140"/>
      <c r="C1" s="140"/>
      <c r="D1" s="140"/>
      <c r="E1" s="141"/>
      <c r="F1" s="141"/>
      <c r="K1" s="140"/>
      <c r="L1" s="140"/>
      <c r="M1" s="140"/>
      <c r="N1" s="143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36" t="s">
        <v>282</v>
      </c>
      <c r="AC1" s="140"/>
      <c r="AD1" s="144"/>
      <c r="AE1" s="144"/>
      <c r="AF1" s="144"/>
      <c r="AG1" s="144"/>
      <c r="AH1" s="145"/>
      <c r="AI1" s="144"/>
      <c r="AJ1" s="144"/>
      <c r="AK1" s="144"/>
      <c r="AL1" s="144"/>
      <c r="AM1" s="146"/>
    </row>
    <row r="2" spans="1:45">
      <c r="A2" s="139"/>
      <c r="B2" s="140"/>
      <c r="C2" s="140"/>
      <c r="D2" s="140"/>
      <c r="E2" s="141"/>
      <c r="F2" s="141"/>
      <c r="K2" s="140"/>
      <c r="L2" s="140"/>
      <c r="M2" s="140"/>
      <c r="N2" s="143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36"/>
      <c r="AC2" s="140"/>
      <c r="AD2" s="140"/>
      <c r="AE2" s="140"/>
      <c r="AF2" s="149"/>
      <c r="AG2" s="140"/>
      <c r="AH2" s="140"/>
      <c r="AI2" s="140"/>
      <c r="AJ2" s="140"/>
      <c r="AK2" s="148"/>
      <c r="AL2" s="148"/>
      <c r="AM2" s="148"/>
    </row>
    <row r="3" spans="1:45">
      <c r="A3" s="139" t="s">
        <v>361</v>
      </c>
      <c r="B3" s="140"/>
      <c r="C3" s="140"/>
      <c r="D3" s="140"/>
      <c r="E3" s="141"/>
      <c r="F3" s="141"/>
      <c r="K3" s="140"/>
      <c r="L3" s="140"/>
      <c r="M3" s="140"/>
      <c r="N3" s="143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50"/>
      <c r="AE3" s="150"/>
      <c r="AF3" s="150"/>
      <c r="AG3" s="150"/>
      <c r="AH3" s="151"/>
      <c r="AI3" s="151"/>
      <c r="AJ3" s="152"/>
      <c r="AK3" s="151"/>
      <c r="AL3" s="151"/>
      <c r="AM3" s="146"/>
    </row>
    <row r="4" spans="1:45" ht="14.25">
      <c r="A4" s="139"/>
      <c r="B4" s="140"/>
      <c r="C4" s="218" t="s">
        <v>0</v>
      </c>
      <c r="D4" s="153"/>
      <c r="E4" s="154"/>
      <c r="F4" s="154"/>
      <c r="G4" s="155"/>
      <c r="H4" s="155"/>
      <c r="I4" s="155"/>
      <c r="J4" s="155"/>
      <c r="K4" s="156"/>
      <c r="L4" s="156"/>
      <c r="M4" s="156"/>
      <c r="N4" s="156"/>
      <c r="O4" s="156"/>
      <c r="P4" s="157"/>
      <c r="Q4" s="156"/>
      <c r="R4" s="156"/>
      <c r="S4" s="156"/>
      <c r="T4" s="158"/>
      <c r="U4" s="159"/>
      <c r="V4" s="159"/>
      <c r="W4" s="159"/>
      <c r="X4" s="159"/>
      <c r="Y4" s="159"/>
      <c r="Z4" s="159"/>
      <c r="AA4" s="149"/>
      <c r="AB4" s="140"/>
      <c r="AC4" s="140"/>
      <c r="AD4" s="151"/>
      <c r="AE4" s="151"/>
      <c r="AF4" s="151"/>
      <c r="AG4" s="151"/>
      <c r="AH4" s="160"/>
      <c r="AI4" s="160"/>
      <c r="AJ4" s="160"/>
      <c r="AK4" s="160"/>
      <c r="AL4" s="160"/>
      <c r="AM4" s="146"/>
    </row>
    <row r="5" spans="1:45">
      <c r="A5" s="161"/>
      <c r="B5" s="162"/>
      <c r="C5" s="162"/>
      <c r="D5" s="162"/>
      <c r="E5" s="162"/>
      <c r="F5" s="162"/>
      <c r="G5" s="163"/>
      <c r="H5" s="163"/>
      <c r="I5" s="163"/>
      <c r="J5" s="163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4"/>
      <c r="AA5" s="162"/>
      <c r="AB5" s="162"/>
      <c r="AC5" s="162"/>
      <c r="AD5" s="165"/>
      <c r="AE5" s="165"/>
      <c r="AF5" s="165"/>
      <c r="AG5" s="165"/>
      <c r="AH5" s="166"/>
      <c r="AI5" s="166"/>
      <c r="AJ5" s="166"/>
      <c r="AK5" s="166"/>
      <c r="AL5" s="166"/>
      <c r="AM5" s="167"/>
      <c r="AN5" s="168"/>
      <c r="AO5" s="168"/>
      <c r="AP5" s="168"/>
    </row>
    <row r="6" spans="1:45">
      <c r="A6" s="162"/>
      <c r="B6" s="162"/>
      <c r="C6" s="162"/>
      <c r="D6" s="162"/>
      <c r="E6" s="150"/>
      <c r="F6" s="150"/>
      <c r="G6" s="169"/>
      <c r="H6" s="169"/>
      <c r="I6" s="169"/>
      <c r="J6" s="169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60"/>
      <c r="AI6" s="160"/>
      <c r="AJ6" s="160"/>
      <c r="AK6" s="160"/>
      <c r="AL6" s="160"/>
      <c r="AM6" s="146"/>
    </row>
    <row r="7" spans="1:45" ht="15.75">
      <c r="A7" s="140"/>
      <c r="B7" s="149"/>
      <c r="C7" s="149"/>
      <c r="D7" s="149"/>
      <c r="E7" s="170"/>
      <c r="F7" s="170"/>
      <c r="G7" s="217" t="s">
        <v>336</v>
      </c>
      <c r="H7" s="1"/>
      <c r="I7" s="217" t="s">
        <v>337</v>
      </c>
      <c r="J7" s="169"/>
      <c r="K7" s="150"/>
      <c r="L7" s="150"/>
      <c r="M7" s="150"/>
      <c r="N7" s="150"/>
      <c r="O7" s="150"/>
      <c r="P7" s="150"/>
      <c r="Q7" s="150"/>
      <c r="R7" s="150"/>
      <c r="S7" s="150"/>
      <c r="T7" s="171">
        <v>41274</v>
      </c>
      <c r="U7" s="150"/>
      <c r="V7" s="137"/>
      <c r="W7" s="138"/>
      <c r="X7" s="137" t="s">
        <v>24</v>
      </c>
      <c r="Y7" s="150"/>
      <c r="Z7" s="150"/>
      <c r="AA7" s="150"/>
      <c r="AB7" s="150"/>
      <c r="AC7" s="150"/>
      <c r="AD7" s="172"/>
      <c r="AE7" s="172"/>
      <c r="AF7" s="173"/>
      <c r="AG7" s="172"/>
      <c r="AH7" s="166"/>
      <c r="AI7" s="174"/>
      <c r="AJ7" s="175">
        <v>41274</v>
      </c>
      <c r="AK7" s="166"/>
      <c r="AL7" s="166" t="s">
        <v>5</v>
      </c>
      <c r="AM7" s="176"/>
    </row>
    <row r="8" spans="1:45" ht="14.25">
      <c r="A8" s="140"/>
      <c r="E8" s="144"/>
      <c r="F8" s="144"/>
      <c r="G8" s="15" t="s">
        <v>1</v>
      </c>
      <c r="H8" s="19"/>
      <c r="I8" s="15" t="s">
        <v>1</v>
      </c>
      <c r="J8" s="169"/>
      <c r="K8" s="177"/>
      <c r="L8" s="177" t="s">
        <v>2</v>
      </c>
      <c r="M8" s="177"/>
      <c r="N8" s="177" t="s">
        <v>3</v>
      </c>
      <c r="O8" s="177"/>
      <c r="P8" s="146"/>
      <c r="Q8" s="177"/>
      <c r="R8" s="177" t="s">
        <v>5</v>
      </c>
      <c r="S8" s="177"/>
      <c r="T8" s="177" t="s">
        <v>6</v>
      </c>
      <c r="U8" s="177"/>
      <c r="V8" s="19" t="s">
        <v>18</v>
      </c>
      <c r="W8" s="19"/>
      <c r="X8" s="19" t="s">
        <v>25</v>
      </c>
      <c r="Y8" s="177"/>
      <c r="Z8" s="171">
        <v>41274</v>
      </c>
      <c r="AA8" s="177"/>
      <c r="AB8" s="177" t="s">
        <v>5</v>
      </c>
      <c r="AC8" s="150"/>
      <c r="AD8" s="167" t="s">
        <v>283</v>
      </c>
      <c r="AE8" s="172"/>
      <c r="AF8" s="172" t="s">
        <v>245</v>
      </c>
      <c r="AG8" s="172"/>
      <c r="AH8" s="178" t="s">
        <v>284</v>
      </c>
      <c r="AI8" s="179"/>
      <c r="AJ8" s="179" t="s">
        <v>285</v>
      </c>
      <c r="AK8" s="179"/>
      <c r="AL8" s="179" t="s">
        <v>242</v>
      </c>
      <c r="AM8" s="176"/>
      <c r="AP8" s="147" t="s">
        <v>286</v>
      </c>
    </row>
    <row r="9" spans="1:45" ht="14.25">
      <c r="A9" s="180" t="s">
        <v>287</v>
      </c>
      <c r="B9" s="181" t="s">
        <v>288</v>
      </c>
      <c r="C9" s="182" t="s">
        <v>247</v>
      </c>
      <c r="E9" s="183" t="s">
        <v>289</v>
      </c>
      <c r="F9" s="184"/>
      <c r="G9" s="22" t="s">
        <v>7</v>
      </c>
      <c r="H9" s="19"/>
      <c r="I9" s="22" t="s">
        <v>7</v>
      </c>
      <c r="J9" s="169"/>
      <c r="K9" s="177" t="s">
        <v>290</v>
      </c>
      <c r="L9" s="185" t="s">
        <v>8</v>
      </c>
      <c r="M9" s="177"/>
      <c r="N9" s="185" t="s">
        <v>9</v>
      </c>
      <c r="O9" s="177"/>
      <c r="P9" s="185" t="s">
        <v>4</v>
      </c>
      <c r="Q9" s="177"/>
      <c r="R9" s="185" t="s">
        <v>10</v>
      </c>
      <c r="S9" s="177"/>
      <c r="T9" s="185" t="s">
        <v>11</v>
      </c>
      <c r="U9" s="177" t="s">
        <v>291</v>
      </c>
      <c r="V9" s="185" t="s">
        <v>250</v>
      </c>
      <c r="W9" s="177"/>
      <c r="X9" s="185" t="s">
        <v>251</v>
      </c>
      <c r="Y9" s="177"/>
      <c r="Z9" s="185" t="s">
        <v>12</v>
      </c>
      <c r="AA9" s="177" t="s">
        <v>292</v>
      </c>
      <c r="AB9" s="185" t="s">
        <v>13</v>
      </c>
      <c r="AC9" s="150"/>
      <c r="AD9" s="186" t="s">
        <v>293</v>
      </c>
      <c r="AE9" s="172"/>
      <c r="AF9" s="186" t="s">
        <v>252</v>
      </c>
      <c r="AG9" s="172"/>
      <c r="AH9" s="187" t="s">
        <v>7</v>
      </c>
      <c r="AI9" s="179"/>
      <c r="AJ9" s="187" t="s">
        <v>254</v>
      </c>
      <c r="AK9" s="179"/>
      <c r="AL9" s="187" t="s">
        <v>7</v>
      </c>
      <c r="AM9" s="176"/>
      <c r="AN9" s="147" t="s">
        <v>294</v>
      </c>
      <c r="AP9" s="147" t="s">
        <v>295</v>
      </c>
    </row>
    <row r="10" spans="1:45">
      <c r="A10" s="140"/>
      <c r="B10" s="188" t="s">
        <v>296</v>
      </c>
      <c r="C10" s="188"/>
      <c r="D10" s="189"/>
      <c r="E10" s="190" t="s">
        <v>297</v>
      </c>
      <c r="F10" s="190"/>
      <c r="G10" s="163" t="s">
        <v>298</v>
      </c>
      <c r="H10" s="163"/>
      <c r="I10" s="163"/>
      <c r="J10" s="163"/>
      <c r="K10" s="163"/>
      <c r="L10" s="163" t="s">
        <v>299</v>
      </c>
      <c r="M10" s="163"/>
      <c r="N10" s="163" t="s">
        <v>300</v>
      </c>
      <c r="O10" s="163"/>
      <c r="P10" s="163" t="s">
        <v>301</v>
      </c>
      <c r="Q10" s="163"/>
      <c r="R10" s="163" t="s">
        <v>302</v>
      </c>
      <c r="S10" s="163"/>
      <c r="T10" s="163" t="s">
        <v>300</v>
      </c>
      <c r="U10" s="163"/>
      <c r="V10" s="163" t="s">
        <v>301</v>
      </c>
      <c r="W10" s="163"/>
      <c r="X10" s="163" t="s">
        <v>302</v>
      </c>
      <c r="Y10" s="163"/>
      <c r="Z10" s="163" t="s">
        <v>303</v>
      </c>
      <c r="AA10" s="163"/>
      <c r="AB10" s="163" t="s">
        <v>304</v>
      </c>
      <c r="AC10" s="149"/>
      <c r="AD10" s="163"/>
      <c r="AE10" s="163"/>
      <c r="AF10" s="163"/>
      <c r="AG10" s="163"/>
      <c r="AH10" s="163"/>
      <c r="AI10" s="191"/>
      <c r="AJ10" s="163"/>
      <c r="AK10" s="191"/>
      <c r="AL10" s="163"/>
      <c r="AM10" s="192"/>
    </row>
    <row r="11" spans="1:45" ht="13.5">
      <c r="A11" s="193">
        <v>1</v>
      </c>
      <c r="B11" s="194" t="str">
        <f>CONCATENATE("CSR ", AS11)</f>
        <v>CSR 1</v>
      </c>
      <c r="C11" s="194" t="s">
        <v>305</v>
      </c>
      <c r="D11" s="194"/>
      <c r="E11" s="184" t="s">
        <v>323</v>
      </c>
      <c r="F11" s="184"/>
      <c r="G11" s="195">
        <f t="shared" ref="G11:G50" si="0">AL11</f>
        <v>31466.969999999994</v>
      </c>
      <c r="H11" s="195"/>
      <c r="I11" s="195">
        <f>G11*(1.03^3)</f>
        <v>34384.807727189997</v>
      </c>
      <c r="J11" s="195"/>
      <c r="K11" s="195"/>
      <c r="L11" s="195">
        <f t="shared" ref="L11:L50" si="1">ROUND(G11*0.0765,0)</f>
        <v>2407</v>
      </c>
      <c r="M11" s="195"/>
      <c r="N11" s="195">
        <v>56</v>
      </c>
      <c r="O11" s="195"/>
      <c r="P11" s="195">
        <f>IF(G11&gt;8000,8000*0.0458,G11*0.0458)</f>
        <v>366.4</v>
      </c>
      <c r="Q11" s="195" t="s">
        <v>248</v>
      </c>
      <c r="R11" s="195">
        <f t="shared" ref="R11:R50" si="2">SUM(P11,N11,L11)</f>
        <v>2829.4</v>
      </c>
      <c r="S11" s="195"/>
      <c r="T11" s="195">
        <v>7481.8509443099274</v>
      </c>
      <c r="U11" s="195"/>
      <c r="V11" s="195">
        <f t="shared" ref="V11:V50" si="3">G11*0.03</f>
        <v>944.00909999999976</v>
      </c>
      <c r="W11" s="195"/>
      <c r="X11" s="195">
        <f t="shared" ref="X11:X50" si="4">G11*0.04</f>
        <v>1258.6787999999997</v>
      </c>
      <c r="Y11" s="195"/>
      <c r="Z11" s="195">
        <v>453.52290556900732</v>
      </c>
      <c r="AA11" s="195"/>
      <c r="AB11" s="195">
        <f t="shared" ref="AB11:AB50" si="5">SUM(T11,V11,X11,Z11)</f>
        <v>10138.061749878934</v>
      </c>
      <c r="AC11" s="145"/>
      <c r="AD11" s="196">
        <f>15.03*80</f>
        <v>1202.3999999999999</v>
      </c>
      <c r="AE11" s="196"/>
      <c r="AF11" s="197">
        <v>2080</v>
      </c>
      <c r="AG11" s="145"/>
      <c r="AH11" s="197">
        <f t="shared" ref="AH11:AH50" si="6">IF(AF11=86.67,AD11*24,(AD11/80)*AF11)</f>
        <v>31262.399999999994</v>
      </c>
      <c r="AI11" s="191"/>
      <c r="AJ11" s="198">
        <v>204.57</v>
      </c>
      <c r="AK11" s="191"/>
      <c r="AL11" s="191">
        <f t="shared" ref="AL11:AL50" si="7">+AH11+AJ11</f>
        <v>31466.969999999994</v>
      </c>
      <c r="AM11" s="199"/>
      <c r="AN11" s="200">
        <v>28771.13</v>
      </c>
      <c r="AP11" s="201">
        <v>98669</v>
      </c>
      <c r="AS11" s="202">
        <v>1</v>
      </c>
    </row>
    <row r="12" spans="1:45" ht="13.5">
      <c r="A12" s="193">
        <v>2</v>
      </c>
      <c r="B12" s="194" t="str">
        <f t="shared" ref="B12:B50" si="8">CONCATENATE("CSR ", AS12)</f>
        <v>CSR 2</v>
      </c>
      <c r="C12" s="194" t="s">
        <v>306</v>
      </c>
      <c r="D12" s="194"/>
      <c r="E12" s="184" t="s">
        <v>324</v>
      </c>
      <c r="F12" s="184"/>
      <c r="G12" s="195">
        <f t="shared" si="0"/>
        <v>25251.200000000001</v>
      </c>
      <c r="H12" s="195"/>
      <c r="I12" s="195">
        <f t="shared" ref="I12:I50" si="9">G12*(1.03^3)</f>
        <v>27592.668022400001</v>
      </c>
      <c r="J12" s="195"/>
      <c r="K12" s="195"/>
      <c r="L12" s="195">
        <f t="shared" si="1"/>
        <v>1932</v>
      </c>
      <c r="M12" s="195"/>
      <c r="N12" s="195">
        <v>56</v>
      </c>
      <c r="O12" s="195"/>
      <c r="P12" s="195">
        <f>IF(G12&gt;20900,20900*0.042,G12*0.042)</f>
        <v>877.80000000000007</v>
      </c>
      <c r="Q12" s="195" t="s">
        <v>307</v>
      </c>
      <c r="R12" s="195">
        <f t="shared" si="2"/>
        <v>2865.8</v>
      </c>
      <c r="S12" s="195"/>
      <c r="T12" s="195">
        <v>7481.8509443099274</v>
      </c>
      <c r="U12" s="195"/>
      <c r="V12" s="195">
        <f t="shared" si="3"/>
        <v>757.53599999999994</v>
      </c>
      <c r="W12" s="195"/>
      <c r="X12" s="195">
        <f t="shared" si="4"/>
        <v>1010.048</v>
      </c>
      <c r="Y12" s="195"/>
      <c r="Z12" s="195">
        <v>453.52290556900732</v>
      </c>
      <c r="AA12" s="195"/>
      <c r="AB12" s="195">
        <f t="shared" si="5"/>
        <v>9702.9578498789342</v>
      </c>
      <c r="AC12" s="145"/>
      <c r="AD12" s="196">
        <f>12.14*80</f>
        <v>971.2</v>
      </c>
      <c r="AE12" s="196"/>
      <c r="AF12" s="197">
        <v>2080</v>
      </c>
      <c r="AG12" s="145"/>
      <c r="AH12" s="197">
        <f t="shared" si="6"/>
        <v>25251.200000000001</v>
      </c>
      <c r="AI12" s="191"/>
      <c r="AJ12" s="198">
        <v>0</v>
      </c>
      <c r="AK12" s="191"/>
      <c r="AL12" s="191">
        <f t="shared" si="7"/>
        <v>25251.200000000001</v>
      </c>
      <c r="AM12" s="199"/>
      <c r="AN12" s="200">
        <v>21479.96</v>
      </c>
      <c r="AP12" s="201">
        <v>99968</v>
      </c>
      <c r="AS12" s="202">
        <f>+AS11+1</f>
        <v>2</v>
      </c>
    </row>
    <row r="13" spans="1:45" ht="13.5">
      <c r="A13" s="193">
        <v>3</v>
      </c>
      <c r="B13" s="194" t="str">
        <f t="shared" si="8"/>
        <v>CSR 3</v>
      </c>
      <c r="C13" s="194" t="s">
        <v>305</v>
      </c>
      <c r="D13" s="194"/>
      <c r="E13" s="184" t="s">
        <v>323</v>
      </c>
      <c r="F13" s="184"/>
      <c r="G13" s="195">
        <f t="shared" si="0"/>
        <v>35431.64</v>
      </c>
      <c r="H13" s="195"/>
      <c r="I13" s="195">
        <f t="shared" si="9"/>
        <v>38717.109682280003</v>
      </c>
      <c r="J13" s="195"/>
      <c r="K13" s="195"/>
      <c r="L13" s="195">
        <f t="shared" si="1"/>
        <v>2711</v>
      </c>
      <c r="M13" s="195"/>
      <c r="N13" s="195">
        <v>56</v>
      </c>
      <c r="O13" s="195"/>
      <c r="P13" s="195">
        <f>IF(G13&gt;8000,8000*0.0458,G13*0.0458)</f>
        <v>366.4</v>
      </c>
      <c r="Q13" s="195" t="s">
        <v>248</v>
      </c>
      <c r="R13" s="195">
        <f t="shared" si="2"/>
        <v>3133.4</v>
      </c>
      <c r="S13" s="195"/>
      <c r="T13" s="195">
        <v>7481.8509443099274</v>
      </c>
      <c r="U13" s="195"/>
      <c r="V13" s="195">
        <f t="shared" si="3"/>
        <v>1062.9492</v>
      </c>
      <c r="W13" s="195"/>
      <c r="X13" s="195">
        <f t="shared" si="4"/>
        <v>1417.2655999999999</v>
      </c>
      <c r="Y13" s="195"/>
      <c r="Z13" s="195">
        <v>453.52290556900732</v>
      </c>
      <c r="AA13" s="195"/>
      <c r="AB13" s="195">
        <f t="shared" si="5"/>
        <v>10415.588649878935</v>
      </c>
      <c r="AC13" s="145"/>
      <c r="AD13" s="196">
        <f>16.52*80</f>
        <v>1321.6</v>
      </c>
      <c r="AE13" s="196"/>
      <c r="AF13" s="197">
        <v>2080</v>
      </c>
      <c r="AG13" s="145"/>
      <c r="AH13" s="197">
        <f t="shared" si="6"/>
        <v>34361.599999999999</v>
      </c>
      <c r="AI13" s="191"/>
      <c r="AJ13" s="198">
        <v>1070.04</v>
      </c>
      <c r="AK13" s="191"/>
      <c r="AL13" s="191">
        <f t="shared" si="7"/>
        <v>35431.64</v>
      </c>
      <c r="AM13" s="199"/>
      <c r="AN13" s="200">
        <v>29093.02</v>
      </c>
      <c r="AP13" s="201">
        <v>766</v>
      </c>
      <c r="AS13" s="202">
        <f t="shared" ref="AS13:AS50" si="10">+AS12+1</f>
        <v>3</v>
      </c>
    </row>
    <row r="14" spans="1:45" ht="13.5">
      <c r="A14" s="193">
        <v>4</v>
      </c>
      <c r="B14" s="194" t="str">
        <f t="shared" si="8"/>
        <v>CSR 4</v>
      </c>
      <c r="C14" s="194" t="s">
        <v>305</v>
      </c>
      <c r="D14" s="194"/>
      <c r="E14" s="184" t="s">
        <v>323</v>
      </c>
      <c r="F14" s="184"/>
      <c r="G14" s="195">
        <f t="shared" si="0"/>
        <v>33211.379999999997</v>
      </c>
      <c r="H14" s="195"/>
      <c r="I14" s="195">
        <f t="shared" si="9"/>
        <v>36290.97163326</v>
      </c>
      <c r="J14" s="195"/>
      <c r="K14" s="195"/>
      <c r="L14" s="195">
        <f t="shared" si="1"/>
        <v>2541</v>
      </c>
      <c r="M14" s="195"/>
      <c r="N14" s="195">
        <v>56</v>
      </c>
      <c r="O14" s="195"/>
      <c r="P14" s="195">
        <f>IF(G14&gt;8000,8000*0.0458,G14*0.0458)</f>
        <v>366.4</v>
      </c>
      <c r="Q14" s="195" t="s">
        <v>248</v>
      </c>
      <c r="R14" s="195">
        <f t="shared" si="2"/>
        <v>2963.4</v>
      </c>
      <c r="S14" s="195"/>
      <c r="T14" s="195">
        <v>7481.8509443099274</v>
      </c>
      <c r="U14" s="195"/>
      <c r="V14" s="195">
        <f t="shared" si="3"/>
        <v>996.34139999999991</v>
      </c>
      <c r="W14" s="195"/>
      <c r="X14" s="195">
        <f t="shared" si="4"/>
        <v>1328.4551999999999</v>
      </c>
      <c r="Y14" s="195"/>
      <c r="Z14" s="195">
        <v>453.52290556900732</v>
      </c>
      <c r="AA14" s="195"/>
      <c r="AB14" s="195">
        <f t="shared" si="5"/>
        <v>10260.170449878935</v>
      </c>
      <c r="AC14" s="145"/>
      <c r="AD14" s="196">
        <f>15.87*80</f>
        <v>1269.5999999999999</v>
      </c>
      <c r="AE14" s="196"/>
      <c r="AF14" s="197">
        <v>2080</v>
      </c>
      <c r="AG14" s="145"/>
      <c r="AH14" s="197">
        <f t="shared" si="6"/>
        <v>33009.599999999999</v>
      </c>
      <c r="AI14" s="191"/>
      <c r="AJ14" s="198">
        <v>201.78000000000003</v>
      </c>
      <c r="AK14" s="191"/>
      <c r="AL14" s="191">
        <f t="shared" si="7"/>
        <v>33211.379999999997</v>
      </c>
      <c r="AM14" s="199"/>
      <c r="AN14" s="200">
        <v>27787.22</v>
      </c>
      <c r="AP14" s="201">
        <v>98986</v>
      </c>
      <c r="AS14" s="202">
        <f t="shared" si="10"/>
        <v>4</v>
      </c>
    </row>
    <row r="15" spans="1:45" ht="13.5">
      <c r="A15" s="203">
        <v>5</v>
      </c>
      <c r="B15" s="194" t="str">
        <f t="shared" si="8"/>
        <v>CSR 5</v>
      </c>
      <c r="C15" s="194" t="s">
        <v>308</v>
      </c>
      <c r="D15" s="194"/>
      <c r="E15" s="184" t="s">
        <v>323</v>
      </c>
      <c r="F15" s="184"/>
      <c r="G15" s="195">
        <f t="shared" si="0"/>
        <v>37698</v>
      </c>
      <c r="H15" s="195"/>
      <c r="I15" s="195">
        <f t="shared" si="9"/>
        <v>41193.622446000001</v>
      </c>
      <c r="J15" s="195"/>
      <c r="K15" s="195"/>
      <c r="L15" s="195">
        <f t="shared" si="1"/>
        <v>2884</v>
      </c>
      <c r="M15" s="195"/>
      <c r="N15" s="195">
        <v>56</v>
      </c>
      <c r="O15" s="195"/>
      <c r="P15" s="195">
        <f>IF(G15&gt;8000,8000*0.0458,G15*0.0458)</f>
        <v>366.4</v>
      </c>
      <c r="Q15" s="195" t="s">
        <v>248</v>
      </c>
      <c r="R15" s="195">
        <f t="shared" si="2"/>
        <v>3306.4</v>
      </c>
      <c r="S15" s="195"/>
      <c r="T15" s="195">
        <v>7481.8509443099274</v>
      </c>
      <c r="U15" s="195"/>
      <c r="V15" s="195">
        <f t="shared" si="3"/>
        <v>1130.94</v>
      </c>
      <c r="W15" s="195"/>
      <c r="X15" s="195">
        <f t="shared" si="4"/>
        <v>1507.92</v>
      </c>
      <c r="Y15" s="195"/>
      <c r="Z15" s="195">
        <v>453.52290556900732</v>
      </c>
      <c r="AA15" s="195"/>
      <c r="AB15" s="195">
        <f t="shared" si="5"/>
        <v>10574.233849878934</v>
      </c>
      <c r="AC15" s="145"/>
      <c r="AD15" s="196">
        <v>1570.75</v>
      </c>
      <c r="AE15" s="196"/>
      <c r="AF15" s="197">
        <v>86.67</v>
      </c>
      <c r="AG15" s="145"/>
      <c r="AH15" s="197">
        <f t="shared" si="6"/>
        <v>37698</v>
      </c>
      <c r="AI15" s="191"/>
      <c r="AJ15" s="198">
        <v>0</v>
      </c>
      <c r="AK15" s="191"/>
      <c r="AL15" s="191">
        <f t="shared" si="7"/>
        <v>37698</v>
      </c>
      <c r="AM15" s="199"/>
      <c r="AN15" s="200">
        <v>32401.37</v>
      </c>
      <c r="AP15" s="201">
        <v>98712</v>
      </c>
      <c r="AS15" s="202">
        <f t="shared" si="10"/>
        <v>5</v>
      </c>
    </row>
    <row r="16" spans="1:45" ht="13.5">
      <c r="A16" s="193">
        <v>6</v>
      </c>
      <c r="B16" s="194" t="str">
        <f t="shared" si="8"/>
        <v>CSR 6</v>
      </c>
      <c r="C16" s="194" t="s">
        <v>309</v>
      </c>
      <c r="D16" s="194"/>
      <c r="E16" s="184" t="s">
        <v>323</v>
      </c>
      <c r="F16" s="184"/>
      <c r="G16" s="195">
        <f t="shared" si="0"/>
        <v>56347.19999999999</v>
      </c>
      <c r="H16" s="195"/>
      <c r="I16" s="195">
        <f t="shared" si="9"/>
        <v>61572.106814399987</v>
      </c>
      <c r="J16" s="195"/>
      <c r="K16" s="195"/>
      <c r="L16" s="195">
        <f t="shared" si="1"/>
        <v>4311</v>
      </c>
      <c r="M16" s="195"/>
      <c r="N16" s="195">
        <v>56</v>
      </c>
      <c r="O16" s="195"/>
      <c r="P16" s="195">
        <f>IF(G16&gt;8000,8000*0.0458,G16*0.0458)</f>
        <v>366.4</v>
      </c>
      <c r="Q16" s="195" t="s">
        <v>248</v>
      </c>
      <c r="R16" s="195">
        <f t="shared" si="2"/>
        <v>4733.3999999999996</v>
      </c>
      <c r="S16" s="195"/>
      <c r="T16" s="195">
        <v>7481.8509443099274</v>
      </c>
      <c r="U16" s="195"/>
      <c r="V16" s="195">
        <f t="shared" si="3"/>
        <v>1690.4159999999997</v>
      </c>
      <c r="W16" s="195"/>
      <c r="X16" s="195">
        <f t="shared" si="4"/>
        <v>2253.8879999999995</v>
      </c>
      <c r="Y16" s="195"/>
      <c r="Z16" s="195">
        <v>453.52290556900732</v>
      </c>
      <c r="AA16" s="195"/>
      <c r="AB16" s="195">
        <f t="shared" si="5"/>
        <v>11879.677849878934</v>
      </c>
      <c r="AC16" s="145"/>
      <c r="AD16" s="196">
        <f>27.09*80</f>
        <v>2167.1999999999998</v>
      </c>
      <c r="AE16" s="196"/>
      <c r="AF16" s="197">
        <v>2080</v>
      </c>
      <c r="AG16" s="192"/>
      <c r="AH16" s="197">
        <f t="shared" si="6"/>
        <v>56347.19999999999</v>
      </c>
      <c r="AI16" s="192"/>
      <c r="AJ16" s="198">
        <v>0</v>
      </c>
      <c r="AK16" s="192"/>
      <c r="AL16" s="191">
        <f t="shared" si="7"/>
        <v>56347.19999999999</v>
      </c>
      <c r="AM16" s="199"/>
      <c r="AN16" s="200">
        <v>49082.04</v>
      </c>
      <c r="AP16" s="201">
        <v>98885</v>
      </c>
      <c r="AS16" s="202">
        <f t="shared" si="10"/>
        <v>6</v>
      </c>
    </row>
    <row r="17" spans="1:45" ht="13.5">
      <c r="A17" s="193">
        <v>7</v>
      </c>
      <c r="B17" s="194" t="str">
        <f t="shared" si="8"/>
        <v>CSR 7</v>
      </c>
      <c r="C17" s="194" t="s">
        <v>306</v>
      </c>
      <c r="D17" s="194"/>
      <c r="E17" s="184" t="s">
        <v>325</v>
      </c>
      <c r="F17" s="184"/>
      <c r="G17" s="195">
        <f t="shared" si="0"/>
        <v>25335.17</v>
      </c>
      <c r="H17" s="195"/>
      <c r="I17" s="195">
        <f t="shared" si="9"/>
        <v>27684.424308589998</v>
      </c>
      <c r="J17" s="195"/>
      <c r="K17" s="195"/>
      <c r="L17" s="195">
        <f t="shared" si="1"/>
        <v>1938</v>
      </c>
      <c r="M17" s="195"/>
      <c r="N17" s="195">
        <v>56</v>
      </c>
      <c r="O17" s="195"/>
      <c r="P17" s="195">
        <f>IF(G17&gt;26900,26900*0.0385,G17*0.0385)</f>
        <v>975.40404499999988</v>
      </c>
      <c r="Q17" s="195" t="s">
        <v>310</v>
      </c>
      <c r="R17" s="195">
        <f t="shared" si="2"/>
        <v>2969.4040449999998</v>
      </c>
      <c r="S17" s="195"/>
      <c r="T17" s="195">
        <v>7481.8509443099274</v>
      </c>
      <c r="U17" s="195"/>
      <c r="V17" s="195">
        <f t="shared" si="3"/>
        <v>760.05509999999992</v>
      </c>
      <c r="W17" s="195"/>
      <c r="X17" s="195">
        <f t="shared" si="4"/>
        <v>1013.4068</v>
      </c>
      <c r="Y17" s="195"/>
      <c r="Z17" s="195">
        <v>453.52290556900732</v>
      </c>
      <c r="AA17" s="195"/>
      <c r="AB17" s="195">
        <f t="shared" si="5"/>
        <v>9708.8357498789355</v>
      </c>
      <c r="AC17" s="145"/>
      <c r="AD17" s="196">
        <f>12.02*80</f>
        <v>961.59999999999991</v>
      </c>
      <c r="AE17" s="196"/>
      <c r="AF17" s="197">
        <v>2080</v>
      </c>
      <c r="AG17" s="192"/>
      <c r="AH17" s="197">
        <f t="shared" si="6"/>
        <v>25001.599999999999</v>
      </c>
      <c r="AI17" s="192"/>
      <c r="AJ17" s="198">
        <v>333.57</v>
      </c>
      <c r="AK17" s="192"/>
      <c r="AL17" s="191">
        <f t="shared" si="7"/>
        <v>25335.17</v>
      </c>
      <c r="AM17" s="199"/>
      <c r="AN17" s="200">
        <v>12735.45</v>
      </c>
      <c r="AP17" s="201">
        <v>99772</v>
      </c>
      <c r="AS17" s="202">
        <f t="shared" si="10"/>
        <v>7</v>
      </c>
    </row>
    <row r="18" spans="1:45" ht="13.5">
      <c r="A18" s="193">
        <v>8</v>
      </c>
      <c r="B18" s="194" t="str">
        <f t="shared" si="8"/>
        <v>CSR 8</v>
      </c>
      <c r="C18" s="194" t="s">
        <v>311</v>
      </c>
      <c r="D18" s="194"/>
      <c r="E18" s="184" t="s">
        <v>324</v>
      </c>
      <c r="F18" s="184"/>
      <c r="G18" s="195">
        <f t="shared" si="0"/>
        <v>26847.98</v>
      </c>
      <c r="H18" s="195"/>
      <c r="I18" s="195">
        <f t="shared" si="9"/>
        <v>29337.512641459998</v>
      </c>
      <c r="J18" s="195"/>
      <c r="K18" s="195"/>
      <c r="L18" s="195">
        <f t="shared" si="1"/>
        <v>2054</v>
      </c>
      <c r="M18" s="195"/>
      <c r="N18" s="195">
        <v>56</v>
      </c>
      <c r="O18" s="195"/>
      <c r="P18" s="195">
        <f>IF(G18&gt;20900,20900*0.042,G18*0.042)</f>
        <v>877.80000000000007</v>
      </c>
      <c r="Q18" s="195" t="s">
        <v>307</v>
      </c>
      <c r="R18" s="195">
        <f t="shared" si="2"/>
        <v>2987.8</v>
      </c>
      <c r="S18" s="195"/>
      <c r="T18" s="195">
        <v>7481.8509443099274</v>
      </c>
      <c r="U18" s="195"/>
      <c r="V18" s="195">
        <f t="shared" si="3"/>
        <v>805.43939999999998</v>
      </c>
      <c r="W18" s="195"/>
      <c r="X18" s="195">
        <f t="shared" si="4"/>
        <v>1073.9192</v>
      </c>
      <c r="Y18" s="195"/>
      <c r="Z18" s="195">
        <v>453.52290556900732</v>
      </c>
      <c r="AA18" s="195"/>
      <c r="AB18" s="195">
        <f t="shared" si="5"/>
        <v>9814.7324498789349</v>
      </c>
      <c r="AC18" s="145"/>
      <c r="AD18" s="196">
        <f>12.89*80</f>
        <v>1031.2</v>
      </c>
      <c r="AE18" s="196"/>
      <c r="AF18" s="197">
        <v>2080</v>
      </c>
      <c r="AG18" s="192"/>
      <c r="AH18" s="197">
        <f t="shared" si="6"/>
        <v>26811.200000000001</v>
      </c>
      <c r="AI18" s="192"/>
      <c r="AJ18" s="198">
        <v>36.78</v>
      </c>
      <c r="AK18" s="192"/>
      <c r="AL18" s="191">
        <f t="shared" si="7"/>
        <v>26847.98</v>
      </c>
      <c r="AM18" s="199"/>
      <c r="AN18" s="200">
        <v>23069.46</v>
      </c>
      <c r="AP18" s="204">
        <v>99660</v>
      </c>
      <c r="AS18" s="202">
        <f t="shared" si="10"/>
        <v>8</v>
      </c>
    </row>
    <row r="19" spans="1:45" ht="13.5">
      <c r="A19" s="193">
        <v>9</v>
      </c>
      <c r="B19" s="194" t="str">
        <f t="shared" si="8"/>
        <v>CSR 9</v>
      </c>
      <c r="C19" s="194" t="s">
        <v>312</v>
      </c>
      <c r="D19" s="194"/>
      <c r="E19" s="184" t="s">
        <v>325</v>
      </c>
      <c r="F19" s="184"/>
      <c r="G19" s="195">
        <f t="shared" si="0"/>
        <v>39655.199999999997</v>
      </c>
      <c r="H19" s="195"/>
      <c r="I19" s="195">
        <f t="shared" si="9"/>
        <v>43332.307730399996</v>
      </c>
      <c r="J19" s="195"/>
      <c r="K19" s="195"/>
      <c r="L19" s="195">
        <f t="shared" si="1"/>
        <v>3034</v>
      </c>
      <c r="M19" s="195"/>
      <c r="N19" s="195">
        <v>56</v>
      </c>
      <c r="O19" s="195"/>
      <c r="P19" s="195">
        <f>IF(G19&gt;26900,26900*0.0385,G19*0.0385)</f>
        <v>1035.6500000000001</v>
      </c>
      <c r="Q19" s="195" t="s">
        <v>310</v>
      </c>
      <c r="R19" s="195">
        <f t="shared" si="2"/>
        <v>4125.6499999999996</v>
      </c>
      <c r="S19" s="195"/>
      <c r="T19" s="195">
        <v>7481.8509443099274</v>
      </c>
      <c r="U19" s="195"/>
      <c r="V19" s="195">
        <f t="shared" si="3"/>
        <v>1189.6559999999999</v>
      </c>
      <c r="W19" s="195"/>
      <c r="X19" s="195">
        <f t="shared" si="4"/>
        <v>1586.2079999999999</v>
      </c>
      <c r="Y19" s="195"/>
      <c r="Z19" s="195">
        <v>453.52290556900732</v>
      </c>
      <c r="AA19" s="195"/>
      <c r="AB19" s="195">
        <f t="shared" si="5"/>
        <v>10711.237849878935</v>
      </c>
      <c r="AC19" s="145"/>
      <c r="AD19" s="196">
        <v>1652.3</v>
      </c>
      <c r="AE19" s="196"/>
      <c r="AF19" s="197">
        <v>86.67</v>
      </c>
      <c r="AG19" s="192"/>
      <c r="AH19" s="197">
        <f t="shared" si="6"/>
        <v>39655.199999999997</v>
      </c>
      <c r="AI19" s="192"/>
      <c r="AJ19" s="198">
        <v>0</v>
      </c>
      <c r="AK19" s="192"/>
      <c r="AL19" s="191">
        <f t="shared" si="7"/>
        <v>39655.199999999997</v>
      </c>
      <c r="AM19" s="199"/>
      <c r="AN19" s="200">
        <v>33636.44</v>
      </c>
      <c r="AP19" s="205">
        <v>99503</v>
      </c>
      <c r="AS19" s="202">
        <f t="shared" si="10"/>
        <v>9</v>
      </c>
    </row>
    <row r="20" spans="1:45" ht="13.5">
      <c r="A20" s="193">
        <v>10</v>
      </c>
      <c r="B20" s="194" t="str">
        <f t="shared" si="8"/>
        <v>CSR 10</v>
      </c>
      <c r="C20" s="194" t="s">
        <v>305</v>
      </c>
      <c r="D20" s="194"/>
      <c r="E20" s="184" t="s">
        <v>323</v>
      </c>
      <c r="F20" s="184"/>
      <c r="G20" s="195">
        <f t="shared" si="0"/>
        <v>27587.050000000003</v>
      </c>
      <c r="H20" s="195"/>
      <c r="I20" s="195">
        <f t="shared" si="9"/>
        <v>30145.114385350003</v>
      </c>
      <c r="J20" s="195"/>
      <c r="K20" s="192"/>
      <c r="L20" s="195">
        <f t="shared" si="1"/>
        <v>2110</v>
      </c>
      <c r="M20" s="195"/>
      <c r="N20" s="195">
        <v>56</v>
      </c>
      <c r="O20" s="195"/>
      <c r="P20" s="195">
        <f>IF(G20&gt;8000,8000*0.0458,G20*0.0458)</f>
        <v>366.4</v>
      </c>
      <c r="Q20" s="195" t="s">
        <v>248</v>
      </c>
      <c r="R20" s="195">
        <f t="shared" si="2"/>
        <v>2532.4</v>
      </c>
      <c r="S20" s="195"/>
      <c r="T20" s="195">
        <v>7481.8509443099274</v>
      </c>
      <c r="U20" s="195"/>
      <c r="V20" s="195">
        <f t="shared" si="3"/>
        <v>827.61150000000009</v>
      </c>
      <c r="W20" s="195"/>
      <c r="X20" s="195">
        <f t="shared" si="4"/>
        <v>1103.4820000000002</v>
      </c>
      <c r="Y20" s="195"/>
      <c r="Z20" s="195">
        <v>453.52290556900732</v>
      </c>
      <c r="AA20" s="192"/>
      <c r="AB20" s="195">
        <f t="shared" si="5"/>
        <v>9866.4673498789343</v>
      </c>
      <c r="AC20" s="192"/>
      <c r="AD20" s="196">
        <f>12.88*80</f>
        <v>1030.4000000000001</v>
      </c>
      <c r="AE20" s="196"/>
      <c r="AF20" s="197">
        <v>2080</v>
      </c>
      <c r="AG20" s="192"/>
      <c r="AH20" s="197">
        <f t="shared" si="6"/>
        <v>26790.400000000001</v>
      </c>
      <c r="AI20" s="192"/>
      <c r="AJ20" s="198">
        <v>796.65000000000009</v>
      </c>
      <c r="AK20" s="192"/>
      <c r="AL20" s="191">
        <f t="shared" si="7"/>
        <v>27587.050000000003</v>
      </c>
      <c r="AM20" s="199"/>
      <c r="AN20" s="200">
        <v>24064.18</v>
      </c>
      <c r="AP20" s="201">
        <v>99704</v>
      </c>
      <c r="AS20" s="202">
        <f t="shared" si="10"/>
        <v>10</v>
      </c>
    </row>
    <row r="21" spans="1:45" ht="13.5">
      <c r="A21" s="193">
        <v>11</v>
      </c>
      <c r="B21" s="194" t="str">
        <f t="shared" si="8"/>
        <v>CSR 11</v>
      </c>
      <c r="C21" s="194" t="s">
        <v>306</v>
      </c>
      <c r="D21" s="194"/>
      <c r="E21" s="184" t="s">
        <v>325</v>
      </c>
      <c r="F21" s="184"/>
      <c r="G21" s="195">
        <f t="shared" si="0"/>
        <v>25996.639999999999</v>
      </c>
      <c r="H21" s="195"/>
      <c r="I21" s="195">
        <f t="shared" si="9"/>
        <v>28407.230437279999</v>
      </c>
      <c r="J21" s="195"/>
      <c r="K21" s="192"/>
      <c r="L21" s="195">
        <f t="shared" si="1"/>
        <v>1989</v>
      </c>
      <c r="M21" s="195"/>
      <c r="N21" s="195">
        <v>56</v>
      </c>
      <c r="O21" s="195"/>
      <c r="P21" s="195">
        <f>IF(G21&gt;26900,26900*0.0385,G21*0.0385)</f>
        <v>1000.87064</v>
      </c>
      <c r="Q21" s="195" t="s">
        <v>310</v>
      </c>
      <c r="R21" s="195">
        <f t="shared" si="2"/>
        <v>3045.8706400000001</v>
      </c>
      <c r="S21" s="195"/>
      <c r="T21" s="195">
        <v>7481.8509443099274</v>
      </c>
      <c r="U21" s="195"/>
      <c r="V21" s="195">
        <f t="shared" si="3"/>
        <v>779.89919999999995</v>
      </c>
      <c r="W21" s="195"/>
      <c r="X21" s="195">
        <f t="shared" si="4"/>
        <v>1039.8656000000001</v>
      </c>
      <c r="Y21" s="195"/>
      <c r="Z21" s="195">
        <v>453.52290556900732</v>
      </c>
      <c r="AA21" s="192"/>
      <c r="AB21" s="195">
        <f t="shared" si="5"/>
        <v>9755.1386498789361</v>
      </c>
      <c r="AC21" s="192"/>
      <c r="AD21" s="196">
        <f>12.26*80</f>
        <v>980.8</v>
      </c>
      <c r="AE21" s="196"/>
      <c r="AF21" s="197">
        <v>2080</v>
      </c>
      <c r="AG21" s="145"/>
      <c r="AH21" s="197">
        <f t="shared" si="6"/>
        <v>25500.799999999999</v>
      </c>
      <c r="AI21" s="191"/>
      <c r="AJ21" s="198">
        <v>495.84000000000003</v>
      </c>
      <c r="AK21" s="191"/>
      <c r="AL21" s="191">
        <f t="shared" si="7"/>
        <v>25996.639999999999</v>
      </c>
      <c r="AM21" s="199"/>
      <c r="AN21" s="200">
        <v>5433.56</v>
      </c>
      <c r="AP21" s="201">
        <v>99942</v>
      </c>
      <c r="AS21" s="202">
        <f t="shared" si="10"/>
        <v>11</v>
      </c>
    </row>
    <row r="22" spans="1:45" ht="13.5">
      <c r="A22" s="193">
        <v>12</v>
      </c>
      <c r="B22" s="194" t="str">
        <f t="shared" si="8"/>
        <v>CSR 12</v>
      </c>
      <c r="C22" s="194" t="s">
        <v>311</v>
      </c>
      <c r="D22" s="194"/>
      <c r="E22" s="184" t="s">
        <v>325</v>
      </c>
      <c r="F22" s="184"/>
      <c r="G22" s="195">
        <f t="shared" si="0"/>
        <v>28863.15</v>
      </c>
      <c r="H22" s="195"/>
      <c r="I22" s="195">
        <f t="shared" si="9"/>
        <v>31539.543310050001</v>
      </c>
      <c r="J22" s="195"/>
      <c r="K22" s="192"/>
      <c r="L22" s="195">
        <f t="shared" si="1"/>
        <v>2208</v>
      </c>
      <c r="M22" s="195"/>
      <c r="N22" s="195">
        <v>56</v>
      </c>
      <c r="O22" s="195"/>
      <c r="P22" s="195">
        <f>IF(G22&gt;26900,26900*0.0385,G22*0.0385)</f>
        <v>1035.6500000000001</v>
      </c>
      <c r="Q22" s="195" t="s">
        <v>310</v>
      </c>
      <c r="R22" s="195">
        <f t="shared" si="2"/>
        <v>3299.65</v>
      </c>
      <c r="S22" s="195"/>
      <c r="T22" s="195">
        <v>7481.8509443099274</v>
      </c>
      <c r="U22" s="195"/>
      <c r="V22" s="195">
        <f t="shared" si="3"/>
        <v>865.89449999999999</v>
      </c>
      <c r="W22" s="195"/>
      <c r="X22" s="195">
        <f t="shared" si="4"/>
        <v>1154.5260000000001</v>
      </c>
      <c r="Y22" s="195"/>
      <c r="Z22" s="195">
        <v>453.52290556900732</v>
      </c>
      <c r="AA22" s="192"/>
      <c r="AB22" s="195">
        <f t="shared" si="5"/>
        <v>9955.7943498789336</v>
      </c>
      <c r="AC22" s="192"/>
      <c r="AD22" s="196">
        <f>13.38*80</f>
        <v>1070.4000000000001</v>
      </c>
      <c r="AE22" s="196"/>
      <c r="AF22" s="197">
        <v>2080</v>
      </c>
      <c r="AG22" s="192"/>
      <c r="AH22" s="197">
        <f t="shared" si="6"/>
        <v>27830.400000000001</v>
      </c>
      <c r="AI22" s="192"/>
      <c r="AJ22" s="198">
        <v>1032.75</v>
      </c>
      <c r="AK22" s="192"/>
      <c r="AL22" s="191">
        <f t="shared" si="7"/>
        <v>28863.15</v>
      </c>
      <c r="AM22" s="199"/>
      <c r="AN22" s="200">
        <v>28655.98</v>
      </c>
      <c r="AP22" s="201">
        <v>99621</v>
      </c>
      <c r="AS22" s="202">
        <f t="shared" si="10"/>
        <v>12</v>
      </c>
    </row>
    <row r="23" spans="1:45" ht="13.5">
      <c r="A23" s="203">
        <v>13</v>
      </c>
      <c r="B23" s="194" t="str">
        <f t="shared" si="8"/>
        <v>CSR 13</v>
      </c>
      <c r="C23" s="194" t="s">
        <v>305</v>
      </c>
      <c r="D23" s="194"/>
      <c r="E23" s="184" t="s">
        <v>325</v>
      </c>
      <c r="F23" s="184"/>
      <c r="G23" s="195">
        <f t="shared" si="0"/>
        <v>29456.54</v>
      </c>
      <c r="H23" s="195"/>
      <c r="I23" s="195">
        <f t="shared" si="9"/>
        <v>32187.956584580003</v>
      </c>
      <c r="J23" s="195"/>
      <c r="K23" s="192"/>
      <c r="L23" s="195">
        <f t="shared" si="1"/>
        <v>2253</v>
      </c>
      <c r="M23" s="195"/>
      <c r="N23" s="195">
        <v>56</v>
      </c>
      <c r="O23" s="195"/>
      <c r="P23" s="195">
        <f>IF(G23&gt;26900,26900*0.0385,G23*0.0385)</f>
        <v>1035.6500000000001</v>
      </c>
      <c r="Q23" s="195" t="s">
        <v>310</v>
      </c>
      <c r="R23" s="195">
        <f t="shared" si="2"/>
        <v>3344.65</v>
      </c>
      <c r="S23" s="195"/>
      <c r="T23" s="195">
        <v>7481.8509443099274</v>
      </c>
      <c r="U23" s="195"/>
      <c r="V23" s="195">
        <f t="shared" si="3"/>
        <v>883.69619999999998</v>
      </c>
      <c r="W23" s="195"/>
      <c r="X23" s="195">
        <f t="shared" si="4"/>
        <v>1178.2616</v>
      </c>
      <c r="Y23" s="195"/>
      <c r="Z23" s="195">
        <v>453.52290556900732</v>
      </c>
      <c r="AA23" s="192"/>
      <c r="AB23" s="195">
        <f t="shared" si="5"/>
        <v>9997.3316498789336</v>
      </c>
      <c r="AC23" s="192"/>
      <c r="AD23" s="196">
        <f>14*80</f>
        <v>1120</v>
      </c>
      <c r="AE23" s="196"/>
      <c r="AF23" s="197">
        <v>2080</v>
      </c>
      <c r="AG23" s="192"/>
      <c r="AH23" s="197">
        <f t="shared" si="6"/>
        <v>29120</v>
      </c>
      <c r="AI23" s="192"/>
      <c r="AJ23" s="198">
        <v>336.54</v>
      </c>
      <c r="AK23" s="192"/>
      <c r="AL23" s="191">
        <f t="shared" si="7"/>
        <v>29456.54</v>
      </c>
      <c r="AM23" s="199"/>
      <c r="AN23" s="200">
        <v>24532.43</v>
      </c>
      <c r="AP23" s="201">
        <v>99558</v>
      </c>
      <c r="AS23" s="202">
        <f t="shared" si="10"/>
        <v>13</v>
      </c>
    </row>
    <row r="24" spans="1:45" ht="13.5">
      <c r="A24" s="193">
        <v>14</v>
      </c>
      <c r="B24" s="194" t="str">
        <f t="shared" si="8"/>
        <v>CSR 14</v>
      </c>
      <c r="C24" s="194" t="s">
        <v>306</v>
      </c>
      <c r="D24" s="194"/>
      <c r="E24" s="184" t="s">
        <v>324</v>
      </c>
      <c r="F24" s="184"/>
      <c r="G24" s="195">
        <f t="shared" si="0"/>
        <v>25376</v>
      </c>
      <c r="H24" s="195"/>
      <c r="I24" s="195">
        <f t="shared" si="9"/>
        <v>27729.040352</v>
      </c>
      <c r="J24" s="195"/>
      <c r="K24" s="192"/>
      <c r="L24" s="195">
        <f t="shared" si="1"/>
        <v>1941</v>
      </c>
      <c r="M24" s="192"/>
      <c r="N24" s="195">
        <v>56</v>
      </c>
      <c r="O24" s="192"/>
      <c r="P24" s="195">
        <f>IF(G24&gt;20900,20900*0.042,G24*0.042)</f>
        <v>877.80000000000007</v>
      </c>
      <c r="Q24" s="195" t="s">
        <v>307</v>
      </c>
      <c r="R24" s="195">
        <f t="shared" si="2"/>
        <v>2874.8</v>
      </c>
      <c r="S24" s="192"/>
      <c r="T24" s="195">
        <v>7481.8509443099274</v>
      </c>
      <c r="U24" s="192"/>
      <c r="V24" s="195">
        <f t="shared" si="3"/>
        <v>761.28</v>
      </c>
      <c r="W24" s="192"/>
      <c r="X24" s="195">
        <f t="shared" si="4"/>
        <v>1015.0400000000001</v>
      </c>
      <c r="Y24" s="192"/>
      <c r="Z24" s="195">
        <v>453.52290556900732</v>
      </c>
      <c r="AA24" s="192"/>
      <c r="AB24" s="195">
        <f t="shared" si="5"/>
        <v>9711.693849878935</v>
      </c>
      <c r="AC24" s="192"/>
      <c r="AD24" s="196">
        <f>12.2*80</f>
        <v>976</v>
      </c>
      <c r="AE24" s="196"/>
      <c r="AF24" s="197">
        <v>2080</v>
      </c>
      <c r="AG24" s="192"/>
      <c r="AH24" s="197">
        <f t="shared" si="6"/>
        <v>25376</v>
      </c>
      <c r="AI24" s="192"/>
      <c r="AJ24" s="198">
        <v>0</v>
      </c>
      <c r="AK24" s="192"/>
      <c r="AL24" s="191">
        <f t="shared" si="7"/>
        <v>25376</v>
      </c>
      <c r="AM24" s="199"/>
      <c r="AN24" s="200">
        <v>0</v>
      </c>
      <c r="AP24" s="201">
        <v>99967</v>
      </c>
      <c r="AS24" s="202">
        <f t="shared" si="10"/>
        <v>14</v>
      </c>
    </row>
    <row r="25" spans="1:45" ht="13.5">
      <c r="A25" s="193">
        <v>15</v>
      </c>
      <c r="B25" s="194" t="str">
        <f t="shared" si="8"/>
        <v>CSR 15</v>
      </c>
      <c r="C25" s="194" t="s">
        <v>311</v>
      </c>
      <c r="D25" s="194"/>
      <c r="E25" s="184" t="s">
        <v>323</v>
      </c>
      <c r="F25" s="184"/>
      <c r="G25" s="195">
        <f t="shared" si="0"/>
        <v>27188.719999999998</v>
      </c>
      <c r="H25" s="195"/>
      <c r="I25" s="195">
        <f t="shared" si="9"/>
        <v>29709.848439439997</v>
      </c>
      <c r="J25" s="195"/>
      <c r="K25" s="192"/>
      <c r="L25" s="195">
        <f t="shared" si="1"/>
        <v>2080</v>
      </c>
      <c r="M25" s="192"/>
      <c r="N25" s="195">
        <v>56</v>
      </c>
      <c r="O25" s="192"/>
      <c r="P25" s="195">
        <f>IF(G25&gt;8000,8000*0.0458,G25*0.0458)</f>
        <v>366.4</v>
      </c>
      <c r="Q25" s="195" t="s">
        <v>248</v>
      </c>
      <c r="R25" s="195">
        <f t="shared" si="2"/>
        <v>2502.4</v>
      </c>
      <c r="S25" s="192"/>
      <c r="T25" s="195">
        <v>7481.8509443099274</v>
      </c>
      <c r="U25" s="192"/>
      <c r="V25" s="195">
        <f t="shared" si="3"/>
        <v>815.66159999999991</v>
      </c>
      <c r="W25" s="192"/>
      <c r="X25" s="195">
        <f t="shared" si="4"/>
        <v>1087.5488</v>
      </c>
      <c r="Y25" s="192"/>
      <c r="Z25" s="195">
        <v>453.52290556900732</v>
      </c>
      <c r="AA25" s="192"/>
      <c r="AB25" s="195">
        <f t="shared" si="5"/>
        <v>9838.5842498789352</v>
      </c>
      <c r="AC25" s="192"/>
      <c r="AD25" s="196">
        <f>13.01*80</f>
        <v>1040.8</v>
      </c>
      <c r="AE25" s="196"/>
      <c r="AF25" s="197">
        <v>2080</v>
      </c>
      <c r="AG25" s="145"/>
      <c r="AH25" s="197">
        <f t="shared" si="6"/>
        <v>27060.799999999999</v>
      </c>
      <c r="AI25" s="191"/>
      <c r="AJ25" s="198">
        <v>127.92</v>
      </c>
      <c r="AK25" s="191"/>
      <c r="AL25" s="191">
        <f t="shared" si="7"/>
        <v>27188.719999999998</v>
      </c>
      <c r="AM25" s="199"/>
      <c r="AN25" s="200">
        <v>25813.29</v>
      </c>
      <c r="AP25" s="201">
        <v>99624</v>
      </c>
      <c r="AS25" s="202">
        <f t="shared" si="10"/>
        <v>15</v>
      </c>
    </row>
    <row r="26" spans="1:45" ht="13.5">
      <c r="A26" s="193">
        <v>16</v>
      </c>
      <c r="B26" s="194" t="str">
        <f t="shared" si="8"/>
        <v>CSR 16</v>
      </c>
      <c r="C26" s="194" t="s">
        <v>313</v>
      </c>
      <c r="D26" s="194"/>
      <c r="E26" s="184" t="s">
        <v>323</v>
      </c>
      <c r="F26" s="184"/>
      <c r="G26" s="195">
        <f t="shared" si="0"/>
        <v>28045.68</v>
      </c>
      <c r="H26" s="195"/>
      <c r="I26" s="195">
        <f t="shared" si="9"/>
        <v>30646.271769359999</v>
      </c>
      <c r="J26" s="195"/>
      <c r="K26" s="192"/>
      <c r="L26" s="195">
        <f t="shared" si="1"/>
        <v>2145</v>
      </c>
      <c r="M26" s="192"/>
      <c r="N26" s="195">
        <v>56</v>
      </c>
      <c r="O26" s="192"/>
      <c r="P26" s="195">
        <f>IF(G26&gt;8000,8000*0.0458,G26*0.0458)</f>
        <v>366.4</v>
      </c>
      <c r="Q26" s="195" t="s">
        <v>248</v>
      </c>
      <c r="R26" s="195">
        <f t="shared" si="2"/>
        <v>2567.4</v>
      </c>
      <c r="S26" s="192"/>
      <c r="T26" s="195">
        <v>7481.8509443099274</v>
      </c>
      <c r="U26" s="192"/>
      <c r="V26" s="195">
        <f t="shared" si="3"/>
        <v>841.37040000000002</v>
      </c>
      <c r="W26" s="192"/>
      <c r="X26" s="195">
        <f t="shared" si="4"/>
        <v>1121.8271999999999</v>
      </c>
      <c r="Y26" s="192"/>
      <c r="Z26" s="195">
        <v>453.52290556900732</v>
      </c>
      <c r="AA26" s="192"/>
      <c r="AB26" s="195">
        <f t="shared" si="5"/>
        <v>9898.5714498789348</v>
      </c>
      <c r="AC26" s="192"/>
      <c r="AD26" s="196">
        <f>13.26*80</f>
        <v>1060.8</v>
      </c>
      <c r="AE26" s="196"/>
      <c r="AF26" s="197">
        <v>2080</v>
      </c>
      <c r="AG26" s="192"/>
      <c r="AH26" s="197">
        <f t="shared" si="6"/>
        <v>27580.799999999999</v>
      </c>
      <c r="AI26" s="192"/>
      <c r="AJ26" s="198">
        <v>464.88</v>
      </c>
      <c r="AK26" s="192"/>
      <c r="AL26" s="191">
        <f t="shared" si="7"/>
        <v>28045.68</v>
      </c>
      <c r="AM26" s="199"/>
      <c r="AN26" s="200">
        <v>25739.360000000001</v>
      </c>
      <c r="AP26" s="201">
        <v>99644</v>
      </c>
      <c r="AS26" s="202">
        <f t="shared" si="10"/>
        <v>16</v>
      </c>
    </row>
    <row r="27" spans="1:45" ht="13.5">
      <c r="A27" s="193">
        <v>17</v>
      </c>
      <c r="B27" s="194" t="str">
        <f t="shared" si="8"/>
        <v>CSR 17</v>
      </c>
      <c r="C27" s="194" t="s">
        <v>306</v>
      </c>
      <c r="D27" s="194"/>
      <c r="E27" s="184" t="s">
        <v>325</v>
      </c>
      <c r="F27" s="184"/>
      <c r="G27" s="195">
        <f t="shared" si="0"/>
        <v>25299.17</v>
      </c>
      <c r="H27" s="195"/>
      <c r="I27" s="195">
        <f t="shared" si="9"/>
        <v>27645.086136589998</v>
      </c>
      <c r="J27" s="195"/>
      <c r="K27" s="192"/>
      <c r="L27" s="195">
        <f t="shared" si="1"/>
        <v>1935</v>
      </c>
      <c r="M27" s="192"/>
      <c r="N27" s="195">
        <v>56</v>
      </c>
      <c r="O27" s="192"/>
      <c r="P27" s="195">
        <f>IF(G27&gt;26900,26900*0.0385,G27*0.0385)</f>
        <v>974.01804499999992</v>
      </c>
      <c r="Q27" s="195" t="s">
        <v>310</v>
      </c>
      <c r="R27" s="195">
        <f t="shared" si="2"/>
        <v>2965.0180449999998</v>
      </c>
      <c r="S27" s="192"/>
      <c r="T27" s="195">
        <v>7481.8509443099274</v>
      </c>
      <c r="U27" s="192"/>
      <c r="V27" s="195">
        <f t="shared" si="3"/>
        <v>758.97509999999988</v>
      </c>
      <c r="W27" s="192"/>
      <c r="X27" s="195">
        <f t="shared" si="4"/>
        <v>1011.9667999999999</v>
      </c>
      <c r="Y27" s="192"/>
      <c r="Z27" s="195">
        <v>453.52290556900732</v>
      </c>
      <c r="AA27" s="192"/>
      <c r="AB27" s="195">
        <f t="shared" si="5"/>
        <v>9706.3157498789351</v>
      </c>
      <c r="AC27" s="192"/>
      <c r="AD27" s="196">
        <f>12.02*80</f>
        <v>961.59999999999991</v>
      </c>
      <c r="AE27" s="196"/>
      <c r="AF27" s="197">
        <v>2080</v>
      </c>
      <c r="AG27" s="192"/>
      <c r="AH27" s="197">
        <f t="shared" si="6"/>
        <v>25001.599999999999</v>
      </c>
      <c r="AI27" s="192"/>
      <c r="AJ27" s="198">
        <v>297.57</v>
      </c>
      <c r="AK27" s="192"/>
      <c r="AL27" s="191">
        <f t="shared" si="7"/>
        <v>25299.17</v>
      </c>
      <c r="AM27" s="199"/>
      <c r="AN27" s="200">
        <v>11836.75</v>
      </c>
      <c r="AP27" s="201">
        <v>99771</v>
      </c>
      <c r="AS27" s="202">
        <f t="shared" si="10"/>
        <v>17</v>
      </c>
    </row>
    <row r="28" spans="1:45" ht="13.5">
      <c r="A28" s="193">
        <v>18</v>
      </c>
      <c r="B28" s="194" t="str">
        <f t="shared" si="8"/>
        <v>CSR 18</v>
      </c>
      <c r="C28" s="194" t="s">
        <v>305</v>
      </c>
      <c r="D28" s="194"/>
      <c r="E28" s="184" t="s">
        <v>323</v>
      </c>
      <c r="F28" s="184"/>
      <c r="G28" s="195">
        <f t="shared" si="0"/>
        <v>29031.51</v>
      </c>
      <c r="H28" s="195"/>
      <c r="I28" s="195">
        <f t="shared" si="9"/>
        <v>31723.514827769999</v>
      </c>
      <c r="J28" s="195"/>
      <c r="K28" s="192"/>
      <c r="L28" s="195">
        <f t="shared" si="1"/>
        <v>2221</v>
      </c>
      <c r="M28" s="192"/>
      <c r="N28" s="195">
        <v>56</v>
      </c>
      <c r="O28" s="192"/>
      <c r="P28" s="195">
        <f>IF(G28&gt;8000,8000*0.0458,G28*0.0458)</f>
        <v>366.4</v>
      </c>
      <c r="Q28" s="195" t="s">
        <v>248</v>
      </c>
      <c r="R28" s="195">
        <f t="shared" si="2"/>
        <v>2643.4</v>
      </c>
      <c r="S28" s="192"/>
      <c r="T28" s="195">
        <v>7481.8509443099274</v>
      </c>
      <c r="U28" s="192"/>
      <c r="V28" s="195">
        <f t="shared" si="3"/>
        <v>870.94529999999997</v>
      </c>
      <c r="W28" s="192"/>
      <c r="X28" s="195">
        <f t="shared" si="4"/>
        <v>1161.2603999999999</v>
      </c>
      <c r="Y28" s="192"/>
      <c r="Z28" s="195">
        <v>453.52290556900732</v>
      </c>
      <c r="AA28" s="192"/>
      <c r="AB28" s="195">
        <f t="shared" si="5"/>
        <v>9967.5795498789339</v>
      </c>
      <c r="AC28" s="192"/>
      <c r="AD28" s="196">
        <f>13.5*80</f>
        <v>1080</v>
      </c>
      <c r="AE28" s="196"/>
      <c r="AF28" s="197">
        <v>2080</v>
      </c>
      <c r="AG28" s="192"/>
      <c r="AH28" s="197">
        <f t="shared" si="6"/>
        <v>28080</v>
      </c>
      <c r="AI28" s="192"/>
      <c r="AJ28" s="198">
        <v>951.51</v>
      </c>
      <c r="AK28" s="192"/>
      <c r="AL28" s="191">
        <f t="shared" si="7"/>
        <v>29031.51</v>
      </c>
      <c r="AM28" s="199"/>
      <c r="AN28" s="200">
        <v>20687.34</v>
      </c>
      <c r="AP28" s="201">
        <v>99543</v>
      </c>
      <c r="AS28" s="202">
        <f t="shared" si="10"/>
        <v>18</v>
      </c>
    </row>
    <row r="29" spans="1:45" ht="13.5">
      <c r="A29" s="193">
        <v>19</v>
      </c>
      <c r="B29" s="194" t="str">
        <f t="shared" si="8"/>
        <v>CSR 19</v>
      </c>
      <c r="C29" s="194" t="s">
        <v>306</v>
      </c>
      <c r="D29" s="194"/>
      <c r="E29" s="184" t="s">
        <v>323</v>
      </c>
      <c r="F29" s="184"/>
      <c r="G29" s="195">
        <f t="shared" si="0"/>
        <v>25828.460000000003</v>
      </c>
      <c r="H29" s="195"/>
      <c r="I29" s="195">
        <f t="shared" si="9"/>
        <v>28223.455610420002</v>
      </c>
      <c r="J29" s="195"/>
      <c r="K29" s="192"/>
      <c r="L29" s="195">
        <f t="shared" si="1"/>
        <v>1976</v>
      </c>
      <c r="M29" s="192"/>
      <c r="N29" s="195">
        <v>56</v>
      </c>
      <c r="O29" s="192"/>
      <c r="P29" s="195">
        <f>IF(G29&gt;8000,8000*0.0458,G29*0.0458)</f>
        <v>366.4</v>
      </c>
      <c r="Q29" s="195" t="s">
        <v>248</v>
      </c>
      <c r="R29" s="195">
        <f t="shared" si="2"/>
        <v>2398.4</v>
      </c>
      <c r="S29" s="192"/>
      <c r="T29" s="195">
        <v>7481.8509443099274</v>
      </c>
      <c r="U29" s="192"/>
      <c r="V29" s="195">
        <f t="shared" si="3"/>
        <v>774.85380000000009</v>
      </c>
      <c r="W29" s="192"/>
      <c r="X29" s="195">
        <f t="shared" si="4"/>
        <v>1033.1384</v>
      </c>
      <c r="Y29" s="192"/>
      <c r="Z29" s="195">
        <v>453.52290556900732</v>
      </c>
      <c r="AA29" s="192"/>
      <c r="AB29" s="195">
        <f t="shared" si="5"/>
        <v>9743.3660498789341</v>
      </c>
      <c r="AC29" s="192"/>
      <c r="AD29" s="196">
        <f>12.32*80</f>
        <v>985.6</v>
      </c>
      <c r="AE29" s="196"/>
      <c r="AF29" s="197">
        <v>2080</v>
      </c>
      <c r="AG29" s="192"/>
      <c r="AH29" s="197">
        <f t="shared" si="6"/>
        <v>25625.600000000002</v>
      </c>
      <c r="AI29" s="192"/>
      <c r="AJ29" s="198">
        <v>202.86</v>
      </c>
      <c r="AK29" s="192"/>
      <c r="AL29" s="191">
        <f t="shared" si="7"/>
        <v>25828.460000000003</v>
      </c>
      <c r="AM29" s="199"/>
      <c r="AN29" s="200">
        <v>7311.19</v>
      </c>
      <c r="AP29" s="201">
        <v>99926</v>
      </c>
      <c r="AS29" s="202">
        <f t="shared" si="10"/>
        <v>19</v>
      </c>
    </row>
    <row r="30" spans="1:45" ht="13.5">
      <c r="A30" s="203">
        <v>20</v>
      </c>
      <c r="B30" s="194" t="str">
        <f t="shared" si="8"/>
        <v>CSR 20</v>
      </c>
      <c r="C30" s="194" t="s">
        <v>306</v>
      </c>
      <c r="D30" s="194"/>
      <c r="E30" s="184" t="s">
        <v>323</v>
      </c>
      <c r="F30" s="184"/>
      <c r="G30" s="195">
        <f t="shared" si="0"/>
        <v>27554.070000000003</v>
      </c>
      <c r="H30" s="195"/>
      <c r="I30" s="195">
        <f t="shared" si="9"/>
        <v>30109.076248890004</v>
      </c>
      <c r="J30" s="195"/>
      <c r="K30" s="192"/>
      <c r="L30" s="195">
        <f t="shared" si="1"/>
        <v>2108</v>
      </c>
      <c r="M30" s="192"/>
      <c r="N30" s="195">
        <v>56</v>
      </c>
      <c r="O30" s="192"/>
      <c r="P30" s="195">
        <f>IF(G30&gt;8000,8000*0.0458,G30*0.0458)</f>
        <v>366.4</v>
      </c>
      <c r="Q30" s="195" t="s">
        <v>248</v>
      </c>
      <c r="R30" s="195">
        <f t="shared" si="2"/>
        <v>2530.4</v>
      </c>
      <c r="S30" s="192"/>
      <c r="T30" s="195">
        <v>7481.8509443099274</v>
      </c>
      <c r="U30" s="192"/>
      <c r="V30" s="195">
        <f t="shared" si="3"/>
        <v>826.62210000000005</v>
      </c>
      <c r="W30" s="192"/>
      <c r="X30" s="195">
        <f t="shared" si="4"/>
        <v>1102.1628000000001</v>
      </c>
      <c r="Y30" s="192"/>
      <c r="Z30" s="195">
        <v>453.52290556900732</v>
      </c>
      <c r="AA30" s="192"/>
      <c r="AB30" s="195">
        <f t="shared" si="5"/>
        <v>9864.158749878934</v>
      </c>
      <c r="AC30" s="192"/>
      <c r="AD30" s="196">
        <f>13.08*80</f>
        <v>1046.4000000000001</v>
      </c>
      <c r="AE30" s="196"/>
      <c r="AF30" s="197">
        <v>2080</v>
      </c>
      <c r="AG30" s="192"/>
      <c r="AH30" s="197">
        <f t="shared" si="6"/>
        <v>27206.400000000005</v>
      </c>
      <c r="AI30" s="192"/>
      <c r="AJ30" s="198">
        <v>347.67</v>
      </c>
      <c r="AK30" s="192"/>
      <c r="AL30" s="191">
        <f t="shared" si="7"/>
        <v>27554.070000000003</v>
      </c>
      <c r="AM30" s="199"/>
      <c r="AN30" s="200">
        <v>24702.9</v>
      </c>
      <c r="AP30" s="201">
        <v>99650</v>
      </c>
      <c r="AS30" s="202">
        <f t="shared" si="10"/>
        <v>20</v>
      </c>
    </row>
    <row r="31" spans="1:45" ht="13.5">
      <c r="A31" s="193">
        <v>21</v>
      </c>
      <c r="B31" s="194" t="str">
        <f t="shared" si="8"/>
        <v>CSR 21</v>
      </c>
      <c r="C31" s="194" t="s">
        <v>314</v>
      </c>
      <c r="D31" s="194"/>
      <c r="E31" s="184" t="s">
        <v>323</v>
      </c>
      <c r="F31" s="184"/>
      <c r="G31" s="195">
        <f t="shared" si="0"/>
        <v>48299.040000000001</v>
      </c>
      <c r="H31" s="195"/>
      <c r="I31" s="195">
        <f t="shared" si="9"/>
        <v>52777.665082079999</v>
      </c>
      <c r="J31" s="195"/>
      <c r="K31" s="192"/>
      <c r="L31" s="195">
        <f t="shared" si="1"/>
        <v>3695</v>
      </c>
      <c r="M31" s="192"/>
      <c r="N31" s="195">
        <v>56</v>
      </c>
      <c r="O31" s="192"/>
      <c r="P31" s="195">
        <f>IF(G31&gt;8000,8000*0.0458,G31*0.0458)</f>
        <v>366.4</v>
      </c>
      <c r="Q31" s="195" t="s">
        <v>248</v>
      </c>
      <c r="R31" s="195">
        <f t="shared" si="2"/>
        <v>4117.3999999999996</v>
      </c>
      <c r="S31" s="192"/>
      <c r="T31" s="195">
        <v>7481.8509443099274</v>
      </c>
      <c r="U31" s="192"/>
      <c r="V31" s="195">
        <f t="shared" si="3"/>
        <v>1448.9712</v>
      </c>
      <c r="W31" s="192"/>
      <c r="X31" s="195">
        <f t="shared" si="4"/>
        <v>1931.9616000000001</v>
      </c>
      <c r="Y31" s="192"/>
      <c r="Z31" s="195">
        <v>453.52290556900732</v>
      </c>
      <c r="AA31" s="192"/>
      <c r="AB31" s="195">
        <f t="shared" si="5"/>
        <v>11316.306649878936</v>
      </c>
      <c r="AC31" s="192"/>
      <c r="AD31" s="196">
        <v>2012.46</v>
      </c>
      <c r="AE31" s="196"/>
      <c r="AF31" s="197">
        <v>86.67</v>
      </c>
      <c r="AG31" s="192"/>
      <c r="AH31" s="197">
        <f t="shared" si="6"/>
        <v>48299.040000000001</v>
      </c>
      <c r="AI31" s="192"/>
      <c r="AJ31" s="198">
        <v>0</v>
      </c>
      <c r="AK31" s="192"/>
      <c r="AL31" s="191">
        <f t="shared" si="7"/>
        <v>48299.040000000001</v>
      </c>
      <c r="AM31" s="199"/>
      <c r="AN31" s="200">
        <v>42736.01</v>
      </c>
      <c r="AP31" s="201">
        <v>98717</v>
      </c>
      <c r="AS31" s="202">
        <f t="shared" si="10"/>
        <v>21</v>
      </c>
    </row>
    <row r="32" spans="1:45" ht="13.5">
      <c r="A32" s="193">
        <v>22</v>
      </c>
      <c r="B32" s="194" t="str">
        <f t="shared" si="8"/>
        <v>CSR 22</v>
      </c>
      <c r="C32" s="194" t="s">
        <v>306</v>
      </c>
      <c r="D32" s="194"/>
      <c r="E32" s="184" t="s">
        <v>323</v>
      </c>
      <c r="F32" s="184"/>
      <c r="G32" s="195">
        <f t="shared" si="0"/>
        <v>26211.65</v>
      </c>
      <c r="H32" s="195"/>
      <c r="I32" s="195">
        <f t="shared" si="9"/>
        <v>28642.177669550001</v>
      </c>
      <c r="J32" s="195"/>
      <c r="K32" s="192"/>
      <c r="L32" s="195">
        <f t="shared" si="1"/>
        <v>2005</v>
      </c>
      <c r="M32" s="192"/>
      <c r="N32" s="195">
        <v>56</v>
      </c>
      <c r="O32" s="192"/>
      <c r="P32" s="195">
        <f>IF(G32&gt;8000,8000*0.0458,G32*0.0458)</f>
        <v>366.4</v>
      </c>
      <c r="Q32" s="195" t="s">
        <v>248</v>
      </c>
      <c r="R32" s="195">
        <f t="shared" si="2"/>
        <v>2427.4</v>
      </c>
      <c r="S32" s="192"/>
      <c r="T32" s="195">
        <v>7481.8509443099274</v>
      </c>
      <c r="U32" s="192"/>
      <c r="V32" s="195">
        <f t="shared" si="3"/>
        <v>786.34950000000003</v>
      </c>
      <c r="W32" s="192"/>
      <c r="X32" s="195">
        <f t="shared" si="4"/>
        <v>1048.4660000000001</v>
      </c>
      <c r="Y32" s="192"/>
      <c r="Z32" s="195">
        <v>453.52290556900732</v>
      </c>
      <c r="AA32" s="192"/>
      <c r="AB32" s="195">
        <f t="shared" si="5"/>
        <v>9770.1893498789341</v>
      </c>
      <c r="AC32" s="192"/>
      <c r="AD32" s="196">
        <f>12.32*80</f>
        <v>985.6</v>
      </c>
      <c r="AE32" s="196"/>
      <c r="AF32" s="197">
        <v>2080</v>
      </c>
      <c r="AG32" s="192"/>
      <c r="AH32" s="197">
        <f t="shared" si="6"/>
        <v>25625.600000000002</v>
      </c>
      <c r="AI32" s="192"/>
      <c r="AJ32" s="198">
        <v>586.04999999999995</v>
      </c>
      <c r="AK32" s="192"/>
      <c r="AL32" s="191">
        <f t="shared" si="7"/>
        <v>26211.65</v>
      </c>
      <c r="AM32" s="199"/>
      <c r="AN32" s="200">
        <v>16511.830000000002</v>
      </c>
      <c r="AP32" s="201">
        <v>99760</v>
      </c>
      <c r="AS32" s="202">
        <f t="shared" si="10"/>
        <v>22</v>
      </c>
    </row>
    <row r="33" spans="1:45" ht="13.5">
      <c r="A33" s="193">
        <v>23</v>
      </c>
      <c r="B33" s="194" t="str">
        <f t="shared" si="8"/>
        <v>CSR 23</v>
      </c>
      <c r="C33" s="194" t="s">
        <v>315</v>
      </c>
      <c r="D33" s="194"/>
      <c r="E33" s="184" t="s">
        <v>324</v>
      </c>
      <c r="F33" s="184"/>
      <c r="G33" s="195">
        <f t="shared" si="0"/>
        <v>35926.29</v>
      </c>
      <c r="H33" s="195"/>
      <c r="I33" s="195">
        <f t="shared" si="9"/>
        <v>39257.62709283</v>
      </c>
      <c r="J33" s="195"/>
      <c r="K33" s="192"/>
      <c r="L33" s="195">
        <f t="shared" si="1"/>
        <v>2748</v>
      </c>
      <c r="M33" s="192"/>
      <c r="N33" s="195">
        <v>56</v>
      </c>
      <c r="O33" s="192"/>
      <c r="P33" s="195">
        <f>IF(G33&gt;20900,20900*0.042,G33*0.042)</f>
        <v>877.80000000000007</v>
      </c>
      <c r="Q33" s="195" t="s">
        <v>307</v>
      </c>
      <c r="R33" s="195">
        <f t="shared" si="2"/>
        <v>3681.8</v>
      </c>
      <c r="S33" s="192"/>
      <c r="T33" s="195">
        <v>7481.8509443099274</v>
      </c>
      <c r="U33" s="192"/>
      <c r="V33" s="195">
        <f t="shared" si="3"/>
        <v>1077.7887000000001</v>
      </c>
      <c r="W33" s="192"/>
      <c r="X33" s="195">
        <f t="shared" si="4"/>
        <v>1437.0516</v>
      </c>
      <c r="Y33" s="192"/>
      <c r="Z33" s="195">
        <v>453.52290556900732</v>
      </c>
      <c r="AA33" s="192"/>
      <c r="AB33" s="195">
        <f t="shared" si="5"/>
        <v>10450.214149878935</v>
      </c>
      <c r="AC33" s="192"/>
      <c r="AD33" s="196">
        <v>1483.75</v>
      </c>
      <c r="AE33" s="196"/>
      <c r="AF33" s="197">
        <v>86.67</v>
      </c>
      <c r="AG33" s="192"/>
      <c r="AH33" s="197">
        <f t="shared" si="6"/>
        <v>35610</v>
      </c>
      <c r="AI33" s="192"/>
      <c r="AJ33" s="198">
        <v>316.29000000000002</v>
      </c>
      <c r="AK33" s="192"/>
      <c r="AL33" s="191">
        <f t="shared" si="7"/>
        <v>35926.29</v>
      </c>
      <c r="AM33" s="199"/>
      <c r="AN33" s="200">
        <v>31947.58</v>
      </c>
      <c r="AP33" s="201">
        <v>98953</v>
      </c>
      <c r="AS33" s="202">
        <f t="shared" si="10"/>
        <v>23</v>
      </c>
    </row>
    <row r="34" spans="1:45" ht="13.5">
      <c r="A34" s="193">
        <v>24</v>
      </c>
      <c r="B34" s="194" t="str">
        <f t="shared" si="8"/>
        <v>CSR 24</v>
      </c>
      <c r="C34" s="194" t="s">
        <v>305</v>
      </c>
      <c r="D34" s="194"/>
      <c r="E34" s="184" t="s">
        <v>324</v>
      </c>
      <c r="F34" s="184"/>
      <c r="G34" s="195">
        <f t="shared" si="0"/>
        <v>31101.05</v>
      </c>
      <c r="H34" s="195"/>
      <c r="I34" s="195">
        <f t="shared" si="9"/>
        <v>33984.957063349997</v>
      </c>
      <c r="J34" s="195"/>
      <c r="K34" s="192"/>
      <c r="L34" s="195">
        <f t="shared" si="1"/>
        <v>2379</v>
      </c>
      <c r="M34" s="192"/>
      <c r="N34" s="195">
        <v>56</v>
      </c>
      <c r="O34" s="192"/>
      <c r="P34" s="195">
        <f>IF(G34&gt;20900,20900*0.042,G34*0.042)</f>
        <v>877.80000000000007</v>
      </c>
      <c r="Q34" s="195" t="s">
        <v>307</v>
      </c>
      <c r="R34" s="195">
        <f t="shared" si="2"/>
        <v>3312.8</v>
      </c>
      <c r="S34" s="192"/>
      <c r="T34" s="195">
        <v>7481.8509443099274</v>
      </c>
      <c r="U34" s="192"/>
      <c r="V34" s="195">
        <f t="shared" si="3"/>
        <v>933.03149999999994</v>
      </c>
      <c r="W34" s="192"/>
      <c r="X34" s="195">
        <f t="shared" si="4"/>
        <v>1244.0419999999999</v>
      </c>
      <c r="Y34" s="192"/>
      <c r="Z34" s="195">
        <v>453.52290556900732</v>
      </c>
      <c r="AA34" s="192"/>
      <c r="AB34" s="195">
        <f t="shared" si="5"/>
        <v>10112.447349878934</v>
      </c>
      <c r="AC34" s="192"/>
      <c r="AD34" s="196">
        <f>14.9*80</f>
        <v>1192</v>
      </c>
      <c r="AE34" s="196"/>
      <c r="AF34" s="197">
        <v>2080</v>
      </c>
      <c r="AG34" s="192"/>
      <c r="AH34" s="197">
        <f t="shared" si="6"/>
        <v>30992</v>
      </c>
      <c r="AI34" s="192"/>
      <c r="AJ34" s="198">
        <v>109.05000000000001</v>
      </c>
      <c r="AK34" s="192"/>
      <c r="AL34" s="191">
        <f t="shared" si="7"/>
        <v>31101.05</v>
      </c>
      <c r="AM34" s="199"/>
      <c r="AN34" s="200">
        <v>26565.48</v>
      </c>
      <c r="AP34" s="201">
        <v>99290</v>
      </c>
      <c r="AS34" s="202">
        <f t="shared" si="10"/>
        <v>24</v>
      </c>
    </row>
    <row r="35" spans="1:45" ht="13.5">
      <c r="A35" s="193">
        <v>25</v>
      </c>
      <c r="B35" s="194" t="str">
        <f t="shared" si="8"/>
        <v>CSR 25</v>
      </c>
      <c r="C35" s="194" t="s">
        <v>306</v>
      </c>
      <c r="D35" s="194"/>
      <c r="E35" s="184" t="s">
        <v>323</v>
      </c>
      <c r="F35" s="184"/>
      <c r="G35" s="195">
        <f t="shared" si="0"/>
        <v>25480</v>
      </c>
      <c r="H35" s="195"/>
      <c r="I35" s="195">
        <f t="shared" si="9"/>
        <v>27842.683959999998</v>
      </c>
      <c r="J35" s="195"/>
      <c r="K35" s="192"/>
      <c r="L35" s="195">
        <f t="shared" si="1"/>
        <v>1949</v>
      </c>
      <c r="M35" s="192"/>
      <c r="N35" s="195">
        <v>56</v>
      </c>
      <c r="O35" s="192"/>
      <c r="P35" s="195">
        <f>IF(G35&gt;8000,8000*0.0458,G35*0.0458)</f>
        <v>366.4</v>
      </c>
      <c r="Q35" s="195" t="s">
        <v>248</v>
      </c>
      <c r="R35" s="195">
        <f t="shared" si="2"/>
        <v>2371.4</v>
      </c>
      <c r="S35" s="192"/>
      <c r="T35" s="195">
        <v>7481.8509443099274</v>
      </c>
      <c r="U35" s="192"/>
      <c r="V35" s="195">
        <f t="shared" si="3"/>
        <v>764.4</v>
      </c>
      <c r="W35" s="192"/>
      <c r="X35" s="195">
        <f t="shared" si="4"/>
        <v>1019.2</v>
      </c>
      <c r="Y35" s="192"/>
      <c r="Z35" s="195">
        <v>453.52290556900732</v>
      </c>
      <c r="AA35" s="192"/>
      <c r="AB35" s="195">
        <f t="shared" si="5"/>
        <v>9718.9738498789357</v>
      </c>
      <c r="AC35" s="192"/>
      <c r="AD35" s="196">
        <f>12.25*80</f>
        <v>980</v>
      </c>
      <c r="AE35" s="196"/>
      <c r="AF35" s="197">
        <v>2080</v>
      </c>
      <c r="AG35" s="192"/>
      <c r="AH35" s="197">
        <f t="shared" si="6"/>
        <v>25480</v>
      </c>
      <c r="AI35" s="192"/>
      <c r="AJ35" s="198">
        <v>0</v>
      </c>
      <c r="AK35" s="192"/>
      <c r="AL35" s="191">
        <f t="shared" si="7"/>
        <v>25480</v>
      </c>
      <c r="AM35" s="199"/>
      <c r="AN35" s="200">
        <v>0</v>
      </c>
      <c r="AP35" s="201">
        <v>99979</v>
      </c>
      <c r="AS35" s="202">
        <f t="shared" si="10"/>
        <v>25</v>
      </c>
    </row>
    <row r="36" spans="1:45" ht="13.5">
      <c r="A36" s="193">
        <v>26</v>
      </c>
      <c r="B36" s="194" t="str">
        <f t="shared" si="8"/>
        <v>CSR 26</v>
      </c>
      <c r="C36" s="194" t="s">
        <v>316</v>
      </c>
      <c r="D36" s="194"/>
      <c r="E36" s="184" t="s">
        <v>323</v>
      </c>
      <c r="F36" s="184"/>
      <c r="G36" s="195">
        <f t="shared" si="0"/>
        <v>100338.72</v>
      </c>
      <c r="H36" s="195"/>
      <c r="I36" s="195">
        <f t="shared" si="9"/>
        <v>109642.82848944</v>
      </c>
      <c r="J36" s="195"/>
      <c r="K36" s="192"/>
      <c r="L36" s="195">
        <f t="shared" si="1"/>
        <v>7676</v>
      </c>
      <c r="M36" s="192"/>
      <c r="N36" s="195">
        <v>56</v>
      </c>
      <c r="O36" s="192"/>
      <c r="P36" s="195">
        <f>IF(G36&gt;8000,8000*0.0458,G36*0.0458)</f>
        <v>366.4</v>
      </c>
      <c r="Q36" s="195" t="s">
        <v>248</v>
      </c>
      <c r="R36" s="195">
        <f t="shared" si="2"/>
        <v>8098.4</v>
      </c>
      <c r="S36" s="192"/>
      <c r="T36" s="195">
        <v>7481.8509443099274</v>
      </c>
      <c r="U36" s="192"/>
      <c r="V36" s="195">
        <f t="shared" si="3"/>
        <v>3010.1615999999999</v>
      </c>
      <c r="W36" s="192"/>
      <c r="X36" s="195">
        <f t="shared" si="4"/>
        <v>4013.5488</v>
      </c>
      <c r="Y36" s="192"/>
      <c r="Z36" s="195">
        <v>453.52290556900732</v>
      </c>
      <c r="AA36" s="192"/>
      <c r="AB36" s="195">
        <f t="shared" si="5"/>
        <v>14959.084249878935</v>
      </c>
      <c r="AC36" s="192"/>
      <c r="AD36" s="196">
        <v>4180.78</v>
      </c>
      <c r="AE36" s="196"/>
      <c r="AF36" s="197">
        <v>86.67</v>
      </c>
      <c r="AG36" s="192"/>
      <c r="AH36" s="197">
        <f t="shared" si="6"/>
        <v>100338.72</v>
      </c>
      <c r="AI36" s="192"/>
      <c r="AJ36" s="198">
        <v>0</v>
      </c>
      <c r="AK36" s="192"/>
      <c r="AL36" s="191">
        <f t="shared" si="7"/>
        <v>100338.72</v>
      </c>
      <c r="AM36" s="199"/>
      <c r="AN36" s="200">
        <v>182379.1</v>
      </c>
      <c r="AP36" s="201">
        <v>99714</v>
      </c>
      <c r="AS36" s="202">
        <f t="shared" si="10"/>
        <v>26</v>
      </c>
    </row>
    <row r="37" spans="1:45" ht="13.5">
      <c r="A37" s="193">
        <v>27</v>
      </c>
      <c r="B37" s="194" t="str">
        <f t="shared" si="8"/>
        <v>CSR 27</v>
      </c>
      <c r="C37" s="194" t="s">
        <v>317</v>
      </c>
      <c r="D37" s="194"/>
      <c r="E37" s="184" t="s">
        <v>323</v>
      </c>
      <c r="F37" s="184"/>
      <c r="G37" s="195">
        <f t="shared" si="0"/>
        <v>58240.08</v>
      </c>
      <c r="H37" s="195"/>
      <c r="I37" s="195">
        <f t="shared" si="9"/>
        <v>63640.507898160002</v>
      </c>
      <c r="J37" s="195"/>
      <c r="K37" s="192"/>
      <c r="L37" s="195">
        <f t="shared" si="1"/>
        <v>4455</v>
      </c>
      <c r="M37" s="192"/>
      <c r="N37" s="195">
        <v>56</v>
      </c>
      <c r="O37" s="192"/>
      <c r="P37" s="195">
        <f>IF(G37&gt;8000,8000*0.0458,G37*0.0458)</f>
        <v>366.4</v>
      </c>
      <c r="Q37" s="195" t="s">
        <v>248</v>
      </c>
      <c r="R37" s="195">
        <f t="shared" si="2"/>
        <v>4877.3999999999996</v>
      </c>
      <c r="S37" s="192"/>
      <c r="T37" s="195">
        <v>7481.8509443099274</v>
      </c>
      <c r="U37" s="192"/>
      <c r="V37" s="195">
        <f t="shared" si="3"/>
        <v>1747.2023999999999</v>
      </c>
      <c r="W37" s="192"/>
      <c r="X37" s="195">
        <f t="shared" si="4"/>
        <v>2329.6032</v>
      </c>
      <c r="Y37" s="192"/>
      <c r="Z37" s="195">
        <v>453.52290556900732</v>
      </c>
      <c r="AA37" s="192"/>
      <c r="AB37" s="195">
        <f t="shared" si="5"/>
        <v>12012.179449878933</v>
      </c>
      <c r="AC37" s="192"/>
      <c r="AD37" s="196">
        <v>2426.67</v>
      </c>
      <c r="AE37" s="196"/>
      <c r="AF37" s="197">
        <v>86.67</v>
      </c>
      <c r="AG37" s="192"/>
      <c r="AH37" s="197">
        <f t="shared" si="6"/>
        <v>58240.08</v>
      </c>
      <c r="AI37" s="192"/>
      <c r="AJ37" s="198">
        <v>0</v>
      </c>
      <c r="AK37" s="192"/>
      <c r="AL37" s="191">
        <f t="shared" si="7"/>
        <v>58240.08</v>
      </c>
      <c r="AM37" s="199"/>
      <c r="AN37" s="200">
        <v>27659.01</v>
      </c>
      <c r="AP37" s="201">
        <v>99708</v>
      </c>
      <c r="AS37" s="202">
        <f t="shared" si="10"/>
        <v>27</v>
      </c>
    </row>
    <row r="38" spans="1:45" ht="13.5">
      <c r="A38" s="203">
        <v>28</v>
      </c>
      <c r="B38" s="194" t="str">
        <f t="shared" si="8"/>
        <v>CSR 28</v>
      </c>
      <c r="C38" s="194" t="s">
        <v>314</v>
      </c>
      <c r="D38" s="194"/>
      <c r="E38" s="184" t="s">
        <v>324</v>
      </c>
      <c r="F38" s="184"/>
      <c r="G38" s="195">
        <f t="shared" si="0"/>
        <v>46170.96</v>
      </c>
      <c r="H38" s="195"/>
      <c r="I38" s="195">
        <f t="shared" si="9"/>
        <v>50452.254607919996</v>
      </c>
      <c r="J38" s="195"/>
      <c r="K38" s="192"/>
      <c r="L38" s="195">
        <f t="shared" si="1"/>
        <v>3532</v>
      </c>
      <c r="M38" s="192"/>
      <c r="N38" s="195">
        <v>56</v>
      </c>
      <c r="O38" s="192"/>
      <c r="P38" s="195">
        <f>IF(G38&gt;20900,20900*0.042,G38*0.042)</f>
        <v>877.80000000000007</v>
      </c>
      <c r="Q38" s="195" t="s">
        <v>307</v>
      </c>
      <c r="R38" s="195">
        <f t="shared" si="2"/>
        <v>4465.8</v>
      </c>
      <c r="S38" s="192"/>
      <c r="T38" s="195">
        <v>7481.8509443099274</v>
      </c>
      <c r="U38" s="192"/>
      <c r="V38" s="195">
        <f t="shared" si="3"/>
        <v>1385.1288</v>
      </c>
      <c r="W38" s="192"/>
      <c r="X38" s="195">
        <f t="shared" si="4"/>
        <v>1846.8384000000001</v>
      </c>
      <c r="Y38" s="192"/>
      <c r="Z38" s="195">
        <v>453.52290556900732</v>
      </c>
      <c r="AA38" s="192"/>
      <c r="AB38" s="195">
        <f t="shared" si="5"/>
        <v>11167.341049878934</v>
      </c>
      <c r="AC38" s="192"/>
      <c r="AD38" s="196">
        <v>1923.79</v>
      </c>
      <c r="AE38" s="196"/>
      <c r="AF38" s="197">
        <v>86.67</v>
      </c>
      <c r="AG38" s="192"/>
      <c r="AH38" s="197">
        <f t="shared" si="6"/>
        <v>46170.96</v>
      </c>
      <c r="AI38" s="192"/>
      <c r="AJ38" s="198">
        <v>0</v>
      </c>
      <c r="AK38" s="192"/>
      <c r="AL38" s="191">
        <f t="shared" si="7"/>
        <v>46170.96</v>
      </c>
      <c r="AM38" s="199"/>
      <c r="AN38" s="200">
        <v>40415.18</v>
      </c>
      <c r="AP38" s="201">
        <v>98875</v>
      </c>
      <c r="AS38" s="202">
        <f t="shared" si="10"/>
        <v>28</v>
      </c>
    </row>
    <row r="39" spans="1:45" ht="13.5">
      <c r="A39" s="193">
        <v>29</v>
      </c>
      <c r="B39" s="194" t="str">
        <f t="shared" si="8"/>
        <v>CSR 29</v>
      </c>
      <c r="C39" s="194" t="s">
        <v>306</v>
      </c>
      <c r="D39" s="194"/>
      <c r="E39" s="184" t="s">
        <v>324</v>
      </c>
      <c r="F39" s="184"/>
      <c r="G39" s="195">
        <f t="shared" si="0"/>
        <v>26038.880000000001</v>
      </c>
      <c r="H39" s="195"/>
      <c r="I39" s="195">
        <f t="shared" si="9"/>
        <v>28453.387225760001</v>
      </c>
      <c r="J39" s="195"/>
      <c r="K39" s="192"/>
      <c r="L39" s="195">
        <f t="shared" si="1"/>
        <v>1992</v>
      </c>
      <c r="M39" s="192"/>
      <c r="N39" s="195">
        <v>56</v>
      </c>
      <c r="O39" s="192"/>
      <c r="P39" s="195">
        <f>IF(G39&gt;20900,20900*0.042,G39*0.042)</f>
        <v>877.80000000000007</v>
      </c>
      <c r="Q39" s="195" t="s">
        <v>307</v>
      </c>
      <c r="R39" s="195">
        <f t="shared" si="2"/>
        <v>2925.8</v>
      </c>
      <c r="S39" s="192"/>
      <c r="T39" s="195">
        <v>7481.8509443099274</v>
      </c>
      <c r="U39" s="192"/>
      <c r="V39" s="195">
        <f t="shared" si="3"/>
        <v>781.16639999999995</v>
      </c>
      <c r="W39" s="192"/>
      <c r="X39" s="195">
        <f t="shared" si="4"/>
        <v>1041.5552</v>
      </c>
      <c r="Y39" s="192"/>
      <c r="Z39" s="195">
        <v>453.52290556900732</v>
      </c>
      <c r="AA39" s="192"/>
      <c r="AB39" s="195">
        <f t="shared" si="5"/>
        <v>9758.0954498789342</v>
      </c>
      <c r="AC39" s="192"/>
      <c r="AD39" s="196">
        <f>12.38*80</f>
        <v>990.40000000000009</v>
      </c>
      <c r="AE39" s="196"/>
      <c r="AF39" s="197">
        <v>2080</v>
      </c>
      <c r="AG39" s="192"/>
      <c r="AH39" s="197">
        <f t="shared" si="6"/>
        <v>25750.400000000001</v>
      </c>
      <c r="AI39" s="192"/>
      <c r="AJ39" s="198">
        <v>288.48</v>
      </c>
      <c r="AK39" s="192"/>
      <c r="AL39" s="191">
        <f t="shared" si="7"/>
        <v>26038.880000000001</v>
      </c>
      <c r="AM39" s="199"/>
      <c r="AN39" s="200">
        <v>3417.52</v>
      </c>
      <c r="AP39" s="201">
        <v>99950</v>
      </c>
      <c r="AS39" s="202">
        <f t="shared" si="10"/>
        <v>29</v>
      </c>
    </row>
    <row r="40" spans="1:45" ht="13.5">
      <c r="A40" s="193">
        <v>30</v>
      </c>
      <c r="B40" s="194" t="str">
        <f t="shared" si="8"/>
        <v>CSR 30</v>
      </c>
      <c r="C40" s="194" t="s">
        <v>318</v>
      </c>
      <c r="D40" s="194"/>
      <c r="E40" s="184" t="s">
        <v>323</v>
      </c>
      <c r="F40" s="184"/>
      <c r="G40" s="195">
        <f t="shared" si="0"/>
        <v>34777.599999999999</v>
      </c>
      <c r="H40" s="195"/>
      <c r="I40" s="195">
        <f t="shared" si="9"/>
        <v>38002.4225152</v>
      </c>
      <c r="J40" s="195"/>
      <c r="K40" s="192"/>
      <c r="L40" s="195">
        <f t="shared" si="1"/>
        <v>2660</v>
      </c>
      <c r="M40" s="192"/>
      <c r="N40" s="195">
        <v>56</v>
      </c>
      <c r="O40" s="192"/>
      <c r="P40" s="195">
        <f>IF(G40&gt;8000,8000*0.0458,G40*0.0458)</f>
        <v>366.4</v>
      </c>
      <c r="Q40" s="195" t="s">
        <v>248</v>
      </c>
      <c r="R40" s="195">
        <f t="shared" si="2"/>
        <v>3082.4</v>
      </c>
      <c r="S40" s="192"/>
      <c r="T40" s="195">
        <v>7481.8509443099274</v>
      </c>
      <c r="U40" s="192"/>
      <c r="V40" s="195">
        <f t="shared" si="3"/>
        <v>1043.328</v>
      </c>
      <c r="W40" s="192"/>
      <c r="X40" s="195">
        <f t="shared" si="4"/>
        <v>1391.104</v>
      </c>
      <c r="Y40" s="192"/>
      <c r="Z40" s="195">
        <v>453.52290556900732</v>
      </c>
      <c r="AA40" s="192"/>
      <c r="AB40" s="195">
        <f t="shared" si="5"/>
        <v>10369.805849878934</v>
      </c>
      <c r="AC40" s="192"/>
      <c r="AD40" s="196">
        <f>16.72*80</f>
        <v>1337.6</v>
      </c>
      <c r="AE40" s="196"/>
      <c r="AF40" s="197">
        <v>2080</v>
      </c>
      <c r="AG40" s="192"/>
      <c r="AH40" s="197">
        <f t="shared" si="6"/>
        <v>34777.599999999999</v>
      </c>
      <c r="AI40" s="192"/>
      <c r="AJ40" s="198">
        <v>0</v>
      </c>
      <c r="AK40" s="192"/>
      <c r="AL40" s="191">
        <f t="shared" si="7"/>
        <v>34777.599999999999</v>
      </c>
      <c r="AM40" s="199"/>
      <c r="AN40" s="200">
        <v>30930.62</v>
      </c>
      <c r="AP40" s="201">
        <v>98989</v>
      </c>
      <c r="AS40" s="202">
        <f t="shared" si="10"/>
        <v>30</v>
      </c>
    </row>
    <row r="41" spans="1:45" ht="13.5">
      <c r="A41" s="193">
        <v>31</v>
      </c>
      <c r="B41" s="194" t="str">
        <f t="shared" si="8"/>
        <v>CSR 31</v>
      </c>
      <c r="C41" s="194" t="s">
        <v>313</v>
      </c>
      <c r="D41" s="194"/>
      <c r="E41" s="184" t="s">
        <v>324</v>
      </c>
      <c r="F41" s="184"/>
      <c r="G41" s="195">
        <f t="shared" si="0"/>
        <v>35292.170000000006</v>
      </c>
      <c r="H41" s="195"/>
      <c r="I41" s="195">
        <f t="shared" si="9"/>
        <v>38564.707047590004</v>
      </c>
      <c r="J41" s="195"/>
      <c r="K41" s="192"/>
      <c r="L41" s="195">
        <f t="shared" si="1"/>
        <v>2700</v>
      </c>
      <c r="M41" s="192"/>
      <c r="N41" s="195">
        <v>56</v>
      </c>
      <c r="O41" s="192"/>
      <c r="P41" s="195">
        <f>IF(G41&gt;20900,20900*0.042,G41*0.042)</f>
        <v>877.80000000000007</v>
      </c>
      <c r="Q41" s="195" t="s">
        <v>307</v>
      </c>
      <c r="R41" s="195">
        <f t="shared" si="2"/>
        <v>3633.8</v>
      </c>
      <c r="S41" s="192"/>
      <c r="T41" s="195">
        <v>7481.8509443099274</v>
      </c>
      <c r="U41" s="192"/>
      <c r="V41" s="195">
        <f t="shared" si="3"/>
        <v>1058.7651000000001</v>
      </c>
      <c r="W41" s="192"/>
      <c r="X41" s="195">
        <f t="shared" si="4"/>
        <v>1411.6868000000002</v>
      </c>
      <c r="Y41" s="192"/>
      <c r="Z41" s="195">
        <v>453.52290556900732</v>
      </c>
      <c r="AA41" s="192"/>
      <c r="AB41" s="195">
        <f t="shared" si="5"/>
        <v>10405.825749878933</v>
      </c>
      <c r="AC41" s="192"/>
      <c r="AD41" s="196">
        <f>16.91*80</f>
        <v>1352.8</v>
      </c>
      <c r="AE41" s="196"/>
      <c r="AF41" s="197">
        <v>2080</v>
      </c>
      <c r="AG41" s="192"/>
      <c r="AH41" s="197">
        <f t="shared" si="6"/>
        <v>35172.800000000003</v>
      </c>
      <c r="AI41" s="192"/>
      <c r="AJ41" s="198">
        <v>119.37</v>
      </c>
      <c r="AK41" s="192"/>
      <c r="AL41" s="191">
        <f t="shared" si="7"/>
        <v>35292.170000000006</v>
      </c>
      <c r="AM41" s="199"/>
      <c r="AN41" s="200">
        <v>29074.38</v>
      </c>
      <c r="AP41" s="201">
        <v>99039</v>
      </c>
      <c r="AS41" s="202">
        <f t="shared" si="10"/>
        <v>31</v>
      </c>
    </row>
    <row r="42" spans="1:45" ht="13.5">
      <c r="A42" s="193">
        <v>32</v>
      </c>
      <c r="B42" s="194" t="str">
        <f t="shared" si="8"/>
        <v>CSR 32</v>
      </c>
      <c r="C42" s="194" t="s">
        <v>306</v>
      </c>
      <c r="D42" s="194"/>
      <c r="E42" s="184" t="s">
        <v>323</v>
      </c>
      <c r="F42" s="184"/>
      <c r="G42" s="195">
        <f t="shared" si="0"/>
        <v>26572.899999999998</v>
      </c>
      <c r="H42" s="195"/>
      <c r="I42" s="195">
        <f t="shared" si="9"/>
        <v>29036.925298299997</v>
      </c>
      <c r="J42" s="195"/>
      <c r="K42" s="192"/>
      <c r="L42" s="195">
        <f t="shared" si="1"/>
        <v>2033</v>
      </c>
      <c r="M42" s="192"/>
      <c r="N42" s="195">
        <v>56</v>
      </c>
      <c r="O42" s="192"/>
      <c r="P42" s="195">
        <f>IF(G42&gt;8000,8000*0.0458,G42*0.0458)</f>
        <v>366.4</v>
      </c>
      <c r="Q42" s="195" t="s">
        <v>248</v>
      </c>
      <c r="R42" s="195">
        <f t="shared" si="2"/>
        <v>2455.4</v>
      </c>
      <c r="S42" s="192"/>
      <c r="T42" s="195">
        <v>7481.8509443099274</v>
      </c>
      <c r="U42" s="192"/>
      <c r="V42" s="195">
        <f t="shared" si="3"/>
        <v>797.1869999999999</v>
      </c>
      <c r="W42" s="192"/>
      <c r="X42" s="195">
        <f t="shared" si="4"/>
        <v>1062.9159999999999</v>
      </c>
      <c r="Y42" s="192"/>
      <c r="Z42" s="195">
        <v>453.52290556900732</v>
      </c>
      <c r="AA42" s="192"/>
      <c r="AB42" s="195">
        <f t="shared" si="5"/>
        <v>9795.4768498789326</v>
      </c>
      <c r="AC42" s="192"/>
      <c r="AD42" s="196">
        <f>12.67*80</f>
        <v>1013.6</v>
      </c>
      <c r="AE42" s="196"/>
      <c r="AF42" s="197">
        <v>2080</v>
      </c>
      <c r="AG42" s="145"/>
      <c r="AH42" s="197">
        <f t="shared" si="6"/>
        <v>26353.599999999999</v>
      </c>
      <c r="AI42" s="191"/>
      <c r="AJ42" s="198">
        <v>219.29999999999998</v>
      </c>
      <c r="AK42" s="191"/>
      <c r="AL42" s="191">
        <f t="shared" si="7"/>
        <v>26572.899999999998</v>
      </c>
      <c r="AM42" s="199"/>
      <c r="AN42" s="200">
        <v>19947.88</v>
      </c>
      <c r="AP42" s="201">
        <v>99709</v>
      </c>
      <c r="AS42" s="202">
        <f t="shared" si="10"/>
        <v>32</v>
      </c>
    </row>
    <row r="43" spans="1:45" ht="13.5">
      <c r="A43" s="193">
        <v>33</v>
      </c>
      <c r="B43" s="194" t="str">
        <f t="shared" si="8"/>
        <v>CSR 33</v>
      </c>
      <c r="C43" s="194" t="s">
        <v>306</v>
      </c>
      <c r="D43" s="194"/>
      <c r="E43" s="184" t="s">
        <v>323</v>
      </c>
      <c r="F43" s="184"/>
      <c r="G43" s="195">
        <f t="shared" si="0"/>
        <v>25500.799999999999</v>
      </c>
      <c r="H43" s="195"/>
      <c r="I43" s="195">
        <f t="shared" si="9"/>
        <v>27865.412681599999</v>
      </c>
      <c r="J43" s="195"/>
      <c r="K43" s="195"/>
      <c r="L43" s="195">
        <f t="shared" si="1"/>
        <v>1951</v>
      </c>
      <c r="M43" s="195"/>
      <c r="N43" s="195">
        <v>56</v>
      </c>
      <c r="O43" s="195"/>
      <c r="P43" s="195">
        <f>IF(G43&gt;8000,8000*0.0458,G43*0.0458)</f>
        <v>366.4</v>
      </c>
      <c r="Q43" s="195" t="s">
        <v>248</v>
      </c>
      <c r="R43" s="195">
        <f t="shared" si="2"/>
        <v>2373.4</v>
      </c>
      <c r="S43" s="195"/>
      <c r="T43" s="195">
        <v>7481.8509443099274</v>
      </c>
      <c r="U43" s="195"/>
      <c r="V43" s="195">
        <f t="shared" si="3"/>
        <v>765.024</v>
      </c>
      <c r="W43" s="195"/>
      <c r="X43" s="195">
        <f t="shared" si="4"/>
        <v>1020.032</v>
      </c>
      <c r="Y43" s="195"/>
      <c r="Z43" s="195">
        <v>453.52290556900732</v>
      </c>
      <c r="AA43" s="195"/>
      <c r="AB43" s="195">
        <f t="shared" si="5"/>
        <v>9720.429849878934</v>
      </c>
      <c r="AC43" s="145"/>
      <c r="AD43" s="196">
        <f>12.26*80</f>
        <v>980.8</v>
      </c>
      <c r="AE43" s="196"/>
      <c r="AF43" s="197">
        <v>2080</v>
      </c>
      <c r="AG43" s="192"/>
      <c r="AH43" s="197">
        <f t="shared" si="6"/>
        <v>25500.799999999999</v>
      </c>
      <c r="AI43" s="192"/>
      <c r="AJ43" s="198">
        <v>0</v>
      </c>
      <c r="AK43" s="192"/>
      <c r="AL43" s="191">
        <f t="shared" si="7"/>
        <v>25500.799999999999</v>
      </c>
      <c r="AM43" s="199"/>
      <c r="AN43" s="200">
        <v>0</v>
      </c>
      <c r="AP43" s="206">
        <v>99965</v>
      </c>
      <c r="AS43" s="202">
        <f t="shared" si="10"/>
        <v>33</v>
      </c>
    </row>
    <row r="44" spans="1:45" ht="13.5">
      <c r="A44" s="193">
        <v>34</v>
      </c>
      <c r="B44" s="194" t="str">
        <f t="shared" si="8"/>
        <v>CSR 34</v>
      </c>
      <c r="C44" s="194" t="s">
        <v>315</v>
      </c>
      <c r="D44" s="194"/>
      <c r="E44" s="184" t="s">
        <v>325</v>
      </c>
      <c r="F44" s="184"/>
      <c r="G44" s="195">
        <f t="shared" si="0"/>
        <v>33586.800000000003</v>
      </c>
      <c r="H44" s="195"/>
      <c r="I44" s="195">
        <f t="shared" si="9"/>
        <v>36701.203203600002</v>
      </c>
      <c r="J44" s="195"/>
      <c r="K44" s="192"/>
      <c r="L44" s="195">
        <f t="shared" si="1"/>
        <v>2569</v>
      </c>
      <c r="M44" s="192"/>
      <c r="N44" s="195">
        <v>56</v>
      </c>
      <c r="O44" s="192"/>
      <c r="P44" s="195">
        <f>IF(G44&gt;26900,26900*0.0385,G44*0.0385)</f>
        <v>1035.6500000000001</v>
      </c>
      <c r="Q44" s="195" t="s">
        <v>310</v>
      </c>
      <c r="R44" s="195">
        <f t="shared" si="2"/>
        <v>3660.65</v>
      </c>
      <c r="S44" s="192"/>
      <c r="T44" s="195">
        <v>7481.8509443099274</v>
      </c>
      <c r="U44" s="192"/>
      <c r="V44" s="195">
        <f t="shared" si="3"/>
        <v>1007.604</v>
      </c>
      <c r="W44" s="192"/>
      <c r="X44" s="195">
        <f t="shared" si="4"/>
        <v>1343.4720000000002</v>
      </c>
      <c r="Y44" s="192"/>
      <c r="Z44" s="195">
        <v>453.52290556900732</v>
      </c>
      <c r="AA44" s="192"/>
      <c r="AB44" s="195">
        <f t="shared" si="5"/>
        <v>10286.449849878934</v>
      </c>
      <c r="AC44" s="192"/>
      <c r="AD44" s="196">
        <v>1399.45</v>
      </c>
      <c r="AE44" s="196"/>
      <c r="AF44" s="197">
        <v>86.67</v>
      </c>
      <c r="AG44" s="192"/>
      <c r="AH44" s="197">
        <f t="shared" si="6"/>
        <v>33586.800000000003</v>
      </c>
      <c r="AI44" s="192"/>
      <c r="AJ44" s="198">
        <v>0</v>
      </c>
      <c r="AK44" s="192"/>
      <c r="AL44" s="191">
        <f t="shared" si="7"/>
        <v>33586.800000000003</v>
      </c>
      <c r="AM44" s="199"/>
      <c r="AN44" s="200">
        <v>31173.84</v>
      </c>
      <c r="AP44" s="201">
        <v>99585</v>
      </c>
      <c r="AS44" s="202">
        <f t="shared" si="10"/>
        <v>34</v>
      </c>
    </row>
    <row r="45" spans="1:45" ht="13.5">
      <c r="A45" s="203">
        <v>35</v>
      </c>
      <c r="B45" s="194" t="str">
        <f t="shared" si="8"/>
        <v>CSR 35</v>
      </c>
      <c r="C45" s="194" t="s">
        <v>306</v>
      </c>
      <c r="D45" s="194"/>
      <c r="E45" s="184" t="s">
        <v>323</v>
      </c>
      <c r="F45" s="184"/>
      <c r="G45" s="195">
        <f t="shared" si="0"/>
        <v>26550.210000000003</v>
      </c>
      <c r="H45" s="195"/>
      <c r="I45" s="195">
        <f t="shared" si="9"/>
        <v>29012.131322670004</v>
      </c>
      <c r="J45" s="195"/>
      <c r="K45" s="192"/>
      <c r="L45" s="195">
        <f t="shared" si="1"/>
        <v>2031</v>
      </c>
      <c r="M45" s="192"/>
      <c r="N45" s="195">
        <v>56</v>
      </c>
      <c r="O45" s="192"/>
      <c r="P45" s="195">
        <f>IF(G45&gt;8000,8000*0.0458,G45*0.0458)</f>
        <v>366.4</v>
      </c>
      <c r="Q45" s="195" t="s">
        <v>248</v>
      </c>
      <c r="R45" s="195">
        <f t="shared" si="2"/>
        <v>2453.4</v>
      </c>
      <c r="S45" s="192"/>
      <c r="T45" s="195">
        <v>7481.8509443099274</v>
      </c>
      <c r="U45" s="192"/>
      <c r="V45" s="195">
        <f t="shared" si="3"/>
        <v>796.50630000000001</v>
      </c>
      <c r="W45" s="192"/>
      <c r="X45" s="195">
        <f t="shared" si="4"/>
        <v>1062.0084000000002</v>
      </c>
      <c r="Y45" s="192"/>
      <c r="Z45" s="195">
        <v>453.52290556900732</v>
      </c>
      <c r="AA45" s="192"/>
      <c r="AB45" s="195">
        <f t="shared" si="5"/>
        <v>9793.888549878935</v>
      </c>
      <c r="AC45" s="192"/>
      <c r="AD45" s="196">
        <f>12.57*80</f>
        <v>1005.6</v>
      </c>
      <c r="AE45" s="196"/>
      <c r="AF45" s="197">
        <v>2080</v>
      </c>
      <c r="AG45" s="192"/>
      <c r="AH45" s="197">
        <f t="shared" si="6"/>
        <v>26145.600000000002</v>
      </c>
      <c r="AI45" s="192"/>
      <c r="AJ45" s="198">
        <v>404.61</v>
      </c>
      <c r="AK45" s="192"/>
      <c r="AL45" s="191">
        <f t="shared" si="7"/>
        <v>26550.210000000003</v>
      </c>
      <c r="AM45" s="199"/>
      <c r="AN45" s="200">
        <v>24685.46</v>
      </c>
      <c r="AP45" s="201">
        <v>99654</v>
      </c>
      <c r="AS45" s="202">
        <f t="shared" si="10"/>
        <v>35</v>
      </c>
    </row>
    <row r="46" spans="1:45" ht="13.5">
      <c r="A46" s="193">
        <v>36</v>
      </c>
      <c r="B46" s="194" t="str">
        <f t="shared" si="8"/>
        <v>CSR 36</v>
      </c>
      <c r="C46" s="194" t="s">
        <v>306</v>
      </c>
      <c r="D46" s="194"/>
      <c r="E46" s="184" t="s">
        <v>324</v>
      </c>
      <c r="F46" s="184"/>
      <c r="G46" s="195">
        <f t="shared" si="0"/>
        <v>25675.190000000002</v>
      </c>
      <c r="H46" s="195"/>
      <c r="I46" s="195">
        <f t="shared" si="9"/>
        <v>28055.973343130001</v>
      </c>
      <c r="J46" s="195"/>
      <c r="K46" s="192"/>
      <c r="L46" s="195">
        <f t="shared" si="1"/>
        <v>1964</v>
      </c>
      <c r="M46" s="192"/>
      <c r="N46" s="195">
        <v>56</v>
      </c>
      <c r="O46" s="192"/>
      <c r="P46" s="195">
        <f>IF(G46&gt;20900,20900*0.042,G46*0.042)</f>
        <v>877.80000000000007</v>
      </c>
      <c r="Q46" s="195" t="s">
        <v>307</v>
      </c>
      <c r="R46" s="195">
        <f t="shared" si="2"/>
        <v>2897.8</v>
      </c>
      <c r="S46" s="192"/>
      <c r="T46" s="195">
        <v>7481.8509443099274</v>
      </c>
      <c r="U46" s="192"/>
      <c r="V46" s="195">
        <f t="shared" si="3"/>
        <v>770.25570000000005</v>
      </c>
      <c r="W46" s="192"/>
      <c r="X46" s="195">
        <f t="shared" si="4"/>
        <v>1027.0076000000001</v>
      </c>
      <c r="Y46" s="192"/>
      <c r="Z46" s="195">
        <v>453.52290556900732</v>
      </c>
      <c r="AA46" s="192"/>
      <c r="AB46" s="195">
        <f t="shared" si="5"/>
        <v>9732.6371498789358</v>
      </c>
      <c r="AC46" s="192"/>
      <c r="AD46" s="196">
        <f>12.32*80</f>
        <v>985.6</v>
      </c>
      <c r="AE46" s="196"/>
      <c r="AF46" s="197">
        <v>2080</v>
      </c>
      <c r="AG46" s="145"/>
      <c r="AH46" s="197">
        <f t="shared" si="6"/>
        <v>25625.600000000002</v>
      </c>
      <c r="AI46" s="191"/>
      <c r="AJ46" s="198">
        <v>49.59</v>
      </c>
      <c r="AK46" s="191"/>
      <c r="AL46" s="191">
        <f t="shared" si="7"/>
        <v>25675.190000000002</v>
      </c>
      <c r="AM46" s="199"/>
      <c r="AN46" s="200">
        <v>21794.03</v>
      </c>
      <c r="AP46" s="201">
        <v>99707</v>
      </c>
      <c r="AS46" s="202">
        <f t="shared" si="10"/>
        <v>36</v>
      </c>
    </row>
    <row r="47" spans="1:45" ht="13.5">
      <c r="A47" s="193">
        <v>37</v>
      </c>
      <c r="B47" s="194" t="str">
        <f t="shared" si="8"/>
        <v>CSR 37</v>
      </c>
      <c r="C47" s="194" t="s">
        <v>315</v>
      </c>
      <c r="D47" s="194"/>
      <c r="E47" s="184" t="s">
        <v>323</v>
      </c>
      <c r="F47" s="184"/>
      <c r="G47" s="195">
        <f t="shared" si="0"/>
        <v>44803.92</v>
      </c>
      <c r="H47" s="195"/>
      <c r="I47" s="195">
        <f t="shared" si="9"/>
        <v>48958.453089839997</v>
      </c>
      <c r="J47" s="195"/>
      <c r="K47" s="192"/>
      <c r="L47" s="195">
        <f t="shared" si="1"/>
        <v>3427</v>
      </c>
      <c r="M47" s="192"/>
      <c r="N47" s="195">
        <v>56</v>
      </c>
      <c r="O47" s="192"/>
      <c r="P47" s="195">
        <f>IF(G47&gt;8000,8000*0.0458,G47*0.0458)</f>
        <v>366.4</v>
      </c>
      <c r="Q47" s="195" t="s">
        <v>248</v>
      </c>
      <c r="R47" s="195">
        <f t="shared" si="2"/>
        <v>3849.4</v>
      </c>
      <c r="S47" s="192"/>
      <c r="T47" s="195">
        <v>7481.8509443099274</v>
      </c>
      <c r="U47" s="192"/>
      <c r="V47" s="195">
        <f t="shared" si="3"/>
        <v>1344.1175999999998</v>
      </c>
      <c r="W47" s="192"/>
      <c r="X47" s="195">
        <f t="shared" si="4"/>
        <v>1792.1568</v>
      </c>
      <c r="Y47" s="192"/>
      <c r="Z47" s="195">
        <v>453.52290556900732</v>
      </c>
      <c r="AA47" s="192"/>
      <c r="AB47" s="195">
        <f t="shared" si="5"/>
        <v>11071.648249878936</v>
      </c>
      <c r="AC47" s="192"/>
      <c r="AD47" s="196">
        <v>1866.83</v>
      </c>
      <c r="AE47" s="196"/>
      <c r="AF47" s="197">
        <v>86.67</v>
      </c>
      <c r="AG47" s="145"/>
      <c r="AH47" s="197">
        <f t="shared" si="6"/>
        <v>44803.92</v>
      </c>
      <c r="AI47" s="145"/>
      <c r="AJ47" s="198">
        <v>0</v>
      </c>
      <c r="AK47" s="145"/>
      <c r="AL47" s="191">
        <f t="shared" si="7"/>
        <v>44803.92</v>
      </c>
      <c r="AM47" s="199"/>
      <c r="AN47" s="200">
        <v>39379.660000000003</v>
      </c>
      <c r="AP47" s="201">
        <v>98648</v>
      </c>
      <c r="AS47" s="202">
        <f t="shared" si="10"/>
        <v>37</v>
      </c>
    </row>
    <row r="48" spans="1:45" ht="13.5">
      <c r="A48" s="193">
        <v>38</v>
      </c>
      <c r="B48" s="194" t="str">
        <f t="shared" si="8"/>
        <v>CSR 38</v>
      </c>
      <c r="C48" s="194" t="s">
        <v>306</v>
      </c>
      <c r="D48" s="194"/>
      <c r="E48" s="184" t="s">
        <v>323</v>
      </c>
      <c r="F48" s="184"/>
      <c r="G48" s="195">
        <f t="shared" si="0"/>
        <v>28059.38</v>
      </c>
      <c r="H48" s="195"/>
      <c r="I48" s="195">
        <f t="shared" si="9"/>
        <v>30661.242129260001</v>
      </c>
      <c r="J48" s="195"/>
      <c r="K48" s="192"/>
      <c r="L48" s="195">
        <f t="shared" si="1"/>
        <v>2147</v>
      </c>
      <c r="M48" s="192"/>
      <c r="N48" s="195">
        <v>56</v>
      </c>
      <c r="O48" s="192"/>
      <c r="P48" s="195">
        <f>IF(G48&gt;8000,8000*0.0458,G48*0.0458)</f>
        <v>366.4</v>
      </c>
      <c r="Q48" s="195" t="s">
        <v>248</v>
      </c>
      <c r="R48" s="195">
        <f t="shared" si="2"/>
        <v>2569.4</v>
      </c>
      <c r="S48" s="192"/>
      <c r="T48" s="195">
        <v>7481.8509443099274</v>
      </c>
      <c r="U48" s="192"/>
      <c r="V48" s="195">
        <f t="shared" si="3"/>
        <v>841.78139999999996</v>
      </c>
      <c r="W48" s="192"/>
      <c r="X48" s="195">
        <f t="shared" si="4"/>
        <v>1122.3752000000002</v>
      </c>
      <c r="Y48" s="192"/>
      <c r="Z48" s="195">
        <v>453.52290556900732</v>
      </c>
      <c r="AA48" s="192"/>
      <c r="AB48" s="195">
        <f t="shared" si="5"/>
        <v>9899.5304498789355</v>
      </c>
      <c r="AC48" s="192"/>
      <c r="AD48" s="196">
        <f>13.01*80</f>
        <v>1040.8</v>
      </c>
      <c r="AE48" s="196"/>
      <c r="AF48" s="197">
        <v>2080</v>
      </c>
      <c r="AG48" s="145"/>
      <c r="AH48" s="197">
        <f t="shared" si="6"/>
        <v>27060.799999999999</v>
      </c>
      <c r="AI48" s="145"/>
      <c r="AJ48" s="198">
        <v>998.58</v>
      </c>
      <c r="AK48" s="145"/>
      <c r="AL48" s="191">
        <f t="shared" si="7"/>
        <v>28059.38</v>
      </c>
      <c r="AM48" s="199"/>
      <c r="AN48" s="200">
        <v>26612.400000000001</v>
      </c>
      <c r="AP48" s="201">
        <v>99651</v>
      </c>
      <c r="AS48" s="202">
        <f t="shared" si="10"/>
        <v>38</v>
      </c>
    </row>
    <row r="49" spans="1:45" ht="13.5">
      <c r="A49" s="193">
        <v>39</v>
      </c>
      <c r="B49" s="194" t="str">
        <f t="shared" si="8"/>
        <v>CSR 39</v>
      </c>
      <c r="C49" s="194" t="s">
        <v>306</v>
      </c>
      <c r="D49" s="194"/>
      <c r="E49" s="184" t="s">
        <v>323</v>
      </c>
      <c r="F49" s="184"/>
      <c r="G49" s="195">
        <f t="shared" si="0"/>
        <v>25500.799999999999</v>
      </c>
      <c r="H49" s="195"/>
      <c r="I49" s="195">
        <f t="shared" si="9"/>
        <v>27865.412681599999</v>
      </c>
      <c r="J49" s="195"/>
      <c r="K49" s="192"/>
      <c r="L49" s="195">
        <f t="shared" si="1"/>
        <v>1951</v>
      </c>
      <c r="M49" s="192"/>
      <c r="N49" s="195">
        <v>56</v>
      </c>
      <c r="O49" s="192"/>
      <c r="P49" s="195">
        <f>IF(G49&gt;8000,8000*0.0458,G49*0.0458)</f>
        <v>366.4</v>
      </c>
      <c r="Q49" s="195" t="s">
        <v>248</v>
      </c>
      <c r="R49" s="195">
        <f t="shared" si="2"/>
        <v>2373.4</v>
      </c>
      <c r="S49" s="192"/>
      <c r="T49" s="195">
        <v>7481.8509443099274</v>
      </c>
      <c r="U49" s="192"/>
      <c r="V49" s="195">
        <f t="shared" si="3"/>
        <v>765.024</v>
      </c>
      <c r="W49" s="192"/>
      <c r="X49" s="195">
        <f t="shared" si="4"/>
        <v>1020.032</v>
      </c>
      <c r="Y49" s="192"/>
      <c r="Z49" s="195">
        <v>453.52290556900732</v>
      </c>
      <c r="AA49" s="192"/>
      <c r="AB49" s="195">
        <f t="shared" si="5"/>
        <v>9720.429849878934</v>
      </c>
      <c r="AC49" s="192"/>
      <c r="AD49" s="196">
        <f>12.26*80</f>
        <v>980.8</v>
      </c>
      <c r="AE49" s="196"/>
      <c r="AF49" s="197">
        <v>2080</v>
      </c>
      <c r="AG49" s="192"/>
      <c r="AH49" s="197">
        <f t="shared" si="6"/>
        <v>25500.799999999999</v>
      </c>
      <c r="AI49" s="192"/>
      <c r="AJ49" s="198">
        <v>0</v>
      </c>
      <c r="AK49" s="192"/>
      <c r="AL49" s="191">
        <f t="shared" si="7"/>
        <v>25500.799999999999</v>
      </c>
      <c r="AM49" s="199"/>
      <c r="AN49" s="200">
        <v>18498.62</v>
      </c>
      <c r="AP49" s="201">
        <v>99700</v>
      </c>
      <c r="AS49" s="202">
        <f t="shared" si="10"/>
        <v>39</v>
      </c>
    </row>
    <row r="50" spans="1:45" ht="14.25" thickBot="1">
      <c r="A50" s="193">
        <v>40</v>
      </c>
      <c r="B50" s="194" t="str">
        <f t="shared" si="8"/>
        <v>CSR 40</v>
      </c>
      <c r="C50" s="194" t="s">
        <v>311</v>
      </c>
      <c r="D50" s="194"/>
      <c r="E50" s="184" t="s">
        <v>324</v>
      </c>
      <c r="F50" s="184"/>
      <c r="G50" s="195">
        <f t="shared" si="0"/>
        <v>25962.29</v>
      </c>
      <c r="H50" s="195"/>
      <c r="I50" s="195">
        <f t="shared" si="9"/>
        <v>28369.695264829999</v>
      </c>
      <c r="J50" s="195"/>
      <c r="K50" s="192"/>
      <c r="L50" s="207">
        <f t="shared" si="1"/>
        <v>1986</v>
      </c>
      <c r="M50" s="192"/>
      <c r="N50" s="207">
        <v>56</v>
      </c>
      <c r="O50" s="192"/>
      <c r="P50" s="207">
        <f>IF(G50&gt;20900,20900*0.042,G50*0.042)</f>
        <v>877.80000000000007</v>
      </c>
      <c r="Q50" s="195" t="s">
        <v>307</v>
      </c>
      <c r="R50" s="207">
        <f t="shared" si="2"/>
        <v>2919.8</v>
      </c>
      <c r="S50" s="192"/>
      <c r="T50" s="207">
        <v>7481.8509443099274</v>
      </c>
      <c r="U50" s="192"/>
      <c r="V50" s="207">
        <f t="shared" si="3"/>
        <v>778.86869999999999</v>
      </c>
      <c r="W50" s="192"/>
      <c r="X50" s="207">
        <f t="shared" si="4"/>
        <v>1038.4916000000001</v>
      </c>
      <c r="Y50" s="192"/>
      <c r="Z50" s="207">
        <v>453.52290556900732</v>
      </c>
      <c r="AA50" s="192"/>
      <c r="AB50" s="207">
        <f t="shared" si="5"/>
        <v>9752.7341498789337</v>
      </c>
      <c r="AC50" s="192"/>
      <c r="AD50" s="196">
        <f>12.38*80</f>
        <v>990.40000000000009</v>
      </c>
      <c r="AE50" s="196"/>
      <c r="AF50" s="197">
        <v>2080</v>
      </c>
      <c r="AG50" s="192"/>
      <c r="AH50" s="197">
        <f t="shared" si="6"/>
        <v>25750.400000000001</v>
      </c>
      <c r="AI50" s="192"/>
      <c r="AJ50" s="198">
        <v>211.89</v>
      </c>
      <c r="AK50" s="192"/>
      <c r="AL50" s="191">
        <f t="shared" si="7"/>
        <v>25962.29</v>
      </c>
      <c r="AM50" s="199"/>
      <c r="AN50" s="200">
        <v>24858.31</v>
      </c>
      <c r="AP50" s="201">
        <v>99694</v>
      </c>
      <c r="AS50" s="202">
        <f t="shared" si="10"/>
        <v>40</v>
      </c>
    </row>
    <row r="51" spans="1:45" ht="13.5" thickTop="1">
      <c r="A51" s="208"/>
      <c r="B51" s="148" t="s">
        <v>240</v>
      </c>
      <c r="E51" s="141"/>
      <c r="F51" s="141"/>
      <c r="G51" s="142">
        <f>SUM(G11:G50)</f>
        <v>1341560.4599999997</v>
      </c>
      <c r="I51" s="142">
        <f>SUM(I11:I50)</f>
        <v>1465959.3367744202</v>
      </c>
      <c r="L51" s="142">
        <f>SUM(L11:L50)</f>
        <v>102628</v>
      </c>
      <c r="N51" s="142">
        <f>SUM(N11:N50)</f>
        <v>2240</v>
      </c>
      <c r="P51" s="142">
        <f>SUM(P11:P50)</f>
        <v>24298.092730000004</v>
      </c>
      <c r="R51" s="142">
        <f>SUM(R11:R50)</f>
        <v>129166.09272999996</v>
      </c>
      <c r="T51" s="142">
        <f>SUM(T11:T50)</f>
        <v>299274.0377723971</v>
      </c>
      <c r="V51" s="142">
        <f>SUM(V11:V50)</f>
        <v>40246.813799999996</v>
      </c>
      <c r="X51" s="142">
        <f>SUM(X11:X50)</f>
        <v>53662.418399999995</v>
      </c>
      <c r="Z51" s="142">
        <f>SUM(Z11:Z50)</f>
        <v>18140.916222760283</v>
      </c>
      <c r="AB51" s="142">
        <f>SUM(AB11:AB50)</f>
        <v>411324.18619515753</v>
      </c>
      <c r="AD51" s="196"/>
      <c r="AE51" s="196"/>
      <c r="AF51" s="197"/>
      <c r="AG51" s="192"/>
      <c r="AH51" s="197"/>
      <c r="AI51" s="192"/>
      <c r="AJ51" s="198"/>
      <c r="AK51" s="192"/>
      <c r="AL51" s="191"/>
      <c r="AM51" s="192"/>
    </row>
    <row r="52" spans="1:45"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</row>
    <row r="53" spans="1:45">
      <c r="B53" s="148" t="s">
        <v>319</v>
      </c>
      <c r="G53" s="143">
        <v>2.775347522522463E-2</v>
      </c>
      <c r="H53" s="143"/>
      <c r="I53" s="143">
        <f>'WSKY Allocation Factors'!M34</f>
        <v>2.6393242386234278E-2</v>
      </c>
      <c r="J53" s="143"/>
      <c r="K53" s="143"/>
      <c r="L53" s="143">
        <f>+G53</f>
        <v>2.775347522522463E-2</v>
      </c>
      <c r="M53" s="143"/>
      <c r="N53" s="143">
        <f>+G53</f>
        <v>2.775347522522463E-2</v>
      </c>
      <c r="O53" s="143"/>
      <c r="P53" s="143">
        <f>+G53</f>
        <v>2.775347522522463E-2</v>
      </c>
      <c r="Q53" s="143"/>
      <c r="R53" s="143">
        <f>+G53</f>
        <v>2.775347522522463E-2</v>
      </c>
      <c r="S53" s="143"/>
      <c r="T53" s="143">
        <f>+G53</f>
        <v>2.775347522522463E-2</v>
      </c>
      <c r="U53" s="143"/>
      <c r="V53" s="143">
        <f>+G53</f>
        <v>2.775347522522463E-2</v>
      </c>
      <c r="W53" s="143"/>
      <c r="X53" s="143">
        <f>+G53</f>
        <v>2.775347522522463E-2</v>
      </c>
      <c r="Y53" s="143"/>
      <c r="Z53" s="143">
        <f>+G53</f>
        <v>2.775347522522463E-2</v>
      </c>
      <c r="AA53" s="143"/>
      <c r="AB53" s="143">
        <f>+G53</f>
        <v>2.775347522522463E-2</v>
      </c>
      <c r="AD53" s="209"/>
      <c r="AE53" s="209"/>
      <c r="AF53" s="209"/>
      <c r="AG53" s="146"/>
      <c r="AH53" s="146"/>
      <c r="AI53" s="146"/>
      <c r="AJ53" s="146"/>
      <c r="AK53" s="146"/>
      <c r="AL53" s="146"/>
      <c r="AM53" s="146"/>
    </row>
    <row r="54" spans="1:45"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</row>
    <row r="55" spans="1:45" ht="13.5" thickBot="1">
      <c r="B55" s="148" t="s">
        <v>320</v>
      </c>
      <c r="G55" s="210">
        <f>G51*G53</f>
        <v>37232.964989750952</v>
      </c>
      <c r="H55" s="191"/>
      <c r="I55" s="210">
        <f>I51*I53</f>
        <v>38691.42010385052</v>
      </c>
      <c r="J55" s="191"/>
      <c r="K55" s="142"/>
      <c r="L55" s="210">
        <f t="shared" ref="L55:AB55" si="11">L51*L53</f>
        <v>2848.2836554143532</v>
      </c>
      <c r="M55" s="142"/>
      <c r="N55" s="210">
        <f t="shared" si="11"/>
        <v>62.167784504503175</v>
      </c>
      <c r="O55" s="142"/>
      <c r="P55" s="210">
        <f t="shared" si="11"/>
        <v>674.35651460226586</v>
      </c>
      <c r="Q55" s="142"/>
      <c r="R55" s="210">
        <f t="shared" si="11"/>
        <v>3584.8079545211212</v>
      </c>
      <c r="S55" s="142"/>
      <c r="T55" s="210">
        <f t="shared" si="11"/>
        <v>8305.8945928691628</v>
      </c>
      <c r="U55" s="142"/>
      <c r="V55" s="210">
        <f t="shared" si="11"/>
        <v>1116.9889496925286</v>
      </c>
      <c r="W55" s="142"/>
      <c r="X55" s="210">
        <f t="shared" si="11"/>
        <v>1489.3185995900383</v>
      </c>
      <c r="Y55" s="142"/>
      <c r="Z55" s="210">
        <f t="shared" si="11"/>
        <v>503.4734689512531</v>
      </c>
      <c r="AA55" s="142"/>
      <c r="AB55" s="210">
        <f t="shared" si="11"/>
        <v>11415.675611102988</v>
      </c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</row>
    <row r="56" spans="1:45" ht="13.5" thickTop="1">
      <c r="G56" s="191"/>
      <c r="H56" s="191"/>
      <c r="I56" s="191"/>
      <c r="J56" s="191"/>
      <c r="K56" s="142"/>
      <c r="L56" s="191"/>
      <c r="M56" s="142"/>
      <c r="N56" s="191"/>
      <c r="O56" s="142"/>
      <c r="P56" s="191"/>
      <c r="Q56" s="142"/>
      <c r="R56" s="191"/>
      <c r="S56" s="142"/>
      <c r="T56" s="191"/>
      <c r="U56" s="142"/>
      <c r="V56" s="191"/>
      <c r="W56" s="142"/>
      <c r="X56" s="191"/>
      <c r="Y56" s="142"/>
      <c r="Z56" s="191"/>
      <c r="AA56" s="142"/>
      <c r="AB56" s="191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</row>
    <row r="57" spans="1:45" hidden="1">
      <c r="B57" s="148" t="s">
        <v>321</v>
      </c>
      <c r="G57" s="211">
        <v>7.8292843887453431E-2</v>
      </c>
      <c r="H57" s="211"/>
      <c r="I57" s="211"/>
      <c r="J57" s="211"/>
      <c r="K57" s="142"/>
      <c r="L57" s="211">
        <v>7.8292843887453431E-2</v>
      </c>
      <c r="M57" s="142"/>
      <c r="N57" s="211">
        <v>7.8292843887453431E-2</v>
      </c>
      <c r="O57" s="142"/>
      <c r="P57" s="211">
        <v>7.8292843887453431E-2</v>
      </c>
      <c r="Q57" s="142"/>
      <c r="R57" s="211">
        <v>7.8292843887453431E-2</v>
      </c>
      <c r="S57" s="142"/>
      <c r="T57" s="211">
        <v>7.8292843887453431E-2</v>
      </c>
      <c r="U57" s="142"/>
      <c r="V57" s="211">
        <v>7.8292843887453431E-2</v>
      </c>
      <c r="W57" s="142"/>
      <c r="X57" s="211">
        <v>7.8292843887453431E-2</v>
      </c>
      <c r="Y57" s="142"/>
      <c r="Z57" s="211">
        <v>7.8292843887453431E-2</v>
      </c>
      <c r="AA57" s="142"/>
      <c r="AB57" s="211">
        <v>7.8292843887453431E-2</v>
      </c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</row>
    <row r="58" spans="1:45" hidden="1">
      <c r="G58" s="191"/>
      <c r="H58" s="191"/>
      <c r="I58" s="191"/>
      <c r="J58" s="191"/>
      <c r="K58" s="142"/>
      <c r="L58" s="191"/>
      <c r="M58" s="142"/>
      <c r="N58" s="191"/>
      <c r="O58" s="142"/>
      <c r="P58" s="191"/>
      <c r="Q58" s="142"/>
      <c r="R58" s="191"/>
      <c r="S58" s="142"/>
      <c r="T58" s="191"/>
      <c r="U58" s="142"/>
      <c r="V58" s="191"/>
      <c r="W58" s="142"/>
      <c r="X58" s="191"/>
      <c r="Y58" s="142"/>
      <c r="Z58" s="191"/>
      <c r="AA58" s="142"/>
      <c r="AB58" s="191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</row>
    <row r="59" spans="1:45" ht="13.5" hidden="1" thickBot="1">
      <c r="B59" s="148" t="s">
        <v>322</v>
      </c>
      <c r="G59" s="210">
        <f>G57*G55</f>
        <v>2915.0747154095902</v>
      </c>
      <c r="H59" s="191"/>
      <c r="I59" s="191"/>
      <c r="J59" s="191"/>
      <c r="K59" s="142"/>
      <c r="L59" s="210">
        <f>L57*L55</f>
        <v>223.00022758054115</v>
      </c>
      <c r="M59" s="142"/>
      <c r="N59" s="210">
        <f>N57*N55</f>
        <v>4.8672926470399132</v>
      </c>
      <c r="O59" s="142"/>
      <c r="P59" s="210">
        <f>P57*P55</f>
        <v>52.797289322242413</v>
      </c>
      <c r="Q59" s="142"/>
      <c r="R59" s="210">
        <f>R57*R55</f>
        <v>280.66480954982342</v>
      </c>
      <c r="S59" s="142"/>
      <c r="T59" s="210">
        <f>T57*T55</f>
        <v>650.29210870514896</v>
      </c>
      <c r="U59" s="142"/>
      <c r="V59" s="210">
        <f>V57*V55</f>
        <v>87.452241462287716</v>
      </c>
      <c r="W59" s="142"/>
      <c r="X59" s="210">
        <f>X57*X55</f>
        <v>116.60298861638363</v>
      </c>
      <c r="Y59" s="142"/>
      <c r="Z59" s="210">
        <f>Z57*Z55</f>
        <v>39.41836970607509</v>
      </c>
      <c r="AA59" s="142"/>
      <c r="AB59" s="210">
        <f>AB57*AB55</f>
        <v>893.76570848989581</v>
      </c>
      <c r="AD59" s="146"/>
      <c r="AE59" s="146"/>
      <c r="AF59" s="146"/>
      <c r="AG59" s="146"/>
      <c r="AH59" s="146"/>
      <c r="AI59" s="146"/>
      <c r="AJ59" s="146"/>
      <c r="AK59" s="146"/>
      <c r="AL59" s="146"/>
      <c r="AM59" s="146"/>
    </row>
    <row r="60" spans="1:45" ht="13.5" hidden="1" thickTop="1">
      <c r="G60" s="191"/>
      <c r="H60" s="191"/>
      <c r="I60" s="191"/>
      <c r="J60" s="191"/>
      <c r="K60" s="142"/>
      <c r="L60" s="191"/>
      <c r="M60" s="142"/>
      <c r="N60" s="191"/>
      <c r="O60" s="142"/>
      <c r="P60" s="191"/>
      <c r="Q60" s="142"/>
      <c r="R60" s="191"/>
      <c r="S60" s="142"/>
      <c r="T60" s="191"/>
      <c r="U60" s="142"/>
      <c r="V60" s="191"/>
      <c r="W60" s="142"/>
      <c r="X60" s="191"/>
      <c r="Y60" s="142"/>
      <c r="Z60" s="191"/>
      <c r="AA60" s="142"/>
      <c r="AB60" s="191"/>
      <c r="AD60" s="146"/>
      <c r="AE60" s="146"/>
      <c r="AF60" s="146"/>
      <c r="AG60" s="146"/>
      <c r="AH60" s="146"/>
      <c r="AI60" s="146"/>
      <c r="AJ60" s="146"/>
      <c r="AK60" s="146"/>
      <c r="AL60" s="146"/>
      <c r="AM60" s="146"/>
    </row>
    <row r="61" spans="1:45" hidden="1">
      <c r="G61" s="191"/>
      <c r="H61" s="191"/>
      <c r="I61" s="191"/>
      <c r="J61" s="191"/>
      <c r="K61" s="142"/>
      <c r="L61" s="191"/>
      <c r="M61" s="142"/>
      <c r="N61" s="191"/>
      <c r="O61" s="142"/>
      <c r="P61" s="191"/>
      <c r="Q61" s="142"/>
      <c r="R61" s="191"/>
      <c r="S61" s="142"/>
      <c r="T61" s="191"/>
      <c r="U61" s="142"/>
      <c r="V61" s="191"/>
      <c r="W61" s="142"/>
      <c r="X61" s="191"/>
      <c r="Y61" s="142"/>
      <c r="Z61" s="191"/>
      <c r="AA61" s="142"/>
      <c r="AB61" s="191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</row>
    <row r="62" spans="1:45" hidden="1">
      <c r="AD62" s="146"/>
      <c r="AE62" s="146"/>
      <c r="AF62" s="146"/>
      <c r="AG62" s="146"/>
      <c r="AH62" s="146"/>
      <c r="AI62" s="146"/>
      <c r="AJ62" s="146"/>
      <c r="AK62" s="146"/>
      <c r="AL62" s="146"/>
      <c r="AM62" s="146"/>
    </row>
    <row r="63" spans="1:45" hidden="1">
      <c r="B63" s="212"/>
      <c r="C63" s="212"/>
      <c r="AD63" s="146"/>
      <c r="AE63" s="146"/>
      <c r="AF63" s="146"/>
      <c r="AG63" s="146"/>
      <c r="AH63" s="146"/>
      <c r="AI63" s="146"/>
      <c r="AJ63" s="146"/>
      <c r="AK63" s="146"/>
      <c r="AL63" s="146"/>
      <c r="AM63" s="146"/>
    </row>
    <row r="64" spans="1:45" hidden="1">
      <c r="B64" s="212"/>
      <c r="C64" s="212"/>
      <c r="AD64" s="146"/>
      <c r="AE64" s="146"/>
      <c r="AF64" s="146"/>
      <c r="AG64" s="146"/>
      <c r="AH64" s="146"/>
      <c r="AI64" s="146"/>
      <c r="AJ64" s="146"/>
      <c r="AK64" s="146"/>
      <c r="AL64" s="146"/>
      <c r="AM64" s="146"/>
    </row>
    <row r="65" spans="2:28" hidden="1">
      <c r="B65" s="212"/>
      <c r="C65" s="212"/>
    </row>
    <row r="66" spans="2:28" ht="15" hidden="1">
      <c r="B66" s="212"/>
      <c r="C66" s="212"/>
      <c r="D66" s="40"/>
    </row>
    <row r="67" spans="2:28">
      <c r="G67" s="143"/>
      <c r="H67" s="143"/>
      <c r="I67" s="143"/>
      <c r="J67" s="143"/>
      <c r="L67" s="143"/>
      <c r="N67" s="143"/>
      <c r="P67" s="143"/>
      <c r="R67" s="143"/>
      <c r="T67" s="143"/>
      <c r="V67" s="143"/>
      <c r="X67" s="143"/>
      <c r="Z67" s="143"/>
      <c r="AB67" s="143"/>
    </row>
    <row r="69" spans="2:28">
      <c r="L69" s="142"/>
      <c r="N69" s="142"/>
      <c r="P69" s="142"/>
      <c r="R69" s="142"/>
      <c r="T69" s="142"/>
      <c r="V69" s="142"/>
      <c r="X69" s="142"/>
      <c r="Z69" s="142"/>
      <c r="AB69" s="142"/>
    </row>
    <row r="75" spans="2:28"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42"/>
    </row>
    <row r="77" spans="2:28">
      <c r="B77" s="147"/>
      <c r="C77" s="147"/>
    </row>
    <row r="78" spans="2:28">
      <c r="B78" s="147"/>
      <c r="C78" s="147"/>
    </row>
    <row r="79" spans="2:28">
      <c r="B79" s="147"/>
      <c r="C79" s="147"/>
    </row>
    <row r="80" spans="2:28">
      <c r="B80" s="147"/>
      <c r="C80" s="147"/>
    </row>
    <row r="81" spans="2:3">
      <c r="B81" s="147"/>
      <c r="C81" s="147"/>
    </row>
    <row r="82" spans="2:3">
      <c r="B82" s="147"/>
      <c r="C82" s="147"/>
    </row>
  </sheetData>
  <autoFilter ref="E9:E50"/>
  <pageMargins left="0.7" right="0.7" top="0.75" bottom="0.75" header="0.3" footer="0.3"/>
  <pageSetup scale="39" orientation="landscape" r:id="rId1"/>
  <colBreaks count="1" manualBreakCount="1">
    <brk id="2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2"/>
  <sheetViews>
    <sheetView view="pageBreakPreview" zoomScale="70" zoomScaleNormal="100" zoomScaleSheetLayoutView="70" workbookViewId="0">
      <pane xSplit="5" ySplit="9" topLeftCell="F28" activePane="bottomRight" state="frozen"/>
      <selection activeCell="B71" sqref="B71:C71"/>
      <selection pane="topRight" activeCell="B71" sqref="B71:C71"/>
      <selection pane="bottomLeft" activeCell="B71" sqref="B71:C71"/>
      <selection pane="bottomRight" activeCell="C72" sqref="C72"/>
    </sheetView>
  </sheetViews>
  <sheetFormatPr defaultRowHeight="15"/>
  <cols>
    <col min="1" max="1" width="5" style="247" customWidth="1"/>
    <col min="2" max="2" width="46.5703125" style="247" bestFit="1" customWidth="1"/>
    <col min="3" max="3" width="46.5703125" style="247" customWidth="1"/>
    <col min="4" max="4" width="4.140625" style="247" customWidth="1"/>
    <col min="5" max="5" width="5.28515625" style="247" bestFit="1" customWidth="1"/>
    <col min="6" max="6" width="4.140625" style="247" customWidth="1"/>
    <col min="7" max="7" width="17.7109375" style="84" bestFit="1" customWidth="1"/>
    <col min="8" max="8" width="4.7109375" style="84" customWidth="1"/>
    <col min="9" max="10" width="17.28515625" style="84" bestFit="1" customWidth="1"/>
    <col min="11" max="11" width="9.85546875" style="84" customWidth="1"/>
    <col min="12" max="12" width="12" style="84" bestFit="1" customWidth="1"/>
    <col min="13" max="20" width="9.85546875" style="84" customWidth="1"/>
    <col min="21" max="23" width="12.5703125" style="84" bestFit="1" customWidth="1"/>
    <col min="24" max="24" width="9.85546875" style="84" customWidth="1"/>
    <col min="25" max="25" width="17.5703125" style="84" hidden="1" customWidth="1"/>
    <col min="26" max="26" width="4.140625" style="247" hidden="1" customWidth="1"/>
    <col min="27" max="27" width="10.42578125" style="247" hidden="1" customWidth="1"/>
    <col min="28" max="28" width="4.140625" style="247" hidden="1" customWidth="1"/>
    <col min="29" max="29" width="10.42578125" style="247" hidden="1" customWidth="1"/>
    <col min="30" max="30" width="4.140625" style="247" hidden="1" customWidth="1"/>
    <col min="31" max="31" width="10.42578125" style="247" hidden="1" customWidth="1"/>
    <col min="32" max="32" width="4.140625" style="247" hidden="1" customWidth="1"/>
    <col min="33" max="33" width="10.42578125" style="247" hidden="1" customWidth="1"/>
    <col min="34" max="34" width="4.140625" style="247" hidden="1" customWidth="1"/>
    <col min="35" max="35" width="11.28515625" style="247" hidden="1" customWidth="1"/>
    <col min="36" max="36" width="4.140625" style="247" hidden="1" customWidth="1"/>
    <col min="37" max="37" width="10.42578125" style="247" hidden="1" customWidth="1"/>
    <col min="38" max="38" width="4.140625" style="247" hidden="1" customWidth="1"/>
    <col min="39" max="39" width="10.42578125" style="247" hidden="1" customWidth="1"/>
    <col min="40" max="40" width="4.140625" style="247" hidden="1" customWidth="1"/>
    <col min="41" max="41" width="11.28515625" style="247" hidden="1" customWidth="1"/>
    <col min="42" max="42" width="4.140625" style="247" hidden="1" customWidth="1"/>
    <col min="43" max="43" width="10.42578125" style="247" hidden="1" customWidth="1"/>
    <col min="44" max="44" width="3.85546875" style="247" hidden="1" customWidth="1"/>
    <col min="45" max="45" width="13.85546875" style="246" bestFit="1" customWidth="1"/>
    <col min="46" max="46" width="2.28515625" style="246" customWidth="1"/>
    <col min="47" max="47" width="13.85546875" style="246" bestFit="1" customWidth="1"/>
    <col min="48" max="48" width="2" style="246" customWidth="1"/>
    <col min="49" max="49" width="12" style="246" bestFit="1" customWidth="1"/>
    <col min="50" max="50" width="2" style="246" customWidth="1"/>
    <col min="51" max="51" width="15" style="246" bestFit="1" customWidth="1"/>
    <col min="52" max="52" width="2" style="246" customWidth="1"/>
    <col min="53" max="53" width="15.7109375" style="246" bestFit="1" customWidth="1"/>
    <col min="54" max="54" width="2.7109375" style="246" customWidth="1"/>
    <col min="55" max="55" width="12.85546875" style="246" bestFit="1" customWidth="1"/>
    <col min="56" max="56" width="1.5703125" style="246" customWidth="1"/>
    <col min="57" max="57" width="10" style="246" bestFit="1" customWidth="1"/>
    <col min="58" max="59" width="9.140625" style="247"/>
    <col min="60" max="60" width="10.7109375" style="247" bestFit="1" customWidth="1"/>
    <col min="61" max="16384" width="9.140625" style="247"/>
  </cols>
  <sheetData>
    <row r="1" spans="1:60">
      <c r="A1" s="42" t="s">
        <v>235</v>
      </c>
      <c r="B1" s="40"/>
      <c r="C1" s="40"/>
      <c r="D1" s="40"/>
      <c r="E1" s="241"/>
      <c r="F1" s="241"/>
      <c r="Z1" s="40"/>
      <c r="AA1" s="40"/>
      <c r="AB1" s="40"/>
      <c r="AC1" s="56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242" t="s">
        <v>282</v>
      </c>
      <c r="AR1" s="40"/>
      <c r="AS1" s="243"/>
      <c r="AT1" s="243"/>
      <c r="AU1" s="243"/>
      <c r="AV1" s="243"/>
      <c r="AW1" s="244"/>
      <c r="AX1" s="243"/>
      <c r="AY1" s="243"/>
      <c r="AZ1" s="243"/>
      <c r="BA1" s="243"/>
      <c r="BB1" s="245"/>
    </row>
    <row r="2" spans="1:60">
      <c r="A2" s="42"/>
      <c r="B2" s="40"/>
      <c r="C2" s="40"/>
      <c r="D2" s="40"/>
      <c r="E2" s="241"/>
      <c r="F2" s="241"/>
      <c r="Z2" s="40"/>
      <c r="AA2" s="40"/>
      <c r="AB2" s="40"/>
      <c r="AC2" s="56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242"/>
      <c r="AR2" s="40"/>
      <c r="AS2" s="40"/>
      <c r="AT2" s="40"/>
      <c r="AU2" s="64"/>
      <c r="AV2" s="40"/>
      <c r="AW2" s="40"/>
      <c r="AX2" s="40"/>
      <c r="AY2" s="40"/>
      <c r="AZ2" s="247"/>
      <c r="BA2" s="247"/>
      <c r="BB2" s="247"/>
    </row>
    <row r="3" spans="1:60">
      <c r="A3" s="139" t="s">
        <v>361</v>
      </c>
      <c r="B3" s="40"/>
      <c r="C3" s="40"/>
      <c r="D3" s="40"/>
      <c r="E3" s="241"/>
      <c r="F3" s="241"/>
      <c r="Z3" s="40"/>
      <c r="AA3" s="40"/>
      <c r="AB3" s="40"/>
      <c r="AC3" s="56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248"/>
      <c r="AT3" s="248"/>
      <c r="AU3" s="248"/>
      <c r="AV3" s="248"/>
      <c r="AW3" s="249"/>
      <c r="AX3" s="249"/>
      <c r="AY3" s="250"/>
      <c r="AZ3" s="249"/>
      <c r="BA3" s="249"/>
      <c r="BB3" s="245"/>
    </row>
    <row r="4" spans="1:60">
      <c r="A4" s="42"/>
      <c r="B4" s="40"/>
      <c r="C4" s="218" t="s">
        <v>0</v>
      </c>
      <c r="D4" s="251"/>
      <c r="E4" s="252"/>
      <c r="F4" s="252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4"/>
      <c r="AA4" s="254"/>
      <c r="AB4" s="254"/>
      <c r="AC4" s="254"/>
      <c r="AD4" s="254"/>
      <c r="AE4" s="255"/>
      <c r="AF4" s="254"/>
      <c r="AG4" s="254"/>
      <c r="AH4" s="254"/>
      <c r="AI4" s="256"/>
      <c r="AJ4" s="257"/>
      <c r="AK4" s="257"/>
      <c r="AL4" s="257"/>
      <c r="AM4" s="257"/>
      <c r="AN4" s="257"/>
      <c r="AO4" s="257"/>
      <c r="AP4" s="64"/>
      <c r="AQ4" s="40"/>
      <c r="AR4" s="40"/>
      <c r="AS4" s="249"/>
      <c r="AT4" s="249"/>
      <c r="AU4" s="249"/>
      <c r="AV4" s="249"/>
      <c r="AW4" s="258"/>
      <c r="AX4" s="258"/>
      <c r="AY4" s="258"/>
      <c r="AZ4" s="258"/>
      <c r="BA4" s="258"/>
      <c r="BB4" s="245"/>
    </row>
    <row r="5" spans="1:60">
      <c r="A5" s="259"/>
      <c r="B5" s="66"/>
      <c r="C5" s="66"/>
      <c r="D5" s="66"/>
      <c r="E5" s="66"/>
      <c r="F5" s="66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3"/>
      <c r="AP5" s="66"/>
      <c r="AQ5" s="66"/>
      <c r="AR5" s="66"/>
      <c r="AS5" s="261"/>
      <c r="AT5" s="261"/>
      <c r="AU5" s="261"/>
      <c r="AV5" s="261"/>
      <c r="AW5" s="262"/>
      <c r="AX5" s="262"/>
      <c r="AY5" s="262"/>
      <c r="AZ5" s="262"/>
      <c r="BA5" s="262"/>
      <c r="BB5" s="263"/>
      <c r="BC5" s="264"/>
      <c r="BD5" s="264"/>
      <c r="BE5" s="264"/>
    </row>
    <row r="6" spans="1:60">
      <c r="A6" s="66"/>
      <c r="B6" s="66"/>
      <c r="C6" s="66"/>
      <c r="D6" s="66"/>
      <c r="E6" s="248"/>
      <c r="F6" s="248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58"/>
      <c r="AX6" s="258"/>
      <c r="AY6" s="258"/>
      <c r="AZ6" s="258"/>
      <c r="BA6" s="258"/>
      <c r="BB6" s="245"/>
    </row>
    <row r="7" spans="1:60">
      <c r="A7" s="40"/>
      <c r="B7" s="64"/>
      <c r="C7" s="64"/>
      <c r="D7" s="64"/>
      <c r="E7" s="266"/>
      <c r="F7" s="266"/>
      <c r="G7" s="217" t="s">
        <v>336</v>
      </c>
      <c r="H7" s="1"/>
      <c r="I7" s="217" t="s">
        <v>356</v>
      </c>
      <c r="J7" s="217" t="s">
        <v>357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65"/>
      <c r="Z7" s="248"/>
      <c r="AA7" s="248"/>
      <c r="AB7" s="248"/>
      <c r="AC7" s="248"/>
      <c r="AD7" s="248"/>
      <c r="AE7" s="248"/>
      <c r="AF7" s="248"/>
      <c r="AG7" s="248"/>
      <c r="AH7" s="248"/>
      <c r="AI7" s="267">
        <v>41274</v>
      </c>
      <c r="AJ7" s="248"/>
      <c r="AK7" s="64"/>
      <c r="AL7" s="65"/>
      <c r="AM7" s="64" t="s">
        <v>24</v>
      </c>
      <c r="AN7" s="248"/>
      <c r="AO7" s="248"/>
      <c r="AP7" s="248"/>
      <c r="AQ7" s="248"/>
      <c r="AR7" s="248"/>
      <c r="AS7" s="268"/>
      <c r="AT7" s="268"/>
      <c r="AU7" s="269"/>
      <c r="AV7" s="268"/>
      <c r="AW7" s="262"/>
      <c r="AX7" s="270"/>
      <c r="AY7" s="271">
        <v>41274</v>
      </c>
      <c r="AZ7" s="262"/>
      <c r="BA7" s="262" t="s">
        <v>5</v>
      </c>
      <c r="BB7" s="272"/>
    </row>
    <row r="8" spans="1:60">
      <c r="A8" s="40"/>
      <c r="E8" s="243"/>
      <c r="F8" s="243"/>
      <c r="G8" s="15" t="s">
        <v>1</v>
      </c>
      <c r="H8" s="19"/>
      <c r="I8" s="15" t="s">
        <v>1</v>
      </c>
      <c r="J8" s="15" t="s">
        <v>1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65"/>
      <c r="Z8" s="273"/>
      <c r="AA8" s="273" t="s">
        <v>2</v>
      </c>
      <c r="AB8" s="273"/>
      <c r="AC8" s="273" t="s">
        <v>3</v>
      </c>
      <c r="AD8" s="273"/>
      <c r="AE8" s="245"/>
      <c r="AF8" s="273"/>
      <c r="AG8" s="273" t="s">
        <v>5</v>
      </c>
      <c r="AH8" s="273"/>
      <c r="AI8" s="273" t="s">
        <v>6</v>
      </c>
      <c r="AJ8" s="273"/>
      <c r="AK8" s="19" t="s">
        <v>18</v>
      </c>
      <c r="AL8" s="19"/>
      <c r="AM8" s="19" t="s">
        <v>25</v>
      </c>
      <c r="AN8" s="273"/>
      <c r="AO8" s="267">
        <v>41274</v>
      </c>
      <c r="AP8" s="273"/>
      <c r="AQ8" s="273" t="s">
        <v>5</v>
      </c>
      <c r="AR8" s="248"/>
      <c r="AS8" s="263" t="s">
        <v>283</v>
      </c>
      <c r="AT8" s="268"/>
      <c r="AU8" s="268" t="s">
        <v>245</v>
      </c>
      <c r="AV8" s="268"/>
      <c r="AW8" s="274" t="s">
        <v>284</v>
      </c>
      <c r="AX8" s="275"/>
      <c r="AY8" s="275" t="s">
        <v>285</v>
      </c>
      <c r="AZ8" s="275"/>
      <c r="BA8" s="275" t="s">
        <v>242</v>
      </c>
      <c r="BB8" s="272"/>
      <c r="BE8" s="246" t="s">
        <v>286</v>
      </c>
    </row>
    <row r="9" spans="1:60">
      <c r="A9" s="133" t="s">
        <v>287</v>
      </c>
      <c r="B9" s="276" t="s">
        <v>288</v>
      </c>
      <c r="C9" s="277" t="s">
        <v>247</v>
      </c>
      <c r="E9" s="278" t="s">
        <v>289</v>
      </c>
      <c r="F9" s="279"/>
      <c r="G9" s="22" t="s">
        <v>7</v>
      </c>
      <c r="H9" s="19"/>
      <c r="I9" s="22" t="s">
        <v>7</v>
      </c>
      <c r="J9" s="22" t="s">
        <v>7</v>
      </c>
      <c r="K9" s="19"/>
      <c r="L9" s="238">
        <v>41851</v>
      </c>
      <c r="M9" s="238">
        <v>41882</v>
      </c>
      <c r="N9" s="238">
        <v>41912</v>
      </c>
      <c r="O9" s="238">
        <v>41943</v>
      </c>
      <c r="P9" s="238">
        <v>41973</v>
      </c>
      <c r="Q9" s="238">
        <v>42004</v>
      </c>
      <c r="R9" s="238">
        <v>42035</v>
      </c>
      <c r="S9" s="238">
        <v>42063</v>
      </c>
      <c r="T9" s="238">
        <v>42094</v>
      </c>
      <c r="U9" s="238">
        <v>42124</v>
      </c>
      <c r="V9" s="238">
        <v>42155</v>
      </c>
      <c r="W9" s="238">
        <v>42185</v>
      </c>
      <c r="X9" s="19"/>
      <c r="Y9" s="265"/>
      <c r="Z9" s="273" t="s">
        <v>290</v>
      </c>
      <c r="AA9" s="280" t="s">
        <v>8</v>
      </c>
      <c r="AB9" s="273"/>
      <c r="AC9" s="280" t="s">
        <v>9</v>
      </c>
      <c r="AD9" s="273"/>
      <c r="AE9" s="280" t="s">
        <v>4</v>
      </c>
      <c r="AF9" s="273"/>
      <c r="AG9" s="280" t="s">
        <v>10</v>
      </c>
      <c r="AH9" s="273"/>
      <c r="AI9" s="280" t="s">
        <v>11</v>
      </c>
      <c r="AJ9" s="273" t="s">
        <v>291</v>
      </c>
      <c r="AK9" s="280" t="s">
        <v>250</v>
      </c>
      <c r="AL9" s="273"/>
      <c r="AM9" s="280" t="s">
        <v>251</v>
      </c>
      <c r="AN9" s="273"/>
      <c r="AO9" s="280" t="s">
        <v>12</v>
      </c>
      <c r="AP9" s="273" t="s">
        <v>292</v>
      </c>
      <c r="AQ9" s="280" t="s">
        <v>13</v>
      </c>
      <c r="AR9" s="248"/>
      <c r="AS9" s="281" t="s">
        <v>293</v>
      </c>
      <c r="AT9" s="268"/>
      <c r="AU9" s="281" t="s">
        <v>252</v>
      </c>
      <c r="AV9" s="268"/>
      <c r="AW9" s="282" t="s">
        <v>7</v>
      </c>
      <c r="AX9" s="275"/>
      <c r="AY9" s="282" t="s">
        <v>254</v>
      </c>
      <c r="AZ9" s="275"/>
      <c r="BA9" s="282" t="s">
        <v>7</v>
      </c>
      <c r="BB9" s="272"/>
      <c r="BC9" s="246" t="s">
        <v>294</v>
      </c>
      <c r="BE9" s="246" t="s">
        <v>295</v>
      </c>
    </row>
    <row r="10" spans="1:60">
      <c r="A10" s="40"/>
      <c r="B10" s="283" t="s">
        <v>296</v>
      </c>
      <c r="C10" s="283"/>
      <c r="D10" s="284"/>
      <c r="E10" s="285" t="s">
        <v>297</v>
      </c>
      <c r="F10" s="285"/>
      <c r="G10" s="260" t="s">
        <v>298</v>
      </c>
      <c r="H10" s="260"/>
      <c r="I10" s="77"/>
      <c r="J10" s="77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 t="s">
        <v>299</v>
      </c>
      <c r="AB10" s="260"/>
      <c r="AC10" s="260" t="s">
        <v>300</v>
      </c>
      <c r="AD10" s="260"/>
      <c r="AE10" s="260" t="s">
        <v>301</v>
      </c>
      <c r="AF10" s="260"/>
      <c r="AG10" s="260" t="s">
        <v>302</v>
      </c>
      <c r="AH10" s="260"/>
      <c r="AI10" s="260" t="s">
        <v>300</v>
      </c>
      <c r="AJ10" s="260"/>
      <c r="AK10" s="260" t="s">
        <v>301</v>
      </c>
      <c r="AL10" s="260"/>
      <c r="AM10" s="260" t="s">
        <v>302</v>
      </c>
      <c r="AN10" s="260"/>
      <c r="AO10" s="260" t="s">
        <v>303</v>
      </c>
      <c r="AP10" s="260"/>
      <c r="AQ10" s="260" t="s">
        <v>304</v>
      </c>
      <c r="AR10" s="64"/>
      <c r="AS10" s="260"/>
      <c r="AT10" s="260"/>
      <c r="AU10" s="260"/>
      <c r="AV10" s="260"/>
      <c r="AW10" s="260"/>
      <c r="AX10" s="83"/>
      <c r="AY10" s="260"/>
      <c r="AZ10" s="83"/>
      <c r="BA10" s="260"/>
      <c r="BB10" s="286"/>
    </row>
    <row r="11" spans="1:60" ht="16.5">
      <c r="A11" s="287">
        <v>1</v>
      </c>
      <c r="B11" s="288" t="str">
        <f>CONCATENATE("CSR ", BH11)</f>
        <v>CSR 1</v>
      </c>
      <c r="C11" s="288" t="s">
        <v>305</v>
      </c>
      <c r="D11" s="288"/>
      <c r="E11" s="279" t="s">
        <v>323</v>
      </c>
      <c r="F11" s="279"/>
      <c r="G11" s="289">
        <f t="shared" ref="G11:G50" si="0">BA11</f>
        <v>31466.969999999994</v>
      </c>
      <c r="H11" s="289"/>
      <c r="I11" s="83">
        <f>G11*(1.03)</f>
        <v>32410.979099999993</v>
      </c>
      <c r="J11" s="83">
        <f>I11*1.03</f>
        <v>33383.308472999997</v>
      </c>
      <c r="K11" s="289"/>
      <c r="L11" s="239">
        <f>$I11/12</f>
        <v>2700.9149249999996</v>
      </c>
      <c r="M11" s="239">
        <f t="shared" ref="M11:T26" si="1">$I11/12</f>
        <v>2700.9149249999996</v>
      </c>
      <c r="N11" s="239">
        <f t="shared" si="1"/>
        <v>2700.9149249999996</v>
      </c>
      <c r="O11" s="239">
        <f t="shared" si="1"/>
        <v>2700.9149249999996</v>
      </c>
      <c r="P11" s="239">
        <f t="shared" si="1"/>
        <v>2700.9149249999996</v>
      </c>
      <c r="Q11" s="239">
        <f t="shared" si="1"/>
        <v>2700.9149249999996</v>
      </c>
      <c r="R11" s="239">
        <f t="shared" si="1"/>
        <v>2700.9149249999996</v>
      </c>
      <c r="S11" s="239">
        <f t="shared" si="1"/>
        <v>2700.9149249999996</v>
      </c>
      <c r="T11" s="239">
        <f t="shared" si="1"/>
        <v>2700.9149249999996</v>
      </c>
      <c r="U11" s="239">
        <f>$J11/12</f>
        <v>2781.9423727499998</v>
      </c>
      <c r="V11" s="239">
        <f t="shared" ref="V11:W26" si="2">$J11/12</f>
        <v>2781.9423727499998</v>
      </c>
      <c r="W11" s="239">
        <f t="shared" si="2"/>
        <v>2781.9423727499998</v>
      </c>
      <c r="X11" s="289"/>
      <c r="Y11" s="289"/>
      <c r="Z11" s="289"/>
      <c r="AA11" s="289">
        <f>ROUND(G11*0.0765,0)</f>
        <v>2407</v>
      </c>
      <c r="AB11" s="289"/>
      <c r="AC11" s="289">
        <v>56</v>
      </c>
      <c r="AD11" s="289"/>
      <c r="AE11" s="289">
        <f>IF(G11&gt;8000,8000*0.0458,G11*0.0458)</f>
        <v>366.4</v>
      </c>
      <c r="AF11" s="289" t="s">
        <v>248</v>
      </c>
      <c r="AG11" s="289">
        <f t="shared" ref="AG11:AG50" si="3">SUM(AE11,AC11,AA11)</f>
        <v>2829.4</v>
      </c>
      <c r="AH11" s="289"/>
      <c r="AI11" s="289">
        <v>7481.8509443099274</v>
      </c>
      <c r="AJ11" s="289"/>
      <c r="AK11" s="289">
        <f>G11*0.03</f>
        <v>944.00909999999976</v>
      </c>
      <c r="AL11" s="289"/>
      <c r="AM11" s="289">
        <f>G11*0.04</f>
        <v>1258.6787999999997</v>
      </c>
      <c r="AN11" s="289"/>
      <c r="AO11" s="289">
        <v>453.52290556900732</v>
      </c>
      <c r="AP11" s="289"/>
      <c r="AQ11" s="289">
        <f t="shared" ref="AQ11:AQ50" si="4">SUM(AI11,AK11,AM11,AO11)</f>
        <v>10138.061749878934</v>
      </c>
      <c r="AR11" s="244"/>
      <c r="AS11" s="290">
        <f>15.03*80</f>
        <v>1202.3999999999999</v>
      </c>
      <c r="AT11" s="290"/>
      <c r="AU11" s="291">
        <v>2080</v>
      </c>
      <c r="AV11" s="244"/>
      <c r="AW11" s="291">
        <f t="shared" ref="AW11:AW50" si="5">IF(AU11=86.67,AS11*24,(AS11/80)*AU11)</f>
        <v>31262.399999999994</v>
      </c>
      <c r="AX11" s="83"/>
      <c r="AY11" s="292">
        <v>204.57</v>
      </c>
      <c r="AZ11" s="83"/>
      <c r="BA11" s="83">
        <f t="shared" ref="BA11:BA50" si="6">+AW11+AY11</f>
        <v>31466.969999999994</v>
      </c>
      <c r="BB11" s="293"/>
      <c r="BC11" s="294">
        <v>28771.13</v>
      </c>
      <c r="BE11" s="295">
        <v>98669</v>
      </c>
      <c r="BH11" s="109">
        <v>1</v>
      </c>
    </row>
    <row r="12" spans="1:60" ht="16.5">
      <c r="A12" s="287">
        <v>2</v>
      </c>
      <c r="B12" s="288" t="str">
        <f t="shared" ref="B12:B50" si="7">CONCATENATE("CSR ", BH12)</f>
        <v>CSR 2</v>
      </c>
      <c r="C12" s="288" t="s">
        <v>306</v>
      </c>
      <c r="D12" s="288"/>
      <c r="E12" s="279" t="s">
        <v>324</v>
      </c>
      <c r="F12" s="279"/>
      <c r="G12" s="289">
        <f t="shared" si="0"/>
        <v>25251.200000000001</v>
      </c>
      <c r="H12" s="289"/>
      <c r="I12" s="83">
        <f t="shared" ref="I12:I50" si="8">G12*(1.03)</f>
        <v>26008.736000000001</v>
      </c>
      <c r="J12" s="83">
        <f t="shared" ref="J12:J50" si="9">I12*1.03</f>
        <v>26788.998080000001</v>
      </c>
      <c r="K12" s="289"/>
      <c r="L12" s="239">
        <f t="shared" ref="L12:T51" si="10">$I12/12</f>
        <v>2167.3946666666666</v>
      </c>
      <c r="M12" s="239">
        <f t="shared" si="1"/>
        <v>2167.3946666666666</v>
      </c>
      <c r="N12" s="239">
        <f t="shared" si="1"/>
        <v>2167.3946666666666</v>
      </c>
      <c r="O12" s="239">
        <f t="shared" si="1"/>
        <v>2167.3946666666666</v>
      </c>
      <c r="P12" s="239">
        <f t="shared" si="1"/>
        <v>2167.3946666666666</v>
      </c>
      <c r="Q12" s="239">
        <f t="shared" si="1"/>
        <v>2167.3946666666666</v>
      </c>
      <c r="R12" s="239">
        <f t="shared" si="1"/>
        <v>2167.3946666666666</v>
      </c>
      <c r="S12" s="239">
        <f t="shared" si="1"/>
        <v>2167.3946666666666</v>
      </c>
      <c r="T12" s="239">
        <f t="shared" si="1"/>
        <v>2167.3946666666666</v>
      </c>
      <c r="U12" s="239">
        <f t="shared" ref="U12:W51" si="11">$J12/12</f>
        <v>2232.4165066666669</v>
      </c>
      <c r="V12" s="239">
        <f t="shared" si="2"/>
        <v>2232.4165066666669</v>
      </c>
      <c r="W12" s="239">
        <f t="shared" si="2"/>
        <v>2232.4165066666669</v>
      </c>
      <c r="X12" s="289"/>
      <c r="Y12" s="289"/>
      <c r="Z12" s="289"/>
      <c r="AA12" s="289">
        <f>ROUND(G12*0.0765,0)</f>
        <v>1932</v>
      </c>
      <c r="AB12" s="289"/>
      <c r="AC12" s="289">
        <v>56</v>
      </c>
      <c r="AD12" s="289"/>
      <c r="AE12" s="289">
        <f>IF(G12&gt;20900,20900*0.042,G12*0.042)</f>
        <v>877.80000000000007</v>
      </c>
      <c r="AF12" s="289" t="s">
        <v>307</v>
      </c>
      <c r="AG12" s="289">
        <f t="shared" si="3"/>
        <v>2865.8</v>
      </c>
      <c r="AH12" s="289"/>
      <c r="AI12" s="289">
        <v>7481.8509443099274</v>
      </c>
      <c r="AJ12" s="289"/>
      <c r="AK12" s="289">
        <f>G12*0.03</f>
        <v>757.53599999999994</v>
      </c>
      <c r="AL12" s="289"/>
      <c r="AM12" s="289">
        <f>G12*0.04</f>
        <v>1010.048</v>
      </c>
      <c r="AN12" s="289"/>
      <c r="AO12" s="289">
        <v>453.52290556900732</v>
      </c>
      <c r="AP12" s="289"/>
      <c r="AQ12" s="289">
        <f t="shared" si="4"/>
        <v>9702.9578498789342</v>
      </c>
      <c r="AR12" s="244"/>
      <c r="AS12" s="290">
        <f>12.14*80</f>
        <v>971.2</v>
      </c>
      <c r="AT12" s="290"/>
      <c r="AU12" s="291">
        <v>2080</v>
      </c>
      <c r="AV12" s="244"/>
      <c r="AW12" s="291">
        <f t="shared" si="5"/>
        <v>25251.200000000001</v>
      </c>
      <c r="AX12" s="83"/>
      <c r="AY12" s="292">
        <v>0</v>
      </c>
      <c r="AZ12" s="83"/>
      <c r="BA12" s="83">
        <f t="shared" si="6"/>
        <v>25251.200000000001</v>
      </c>
      <c r="BB12" s="293"/>
      <c r="BC12" s="294">
        <v>21479.96</v>
      </c>
      <c r="BE12" s="295">
        <v>99968</v>
      </c>
      <c r="BH12" s="109">
        <f>+BH11+1</f>
        <v>2</v>
      </c>
    </row>
    <row r="13" spans="1:60" ht="16.5">
      <c r="A13" s="287">
        <v>3</v>
      </c>
      <c r="B13" s="288" t="str">
        <f t="shared" si="7"/>
        <v>CSR 3</v>
      </c>
      <c r="C13" s="288" t="s">
        <v>305</v>
      </c>
      <c r="D13" s="288"/>
      <c r="E13" s="279" t="s">
        <v>323</v>
      </c>
      <c r="F13" s="279"/>
      <c r="G13" s="289">
        <f t="shared" si="0"/>
        <v>35431.64</v>
      </c>
      <c r="H13" s="289"/>
      <c r="I13" s="83">
        <f t="shared" si="8"/>
        <v>36494.589200000002</v>
      </c>
      <c r="J13" s="83">
        <f t="shared" si="9"/>
        <v>37589.426876000005</v>
      </c>
      <c r="K13" s="289"/>
      <c r="L13" s="239">
        <f t="shared" si="10"/>
        <v>3041.2157666666667</v>
      </c>
      <c r="M13" s="239">
        <f t="shared" si="1"/>
        <v>3041.2157666666667</v>
      </c>
      <c r="N13" s="239">
        <f t="shared" si="1"/>
        <v>3041.2157666666667</v>
      </c>
      <c r="O13" s="239">
        <f t="shared" si="1"/>
        <v>3041.2157666666667</v>
      </c>
      <c r="P13" s="239">
        <f t="shared" si="1"/>
        <v>3041.2157666666667</v>
      </c>
      <c r="Q13" s="239">
        <f t="shared" si="1"/>
        <v>3041.2157666666667</v>
      </c>
      <c r="R13" s="239">
        <f t="shared" si="1"/>
        <v>3041.2157666666667</v>
      </c>
      <c r="S13" s="239">
        <f t="shared" si="1"/>
        <v>3041.2157666666667</v>
      </c>
      <c r="T13" s="239">
        <f t="shared" si="1"/>
        <v>3041.2157666666667</v>
      </c>
      <c r="U13" s="239">
        <f t="shared" si="11"/>
        <v>3132.4522396666671</v>
      </c>
      <c r="V13" s="239">
        <f t="shared" si="2"/>
        <v>3132.4522396666671</v>
      </c>
      <c r="W13" s="239">
        <f t="shared" si="2"/>
        <v>3132.4522396666671</v>
      </c>
      <c r="X13" s="289"/>
      <c r="Y13" s="289"/>
      <c r="Z13" s="289"/>
      <c r="AA13" s="289">
        <f>ROUND(G13*0.0765,0)</f>
        <v>2711</v>
      </c>
      <c r="AB13" s="289"/>
      <c r="AC13" s="289">
        <v>56</v>
      </c>
      <c r="AD13" s="289"/>
      <c r="AE13" s="289">
        <f>IF(G13&gt;8000,8000*0.0458,G13*0.0458)</f>
        <v>366.4</v>
      </c>
      <c r="AF13" s="289" t="s">
        <v>248</v>
      </c>
      <c r="AG13" s="289">
        <f t="shared" si="3"/>
        <v>3133.4</v>
      </c>
      <c r="AH13" s="289"/>
      <c r="AI13" s="289">
        <v>7481.8509443099274</v>
      </c>
      <c r="AJ13" s="289"/>
      <c r="AK13" s="289">
        <f>G13*0.03</f>
        <v>1062.9492</v>
      </c>
      <c r="AL13" s="289"/>
      <c r="AM13" s="289">
        <f>G13*0.04</f>
        <v>1417.2655999999999</v>
      </c>
      <c r="AN13" s="289"/>
      <c r="AO13" s="289">
        <v>453.52290556900732</v>
      </c>
      <c r="AP13" s="289"/>
      <c r="AQ13" s="289">
        <f t="shared" si="4"/>
        <v>10415.588649878935</v>
      </c>
      <c r="AR13" s="244"/>
      <c r="AS13" s="290">
        <f>16.52*80</f>
        <v>1321.6</v>
      </c>
      <c r="AT13" s="290"/>
      <c r="AU13" s="291">
        <v>2080</v>
      </c>
      <c r="AV13" s="244"/>
      <c r="AW13" s="291">
        <f t="shared" si="5"/>
        <v>34361.599999999999</v>
      </c>
      <c r="AX13" s="83"/>
      <c r="AY13" s="292">
        <v>1070.04</v>
      </c>
      <c r="AZ13" s="83"/>
      <c r="BA13" s="83">
        <f t="shared" si="6"/>
        <v>35431.64</v>
      </c>
      <c r="BB13" s="293"/>
      <c r="BC13" s="294">
        <v>29093.02</v>
      </c>
      <c r="BE13" s="295">
        <v>766</v>
      </c>
      <c r="BH13" s="109">
        <f t="shared" ref="BH13:BH50" si="12">+BH12+1</f>
        <v>3</v>
      </c>
    </row>
    <row r="14" spans="1:60" ht="16.5">
      <c r="A14" s="287">
        <v>4</v>
      </c>
      <c r="B14" s="288" t="str">
        <f t="shared" si="7"/>
        <v>CSR 4</v>
      </c>
      <c r="C14" s="288" t="s">
        <v>305</v>
      </c>
      <c r="D14" s="288"/>
      <c r="E14" s="279" t="s">
        <v>323</v>
      </c>
      <c r="F14" s="279"/>
      <c r="G14" s="289">
        <f t="shared" si="0"/>
        <v>33211.379999999997</v>
      </c>
      <c r="H14" s="289"/>
      <c r="I14" s="83">
        <f t="shared" si="8"/>
        <v>34207.721399999995</v>
      </c>
      <c r="J14" s="83">
        <f t="shared" si="9"/>
        <v>35233.953041999994</v>
      </c>
      <c r="K14" s="289"/>
      <c r="L14" s="239">
        <f t="shared" si="10"/>
        <v>2850.6434499999996</v>
      </c>
      <c r="M14" s="239">
        <f t="shared" si="1"/>
        <v>2850.6434499999996</v>
      </c>
      <c r="N14" s="239">
        <f t="shared" si="1"/>
        <v>2850.6434499999996</v>
      </c>
      <c r="O14" s="239">
        <f t="shared" si="1"/>
        <v>2850.6434499999996</v>
      </c>
      <c r="P14" s="239">
        <f t="shared" si="1"/>
        <v>2850.6434499999996</v>
      </c>
      <c r="Q14" s="239">
        <f t="shared" si="1"/>
        <v>2850.6434499999996</v>
      </c>
      <c r="R14" s="239">
        <f t="shared" si="1"/>
        <v>2850.6434499999996</v>
      </c>
      <c r="S14" s="239">
        <f t="shared" si="1"/>
        <v>2850.6434499999996</v>
      </c>
      <c r="T14" s="239">
        <f t="shared" si="1"/>
        <v>2850.6434499999996</v>
      </c>
      <c r="U14" s="239">
        <f t="shared" si="11"/>
        <v>2936.1627534999993</v>
      </c>
      <c r="V14" s="239">
        <f t="shared" si="2"/>
        <v>2936.1627534999993</v>
      </c>
      <c r="W14" s="239">
        <f t="shared" si="2"/>
        <v>2936.1627534999993</v>
      </c>
      <c r="X14" s="289"/>
      <c r="Y14" s="289"/>
      <c r="Z14" s="289"/>
      <c r="AA14" s="289">
        <f>ROUND(G14*0.0765,0)</f>
        <v>2541</v>
      </c>
      <c r="AB14" s="289"/>
      <c r="AC14" s="289">
        <v>56</v>
      </c>
      <c r="AD14" s="289"/>
      <c r="AE14" s="289">
        <f>IF(G14&gt;8000,8000*0.0458,G14*0.0458)</f>
        <v>366.4</v>
      </c>
      <c r="AF14" s="289" t="s">
        <v>248</v>
      </c>
      <c r="AG14" s="289">
        <f t="shared" si="3"/>
        <v>2963.4</v>
      </c>
      <c r="AH14" s="289"/>
      <c r="AI14" s="289">
        <v>7481.8509443099274</v>
      </c>
      <c r="AJ14" s="289"/>
      <c r="AK14" s="289">
        <f>G14*0.03</f>
        <v>996.34139999999991</v>
      </c>
      <c r="AL14" s="289"/>
      <c r="AM14" s="289">
        <f>G14*0.04</f>
        <v>1328.4551999999999</v>
      </c>
      <c r="AN14" s="289"/>
      <c r="AO14" s="289">
        <v>453.52290556900732</v>
      </c>
      <c r="AP14" s="289"/>
      <c r="AQ14" s="289">
        <f t="shared" si="4"/>
        <v>10260.170449878935</v>
      </c>
      <c r="AR14" s="244"/>
      <c r="AS14" s="290">
        <f>15.87*80</f>
        <v>1269.5999999999999</v>
      </c>
      <c r="AT14" s="290"/>
      <c r="AU14" s="291">
        <v>2080</v>
      </c>
      <c r="AV14" s="244"/>
      <c r="AW14" s="291">
        <f t="shared" si="5"/>
        <v>33009.599999999999</v>
      </c>
      <c r="AX14" s="83"/>
      <c r="AY14" s="292">
        <v>201.78000000000003</v>
      </c>
      <c r="AZ14" s="83"/>
      <c r="BA14" s="83">
        <f t="shared" si="6"/>
        <v>33211.379999999997</v>
      </c>
      <c r="BB14" s="293"/>
      <c r="BC14" s="294">
        <v>27787.22</v>
      </c>
      <c r="BE14" s="295">
        <v>98986</v>
      </c>
      <c r="BH14" s="109">
        <f t="shared" si="12"/>
        <v>4</v>
      </c>
    </row>
    <row r="15" spans="1:60" ht="16.5">
      <c r="A15" s="296">
        <v>5</v>
      </c>
      <c r="B15" s="288" t="str">
        <f t="shared" si="7"/>
        <v>CSR 5</v>
      </c>
      <c r="C15" s="288" t="s">
        <v>308</v>
      </c>
      <c r="D15" s="288"/>
      <c r="E15" s="279" t="s">
        <v>323</v>
      </c>
      <c r="F15" s="279"/>
      <c r="G15" s="289">
        <f t="shared" si="0"/>
        <v>37698</v>
      </c>
      <c r="H15" s="289"/>
      <c r="I15" s="83">
        <f t="shared" si="8"/>
        <v>38828.94</v>
      </c>
      <c r="J15" s="83">
        <f t="shared" si="9"/>
        <v>39993.808200000007</v>
      </c>
      <c r="K15" s="289"/>
      <c r="L15" s="239">
        <f t="shared" si="10"/>
        <v>3235.7450000000003</v>
      </c>
      <c r="M15" s="239">
        <f t="shared" si="1"/>
        <v>3235.7450000000003</v>
      </c>
      <c r="N15" s="239">
        <f t="shared" si="1"/>
        <v>3235.7450000000003</v>
      </c>
      <c r="O15" s="239">
        <f t="shared" si="1"/>
        <v>3235.7450000000003</v>
      </c>
      <c r="P15" s="239">
        <f t="shared" si="1"/>
        <v>3235.7450000000003</v>
      </c>
      <c r="Q15" s="239">
        <f t="shared" si="1"/>
        <v>3235.7450000000003</v>
      </c>
      <c r="R15" s="239">
        <f t="shared" si="1"/>
        <v>3235.7450000000003</v>
      </c>
      <c r="S15" s="239">
        <f t="shared" si="1"/>
        <v>3235.7450000000003</v>
      </c>
      <c r="T15" s="239">
        <f t="shared" si="1"/>
        <v>3235.7450000000003</v>
      </c>
      <c r="U15" s="239">
        <f t="shared" si="11"/>
        <v>3332.8173500000007</v>
      </c>
      <c r="V15" s="239">
        <f t="shared" si="2"/>
        <v>3332.8173500000007</v>
      </c>
      <c r="W15" s="239">
        <f t="shared" si="2"/>
        <v>3332.8173500000007</v>
      </c>
      <c r="X15" s="289"/>
      <c r="Y15" s="289"/>
      <c r="Z15" s="289"/>
      <c r="AA15" s="289">
        <f>ROUND(G15*0.0765,0)</f>
        <v>2884</v>
      </c>
      <c r="AB15" s="289"/>
      <c r="AC15" s="289">
        <v>56</v>
      </c>
      <c r="AD15" s="289"/>
      <c r="AE15" s="289">
        <f>IF(G15&gt;8000,8000*0.0458,G15*0.0458)</f>
        <v>366.4</v>
      </c>
      <c r="AF15" s="289" t="s">
        <v>248</v>
      </c>
      <c r="AG15" s="289">
        <f t="shared" si="3"/>
        <v>3306.4</v>
      </c>
      <c r="AH15" s="289"/>
      <c r="AI15" s="289">
        <v>7481.8509443099274</v>
      </c>
      <c r="AJ15" s="289"/>
      <c r="AK15" s="289">
        <f>G15*0.03</f>
        <v>1130.94</v>
      </c>
      <c r="AL15" s="289"/>
      <c r="AM15" s="289">
        <f>G15*0.04</f>
        <v>1507.92</v>
      </c>
      <c r="AN15" s="289"/>
      <c r="AO15" s="289">
        <v>453.52290556900732</v>
      </c>
      <c r="AP15" s="289"/>
      <c r="AQ15" s="289">
        <f t="shared" si="4"/>
        <v>10574.233849878934</v>
      </c>
      <c r="AR15" s="244"/>
      <c r="AS15" s="290">
        <v>1570.75</v>
      </c>
      <c r="AT15" s="290"/>
      <c r="AU15" s="291">
        <v>86.67</v>
      </c>
      <c r="AV15" s="244"/>
      <c r="AW15" s="291">
        <f t="shared" si="5"/>
        <v>37698</v>
      </c>
      <c r="AX15" s="83"/>
      <c r="AY15" s="292">
        <v>0</v>
      </c>
      <c r="AZ15" s="83"/>
      <c r="BA15" s="83">
        <f t="shared" si="6"/>
        <v>37698</v>
      </c>
      <c r="BB15" s="293"/>
      <c r="BC15" s="294">
        <v>32401.37</v>
      </c>
      <c r="BE15" s="295">
        <v>98712</v>
      </c>
      <c r="BH15" s="109">
        <f t="shared" si="12"/>
        <v>5</v>
      </c>
    </row>
    <row r="16" spans="1:60" ht="16.5">
      <c r="A16" s="287">
        <v>6</v>
      </c>
      <c r="B16" s="288" t="str">
        <f t="shared" si="7"/>
        <v>CSR 6</v>
      </c>
      <c r="C16" s="288" t="s">
        <v>309</v>
      </c>
      <c r="D16" s="288"/>
      <c r="E16" s="279" t="s">
        <v>323</v>
      </c>
      <c r="F16" s="279"/>
      <c r="G16" s="289">
        <f t="shared" si="0"/>
        <v>56347.19999999999</v>
      </c>
      <c r="H16" s="289"/>
      <c r="I16" s="83">
        <f t="shared" si="8"/>
        <v>58037.615999999995</v>
      </c>
      <c r="J16" s="83">
        <f t="shared" si="9"/>
        <v>59778.744479999994</v>
      </c>
      <c r="K16" s="289"/>
      <c r="L16" s="239">
        <f t="shared" si="10"/>
        <v>4836.4679999999998</v>
      </c>
      <c r="M16" s="239">
        <f t="shared" si="1"/>
        <v>4836.4679999999998</v>
      </c>
      <c r="N16" s="239">
        <f t="shared" si="1"/>
        <v>4836.4679999999998</v>
      </c>
      <c r="O16" s="239">
        <f t="shared" si="1"/>
        <v>4836.4679999999998</v>
      </c>
      <c r="P16" s="239">
        <f t="shared" si="1"/>
        <v>4836.4679999999998</v>
      </c>
      <c r="Q16" s="239">
        <f t="shared" si="1"/>
        <v>4836.4679999999998</v>
      </c>
      <c r="R16" s="239">
        <f t="shared" si="1"/>
        <v>4836.4679999999998</v>
      </c>
      <c r="S16" s="239">
        <f t="shared" si="1"/>
        <v>4836.4679999999998</v>
      </c>
      <c r="T16" s="239">
        <f t="shared" si="1"/>
        <v>4836.4679999999998</v>
      </c>
      <c r="U16" s="239">
        <f t="shared" si="11"/>
        <v>4981.5620399999998</v>
      </c>
      <c r="V16" s="239">
        <f t="shared" si="2"/>
        <v>4981.5620399999998</v>
      </c>
      <c r="W16" s="239">
        <f t="shared" si="2"/>
        <v>4981.5620399999998</v>
      </c>
      <c r="X16" s="289"/>
      <c r="Y16" s="289"/>
      <c r="Z16" s="289"/>
      <c r="AA16" s="289">
        <f>ROUND(G16*0.0765,0)</f>
        <v>4311</v>
      </c>
      <c r="AB16" s="289"/>
      <c r="AC16" s="289">
        <v>56</v>
      </c>
      <c r="AD16" s="289"/>
      <c r="AE16" s="289">
        <f>IF(G16&gt;8000,8000*0.0458,G16*0.0458)</f>
        <v>366.4</v>
      </c>
      <c r="AF16" s="289" t="s">
        <v>248</v>
      </c>
      <c r="AG16" s="289">
        <f t="shared" si="3"/>
        <v>4733.3999999999996</v>
      </c>
      <c r="AH16" s="289"/>
      <c r="AI16" s="289">
        <v>7481.8509443099274</v>
      </c>
      <c r="AJ16" s="289"/>
      <c r="AK16" s="289">
        <f>G16*0.03</f>
        <v>1690.4159999999997</v>
      </c>
      <c r="AL16" s="289"/>
      <c r="AM16" s="289">
        <f>G16*0.04</f>
        <v>2253.8879999999995</v>
      </c>
      <c r="AN16" s="289"/>
      <c r="AO16" s="289">
        <v>453.52290556900732</v>
      </c>
      <c r="AP16" s="289"/>
      <c r="AQ16" s="289">
        <f t="shared" si="4"/>
        <v>11879.677849878934</v>
      </c>
      <c r="AR16" s="244"/>
      <c r="AS16" s="290">
        <f>27.09*80</f>
        <v>2167.1999999999998</v>
      </c>
      <c r="AT16" s="290"/>
      <c r="AU16" s="291">
        <v>2080</v>
      </c>
      <c r="AV16" s="286"/>
      <c r="AW16" s="291">
        <f t="shared" si="5"/>
        <v>56347.19999999999</v>
      </c>
      <c r="AX16" s="286"/>
      <c r="AY16" s="292">
        <v>0</v>
      </c>
      <c r="AZ16" s="286"/>
      <c r="BA16" s="83">
        <f t="shared" si="6"/>
        <v>56347.19999999999</v>
      </c>
      <c r="BB16" s="293"/>
      <c r="BC16" s="294">
        <v>49082.04</v>
      </c>
      <c r="BE16" s="295">
        <v>98885</v>
      </c>
      <c r="BH16" s="109">
        <f t="shared" si="12"/>
        <v>6</v>
      </c>
    </row>
    <row r="17" spans="1:60" ht="16.5">
      <c r="A17" s="287">
        <v>7</v>
      </c>
      <c r="B17" s="288" t="str">
        <f t="shared" si="7"/>
        <v>CSR 7</v>
      </c>
      <c r="C17" s="288" t="s">
        <v>306</v>
      </c>
      <c r="D17" s="288"/>
      <c r="E17" s="279" t="s">
        <v>325</v>
      </c>
      <c r="F17" s="279"/>
      <c r="G17" s="289">
        <f t="shared" si="0"/>
        <v>25335.17</v>
      </c>
      <c r="H17" s="289"/>
      <c r="I17" s="83">
        <f t="shared" si="8"/>
        <v>26095.2251</v>
      </c>
      <c r="J17" s="83">
        <f t="shared" si="9"/>
        <v>26878.081853</v>
      </c>
      <c r="K17" s="289"/>
      <c r="L17" s="239">
        <f t="shared" si="10"/>
        <v>2174.6020916666666</v>
      </c>
      <c r="M17" s="239">
        <f t="shared" si="1"/>
        <v>2174.6020916666666</v>
      </c>
      <c r="N17" s="239">
        <f t="shared" si="1"/>
        <v>2174.6020916666666</v>
      </c>
      <c r="O17" s="239">
        <f t="shared" si="1"/>
        <v>2174.6020916666666</v>
      </c>
      <c r="P17" s="239">
        <f t="shared" si="1"/>
        <v>2174.6020916666666</v>
      </c>
      <c r="Q17" s="239">
        <f t="shared" si="1"/>
        <v>2174.6020916666666</v>
      </c>
      <c r="R17" s="239">
        <f t="shared" si="1"/>
        <v>2174.6020916666666</v>
      </c>
      <c r="S17" s="239">
        <f t="shared" si="1"/>
        <v>2174.6020916666666</v>
      </c>
      <c r="T17" s="239">
        <f t="shared" si="1"/>
        <v>2174.6020916666666</v>
      </c>
      <c r="U17" s="239">
        <f t="shared" si="11"/>
        <v>2239.8401544166668</v>
      </c>
      <c r="V17" s="239">
        <f t="shared" si="2"/>
        <v>2239.8401544166668</v>
      </c>
      <c r="W17" s="239">
        <f t="shared" si="2"/>
        <v>2239.8401544166668</v>
      </c>
      <c r="X17" s="289"/>
      <c r="Y17" s="289"/>
      <c r="Z17" s="289"/>
      <c r="AA17" s="289">
        <f>ROUND(G17*0.0765,0)</f>
        <v>1938</v>
      </c>
      <c r="AB17" s="289"/>
      <c r="AC17" s="289">
        <v>56</v>
      </c>
      <c r="AD17" s="289"/>
      <c r="AE17" s="289">
        <f>IF(G17&gt;26900,26900*0.0385,G17*0.0385)</f>
        <v>975.40404499999988</v>
      </c>
      <c r="AF17" s="289" t="s">
        <v>310</v>
      </c>
      <c r="AG17" s="289">
        <f t="shared" si="3"/>
        <v>2969.4040449999998</v>
      </c>
      <c r="AH17" s="289"/>
      <c r="AI17" s="289">
        <v>7481.8509443099274</v>
      </c>
      <c r="AJ17" s="289"/>
      <c r="AK17" s="289">
        <f>G17*0.03</f>
        <v>760.05509999999992</v>
      </c>
      <c r="AL17" s="289"/>
      <c r="AM17" s="289">
        <f>G17*0.04</f>
        <v>1013.4068</v>
      </c>
      <c r="AN17" s="289"/>
      <c r="AO17" s="289">
        <v>453.52290556900732</v>
      </c>
      <c r="AP17" s="289"/>
      <c r="AQ17" s="289">
        <f t="shared" si="4"/>
        <v>9708.8357498789355</v>
      </c>
      <c r="AR17" s="244"/>
      <c r="AS17" s="290">
        <f>12.02*80</f>
        <v>961.59999999999991</v>
      </c>
      <c r="AT17" s="290"/>
      <c r="AU17" s="291">
        <v>2080</v>
      </c>
      <c r="AV17" s="286"/>
      <c r="AW17" s="291">
        <f t="shared" si="5"/>
        <v>25001.599999999999</v>
      </c>
      <c r="AX17" s="286"/>
      <c r="AY17" s="292">
        <v>333.57</v>
      </c>
      <c r="AZ17" s="286"/>
      <c r="BA17" s="83">
        <f t="shared" si="6"/>
        <v>25335.17</v>
      </c>
      <c r="BB17" s="293"/>
      <c r="BC17" s="294">
        <v>12735.45</v>
      </c>
      <c r="BE17" s="295">
        <v>99772</v>
      </c>
      <c r="BH17" s="109">
        <f t="shared" si="12"/>
        <v>7</v>
      </c>
    </row>
    <row r="18" spans="1:60" ht="16.5">
      <c r="A18" s="287">
        <v>8</v>
      </c>
      <c r="B18" s="288" t="str">
        <f t="shared" si="7"/>
        <v>CSR 8</v>
      </c>
      <c r="C18" s="288" t="s">
        <v>311</v>
      </c>
      <c r="D18" s="288"/>
      <c r="E18" s="279" t="s">
        <v>324</v>
      </c>
      <c r="F18" s="279"/>
      <c r="G18" s="289">
        <f t="shared" si="0"/>
        <v>26847.98</v>
      </c>
      <c r="H18" s="289"/>
      <c r="I18" s="83">
        <f t="shared" si="8"/>
        <v>27653.419399999999</v>
      </c>
      <c r="J18" s="83">
        <f t="shared" si="9"/>
        <v>28483.021981999998</v>
      </c>
      <c r="K18" s="289"/>
      <c r="L18" s="239">
        <f t="shared" si="10"/>
        <v>2304.4516166666667</v>
      </c>
      <c r="M18" s="239">
        <f t="shared" si="1"/>
        <v>2304.4516166666667</v>
      </c>
      <c r="N18" s="239">
        <f t="shared" si="1"/>
        <v>2304.4516166666667</v>
      </c>
      <c r="O18" s="239">
        <f t="shared" si="1"/>
        <v>2304.4516166666667</v>
      </c>
      <c r="P18" s="239">
        <f t="shared" si="1"/>
        <v>2304.4516166666667</v>
      </c>
      <c r="Q18" s="239">
        <f t="shared" si="1"/>
        <v>2304.4516166666667</v>
      </c>
      <c r="R18" s="239">
        <f t="shared" si="1"/>
        <v>2304.4516166666667</v>
      </c>
      <c r="S18" s="239">
        <f t="shared" si="1"/>
        <v>2304.4516166666667</v>
      </c>
      <c r="T18" s="239">
        <f t="shared" si="1"/>
        <v>2304.4516166666667</v>
      </c>
      <c r="U18" s="239">
        <f t="shared" si="11"/>
        <v>2373.5851651666667</v>
      </c>
      <c r="V18" s="239">
        <f t="shared" si="2"/>
        <v>2373.5851651666667</v>
      </c>
      <c r="W18" s="239">
        <f t="shared" si="2"/>
        <v>2373.5851651666667</v>
      </c>
      <c r="X18" s="289"/>
      <c r="Y18" s="289"/>
      <c r="Z18" s="289"/>
      <c r="AA18" s="289">
        <f>ROUND(G18*0.0765,0)</f>
        <v>2054</v>
      </c>
      <c r="AB18" s="289"/>
      <c r="AC18" s="289">
        <v>56</v>
      </c>
      <c r="AD18" s="289"/>
      <c r="AE18" s="289">
        <f>IF(G18&gt;20900,20900*0.042,G18*0.042)</f>
        <v>877.80000000000007</v>
      </c>
      <c r="AF18" s="289" t="s">
        <v>307</v>
      </c>
      <c r="AG18" s="289">
        <f t="shared" si="3"/>
        <v>2987.8</v>
      </c>
      <c r="AH18" s="289"/>
      <c r="AI18" s="289">
        <v>7481.8509443099274</v>
      </c>
      <c r="AJ18" s="289"/>
      <c r="AK18" s="289">
        <f>G18*0.03</f>
        <v>805.43939999999998</v>
      </c>
      <c r="AL18" s="289"/>
      <c r="AM18" s="289">
        <f>G18*0.04</f>
        <v>1073.9192</v>
      </c>
      <c r="AN18" s="289"/>
      <c r="AO18" s="289">
        <v>453.52290556900732</v>
      </c>
      <c r="AP18" s="289"/>
      <c r="AQ18" s="289">
        <f t="shared" si="4"/>
        <v>9814.7324498789349</v>
      </c>
      <c r="AR18" s="244"/>
      <c r="AS18" s="290">
        <f>12.89*80</f>
        <v>1031.2</v>
      </c>
      <c r="AT18" s="290"/>
      <c r="AU18" s="291">
        <v>2080</v>
      </c>
      <c r="AV18" s="286"/>
      <c r="AW18" s="291">
        <f t="shared" si="5"/>
        <v>26811.200000000001</v>
      </c>
      <c r="AX18" s="286"/>
      <c r="AY18" s="292">
        <v>36.78</v>
      </c>
      <c r="AZ18" s="286"/>
      <c r="BA18" s="83">
        <f t="shared" si="6"/>
        <v>26847.98</v>
      </c>
      <c r="BB18" s="293"/>
      <c r="BC18" s="294">
        <v>23069.46</v>
      </c>
      <c r="BE18" s="297">
        <v>99660</v>
      </c>
      <c r="BH18" s="109">
        <f t="shared" si="12"/>
        <v>8</v>
      </c>
    </row>
    <row r="19" spans="1:60" ht="16.5">
      <c r="A19" s="287">
        <v>9</v>
      </c>
      <c r="B19" s="288" t="str">
        <f t="shared" si="7"/>
        <v>CSR 9</v>
      </c>
      <c r="C19" s="288" t="s">
        <v>312</v>
      </c>
      <c r="D19" s="288"/>
      <c r="E19" s="279" t="s">
        <v>325</v>
      </c>
      <c r="F19" s="279"/>
      <c r="G19" s="289">
        <f t="shared" si="0"/>
        <v>39655.199999999997</v>
      </c>
      <c r="H19" s="289"/>
      <c r="I19" s="83">
        <f t="shared" si="8"/>
        <v>40844.856</v>
      </c>
      <c r="J19" s="83">
        <f t="shared" si="9"/>
        <v>42070.201679999998</v>
      </c>
      <c r="K19" s="289"/>
      <c r="L19" s="239">
        <f t="shared" si="10"/>
        <v>3403.7379999999998</v>
      </c>
      <c r="M19" s="239">
        <f t="shared" si="1"/>
        <v>3403.7379999999998</v>
      </c>
      <c r="N19" s="239">
        <f t="shared" si="1"/>
        <v>3403.7379999999998</v>
      </c>
      <c r="O19" s="239">
        <f t="shared" si="1"/>
        <v>3403.7379999999998</v>
      </c>
      <c r="P19" s="239">
        <f t="shared" si="1"/>
        <v>3403.7379999999998</v>
      </c>
      <c r="Q19" s="239">
        <f t="shared" si="1"/>
        <v>3403.7379999999998</v>
      </c>
      <c r="R19" s="239">
        <f t="shared" si="1"/>
        <v>3403.7379999999998</v>
      </c>
      <c r="S19" s="239">
        <f t="shared" si="1"/>
        <v>3403.7379999999998</v>
      </c>
      <c r="T19" s="239">
        <f t="shared" si="1"/>
        <v>3403.7379999999998</v>
      </c>
      <c r="U19" s="239">
        <f t="shared" si="11"/>
        <v>3505.85014</v>
      </c>
      <c r="V19" s="239">
        <f t="shared" si="2"/>
        <v>3505.85014</v>
      </c>
      <c r="W19" s="239">
        <f t="shared" si="2"/>
        <v>3505.85014</v>
      </c>
      <c r="X19" s="289"/>
      <c r="Y19" s="289"/>
      <c r="Z19" s="289"/>
      <c r="AA19" s="289">
        <f>ROUND(G19*0.0765,0)</f>
        <v>3034</v>
      </c>
      <c r="AB19" s="289"/>
      <c r="AC19" s="289">
        <v>56</v>
      </c>
      <c r="AD19" s="289"/>
      <c r="AE19" s="289">
        <f>IF(G19&gt;26900,26900*0.0385,G19*0.0385)</f>
        <v>1035.6500000000001</v>
      </c>
      <c r="AF19" s="289" t="s">
        <v>310</v>
      </c>
      <c r="AG19" s="289">
        <f t="shared" si="3"/>
        <v>4125.6499999999996</v>
      </c>
      <c r="AH19" s="289"/>
      <c r="AI19" s="289">
        <v>7481.8509443099274</v>
      </c>
      <c r="AJ19" s="289"/>
      <c r="AK19" s="289">
        <f>G19*0.03</f>
        <v>1189.6559999999999</v>
      </c>
      <c r="AL19" s="289"/>
      <c r="AM19" s="289">
        <f>G19*0.04</f>
        <v>1586.2079999999999</v>
      </c>
      <c r="AN19" s="289"/>
      <c r="AO19" s="289">
        <v>453.52290556900732</v>
      </c>
      <c r="AP19" s="289"/>
      <c r="AQ19" s="289">
        <f t="shared" si="4"/>
        <v>10711.237849878935</v>
      </c>
      <c r="AR19" s="244"/>
      <c r="AS19" s="290">
        <v>1652.3</v>
      </c>
      <c r="AT19" s="290"/>
      <c r="AU19" s="291">
        <v>86.67</v>
      </c>
      <c r="AV19" s="286"/>
      <c r="AW19" s="291">
        <f t="shared" si="5"/>
        <v>39655.199999999997</v>
      </c>
      <c r="AX19" s="286"/>
      <c r="AY19" s="292">
        <v>0</v>
      </c>
      <c r="AZ19" s="286"/>
      <c r="BA19" s="83">
        <f t="shared" si="6"/>
        <v>39655.199999999997</v>
      </c>
      <c r="BB19" s="293"/>
      <c r="BC19" s="294">
        <v>33636.44</v>
      </c>
      <c r="BE19" s="298">
        <v>99503</v>
      </c>
      <c r="BH19" s="109">
        <f t="shared" si="12"/>
        <v>9</v>
      </c>
    </row>
    <row r="20" spans="1:60" ht="16.5">
      <c r="A20" s="287">
        <v>10</v>
      </c>
      <c r="B20" s="288" t="str">
        <f t="shared" si="7"/>
        <v>CSR 10</v>
      </c>
      <c r="C20" s="288" t="s">
        <v>305</v>
      </c>
      <c r="D20" s="288"/>
      <c r="E20" s="279" t="s">
        <v>323</v>
      </c>
      <c r="F20" s="279"/>
      <c r="G20" s="289">
        <f t="shared" si="0"/>
        <v>27587.050000000003</v>
      </c>
      <c r="H20" s="289"/>
      <c r="I20" s="83">
        <f t="shared" si="8"/>
        <v>28414.661500000002</v>
      </c>
      <c r="J20" s="83">
        <f t="shared" si="9"/>
        <v>29267.101345000003</v>
      </c>
      <c r="K20" s="289"/>
      <c r="L20" s="239">
        <f t="shared" si="10"/>
        <v>2367.8884583333333</v>
      </c>
      <c r="M20" s="239">
        <f t="shared" si="1"/>
        <v>2367.8884583333333</v>
      </c>
      <c r="N20" s="239">
        <f t="shared" si="1"/>
        <v>2367.8884583333333</v>
      </c>
      <c r="O20" s="239">
        <f t="shared" si="1"/>
        <v>2367.8884583333333</v>
      </c>
      <c r="P20" s="239">
        <f t="shared" si="1"/>
        <v>2367.8884583333333</v>
      </c>
      <c r="Q20" s="239">
        <f t="shared" si="1"/>
        <v>2367.8884583333333</v>
      </c>
      <c r="R20" s="239">
        <f t="shared" si="1"/>
        <v>2367.8884583333333</v>
      </c>
      <c r="S20" s="239">
        <f t="shared" si="1"/>
        <v>2367.8884583333333</v>
      </c>
      <c r="T20" s="239">
        <f t="shared" si="1"/>
        <v>2367.8884583333333</v>
      </c>
      <c r="U20" s="239">
        <f t="shared" si="11"/>
        <v>2438.9251120833337</v>
      </c>
      <c r="V20" s="239">
        <f t="shared" si="2"/>
        <v>2438.9251120833337</v>
      </c>
      <c r="W20" s="239">
        <f t="shared" si="2"/>
        <v>2438.9251120833337</v>
      </c>
      <c r="X20" s="289"/>
      <c r="Y20" s="289"/>
      <c r="Z20" s="286"/>
      <c r="AA20" s="289">
        <f>ROUND(G20*0.0765,0)</f>
        <v>2110</v>
      </c>
      <c r="AB20" s="289"/>
      <c r="AC20" s="289">
        <v>56</v>
      </c>
      <c r="AD20" s="289"/>
      <c r="AE20" s="289">
        <f>IF(G20&gt;8000,8000*0.0458,G20*0.0458)</f>
        <v>366.4</v>
      </c>
      <c r="AF20" s="289" t="s">
        <v>248</v>
      </c>
      <c r="AG20" s="289">
        <f t="shared" si="3"/>
        <v>2532.4</v>
      </c>
      <c r="AH20" s="289"/>
      <c r="AI20" s="289">
        <v>7481.8509443099274</v>
      </c>
      <c r="AJ20" s="289"/>
      <c r="AK20" s="289">
        <f>G20*0.03</f>
        <v>827.61150000000009</v>
      </c>
      <c r="AL20" s="289"/>
      <c r="AM20" s="289">
        <f>G20*0.04</f>
        <v>1103.4820000000002</v>
      </c>
      <c r="AN20" s="289"/>
      <c r="AO20" s="289">
        <v>453.52290556900732</v>
      </c>
      <c r="AP20" s="286"/>
      <c r="AQ20" s="289">
        <f t="shared" si="4"/>
        <v>9866.4673498789343</v>
      </c>
      <c r="AR20" s="286"/>
      <c r="AS20" s="290">
        <f>12.88*80</f>
        <v>1030.4000000000001</v>
      </c>
      <c r="AT20" s="290"/>
      <c r="AU20" s="291">
        <v>2080</v>
      </c>
      <c r="AV20" s="286"/>
      <c r="AW20" s="291">
        <f t="shared" si="5"/>
        <v>26790.400000000001</v>
      </c>
      <c r="AX20" s="286"/>
      <c r="AY20" s="292">
        <v>796.65000000000009</v>
      </c>
      <c r="AZ20" s="286"/>
      <c r="BA20" s="83">
        <f t="shared" si="6"/>
        <v>27587.050000000003</v>
      </c>
      <c r="BB20" s="293"/>
      <c r="BC20" s="294">
        <v>24064.18</v>
      </c>
      <c r="BE20" s="295">
        <v>99704</v>
      </c>
      <c r="BH20" s="109">
        <f t="shared" si="12"/>
        <v>10</v>
      </c>
    </row>
    <row r="21" spans="1:60" ht="16.5">
      <c r="A21" s="287">
        <v>11</v>
      </c>
      <c r="B21" s="288" t="str">
        <f t="shared" si="7"/>
        <v>CSR 11</v>
      </c>
      <c r="C21" s="288" t="s">
        <v>306</v>
      </c>
      <c r="D21" s="288"/>
      <c r="E21" s="279" t="s">
        <v>325</v>
      </c>
      <c r="F21" s="279"/>
      <c r="G21" s="289">
        <f t="shared" si="0"/>
        <v>25996.639999999999</v>
      </c>
      <c r="H21" s="289"/>
      <c r="I21" s="83">
        <f t="shared" si="8"/>
        <v>26776.539199999999</v>
      </c>
      <c r="J21" s="83">
        <f t="shared" si="9"/>
        <v>27579.835375999999</v>
      </c>
      <c r="K21" s="289"/>
      <c r="L21" s="239">
        <f t="shared" si="10"/>
        <v>2231.3782666666666</v>
      </c>
      <c r="M21" s="239">
        <f t="shared" si="1"/>
        <v>2231.3782666666666</v>
      </c>
      <c r="N21" s="239">
        <f t="shared" si="1"/>
        <v>2231.3782666666666</v>
      </c>
      <c r="O21" s="239">
        <f t="shared" si="1"/>
        <v>2231.3782666666666</v>
      </c>
      <c r="P21" s="239">
        <f t="shared" si="1"/>
        <v>2231.3782666666666</v>
      </c>
      <c r="Q21" s="239">
        <f t="shared" si="1"/>
        <v>2231.3782666666666</v>
      </c>
      <c r="R21" s="239">
        <f t="shared" si="1"/>
        <v>2231.3782666666666</v>
      </c>
      <c r="S21" s="239">
        <f t="shared" si="1"/>
        <v>2231.3782666666666</v>
      </c>
      <c r="T21" s="239">
        <f t="shared" si="1"/>
        <v>2231.3782666666666</v>
      </c>
      <c r="U21" s="239">
        <f t="shared" si="11"/>
        <v>2298.3196146666664</v>
      </c>
      <c r="V21" s="239">
        <f t="shared" si="2"/>
        <v>2298.3196146666664</v>
      </c>
      <c r="W21" s="239">
        <f t="shared" si="2"/>
        <v>2298.3196146666664</v>
      </c>
      <c r="X21" s="289"/>
      <c r="Y21" s="289"/>
      <c r="Z21" s="286"/>
      <c r="AA21" s="289">
        <f>ROUND(G21*0.0765,0)</f>
        <v>1989</v>
      </c>
      <c r="AB21" s="289"/>
      <c r="AC21" s="289">
        <v>56</v>
      </c>
      <c r="AD21" s="289"/>
      <c r="AE21" s="289">
        <f>IF(G21&gt;26900,26900*0.0385,G21*0.0385)</f>
        <v>1000.87064</v>
      </c>
      <c r="AF21" s="289" t="s">
        <v>310</v>
      </c>
      <c r="AG21" s="289">
        <f t="shared" si="3"/>
        <v>3045.8706400000001</v>
      </c>
      <c r="AH21" s="289"/>
      <c r="AI21" s="289">
        <v>7481.8509443099274</v>
      </c>
      <c r="AJ21" s="289"/>
      <c r="AK21" s="289">
        <f>G21*0.03</f>
        <v>779.89919999999995</v>
      </c>
      <c r="AL21" s="289"/>
      <c r="AM21" s="289">
        <f>G21*0.04</f>
        <v>1039.8656000000001</v>
      </c>
      <c r="AN21" s="289"/>
      <c r="AO21" s="289">
        <v>453.52290556900732</v>
      </c>
      <c r="AP21" s="286"/>
      <c r="AQ21" s="289">
        <f t="shared" si="4"/>
        <v>9755.1386498789361</v>
      </c>
      <c r="AR21" s="286"/>
      <c r="AS21" s="290">
        <f>12.26*80</f>
        <v>980.8</v>
      </c>
      <c r="AT21" s="290"/>
      <c r="AU21" s="291">
        <v>2080</v>
      </c>
      <c r="AV21" s="244"/>
      <c r="AW21" s="291">
        <f t="shared" si="5"/>
        <v>25500.799999999999</v>
      </c>
      <c r="AX21" s="83"/>
      <c r="AY21" s="292">
        <v>495.84000000000003</v>
      </c>
      <c r="AZ21" s="83"/>
      <c r="BA21" s="83">
        <f t="shared" si="6"/>
        <v>25996.639999999999</v>
      </c>
      <c r="BB21" s="293"/>
      <c r="BC21" s="294">
        <v>5433.56</v>
      </c>
      <c r="BE21" s="295">
        <v>99942</v>
      </c>
      <c r="BH21" s="109">
        <f t="shared" si="12"/>
        <v>11</v>
      </c>
    </row>
    <row r="22" spans="1:60" ht="16.5">
      <c r="A22" s="287">
        <v>12</v>
      </c>
      <c r="B22" s="288" t="str">
        <f t="shared" si="7"/>
        <v>CSR 12</v>
      </c>
      <c r="C22" s="288" t="s">
        <v>311</v>
      </c>
      <c r="D22" s="288"/>
      <c r="E22" s="279" t="s">
        <v>325</v>
      </c>
      <c r="F22" s="279"/>
      <c r="G22" s="289">
        <f t="shared" si="0"/>
        <v>28863.15</v>
      </c>
      <c r="H22" s="289"/>
      <c r="I22" s="83">
        <f t="shared" si="8"/>
        <v>29729.044500000004</v>
      </c>
      <c r="J22" s="83">
        <f t="shared" si="9"/>
        <v>30620.915835000003</v>
      </c>
      <c r="K22" s="289"/>
      <c r="L22" s="239">
        <f t="shared" si="10"/>
        <v>2477.4203750000001</v>
      </c>
      <c r="M22" s="239">
        <f t="shared" si="1"/>
        <v>2477.4203750000001</v>
      </c>
      <c r="N22" s="239">
        <f t="shared" si="1"/>
        <v>2477.4203750000001</v>
      </c>
      <c r="O22" s="239">
        <f t="shared" si="1"/>
        <v>2477.4203750000001</v>
      </c>
      <c r="P22" s="239">
        <f t="shared" si="1"/>
        <v>2477.4203750000001</v>
      </c>
      <c r="Q22" s="239">
        <f t="shared" si="1"/>
        <v>2477.4203750000001</v>
      </c>
      <c r="R22" s="239">
        <f t="shared" si="1"/>
        <v>2477.4203750000001</v>
      </c>
      <c r="S22" s="239">
        <f t="shared" si="1"/>
        <v>2477.4203750000001</v>
      </c>
      <c r="T22" s="239">
        <f t="shared" si="1"/>
        <v>2477.4203750000001</v>
      </c>
      <c r="U22" s="239">
        <f t="shared" si="11"/>
        <v>2551.7429862500003</v>
      </c>
      <c r="V22" s="239">
        <f t="shared" si="2"/>
        <v>2551.7429862500003</v>
      </c>
      <c r="W22" s="239">
        <f t="shared" si="2"/>
        <v>2551.7429862500003</v>
      </c>
      <c r="X22" s="289"/>
      <c r="Y22" s="289"/>
      <c r="Z22" s="286"/>
      <c r="AA22" s="289">
        <f>ROUND(G22*0.0765,0)</f>
        <v>2208</v>
      </c>
      <c r="AB22" s="289"/>
      <c r="AC22" s="289">
        <v>56</v>
      </c>
      <c r="AD22" s="289"/>
      <c r="AE22" s="289">
        <f>IF(G22&gt;26900,26900*0.0385,G22*0.0385)</f>
        <v>1035.6500000000001</v>
      </c>
      <c r="AF22" s="289" t="s">
        <v>310</v>
      </c>
      <c r="AG22" s="289">
        <f t="shared" si="3"/>
        <v>3299.65</v>
      </c>
      <c r="AH22" s="289"/>
      <c r="AI22" s="289">
        <v>7481.8509443099274</v>
      </c>
      <c r="AJ22" s="289"/>
      <c r="AK22" s="289">
        <f>G22*0.03</f>
        <v>865.89449999999999</v>
      </c>
      <c r="AL22" s="289"/>
      <c r="AM22" s="289">
        <f>G22*0.04</f>
        <v>1154.5260000000001</v>
      </c>
      <c r="AN22" s="289"/>
      <c r="AO22" s="289">
        <v>453.52290556900732</v>
      </c>
      <c r="AP22" s="286"/>
      <c r="AQ22" s="289">
        <f t="shared" si="4"/>
        <v>9955.7943498789336</v>
      </c>
      <c r="AR22" s="286"/>
      <c r="AS22" s="290">
        <f>13.38*80</f>
        <v>1070.4000000000001</v>
      </c>
      <c r="AT22" s="290"/>
      <c r="AU22" s="291">
        <v>2080</v>
      </c>
      <c r="AV22" s="286"/>
      <c r="AW22" s="291">
        <f t="shared" si="5"/>
        <v>27830.400000000001</v>
      </c>
      <c r="AX22" s="286"/>
      <c r="AY22" s="292">
        <v>1032.75</v>
      </c>
      <c r="AZ22" s="286"/>
      <c r="BA22" s="83">
        <f t="shared" si="6"/>
        <v>28863.15</v>
      </c>
      <c r="BB22" s="293"/>
      <c r="BC22" s="294">
        <v>28655.98</v>
      </c>
      <c r="BE22" s="295">
        <v>99621</v>
      </c>
      <c r="BH22" s="109">
        <f t="shared" si="12"/>
        <v>12</v>
      </c>
    </row>
    <row r="23" spans="1:60" ht="16.5">
      <c r="A23" s="296">
        <v>13</v>
      </c>
      <c r="B23" s="288" t="str">
        <f t="shared" si="7"/>
        <v>CSR 13</v>
      </c>
      <c r="C23" s="288" t="s">
        <v>305</v>
      </c>
      <c r="D23" s="288"/>
      <c r="E23" s="279" t="s">
        <v>325</v>
      </c>
      <c r="F23" s="279"/>
      <c r="G23" s="289">
        <f t="shared" si="0"/>
        <v>29456.54</v>
      </c>
      <c r="H23" s="289"/>
      <c r="I23" s="83">
        <f t="shared" si="8"/>
        <v>30340.236200000003</v>
      </c>
      <c r="J23" s="83">
        <f t="shared" si="9"/>
        <v>31250.443286000005</v>
      </c>
      <c r="K23" s="289"/>
      <c r="L23" s="239">
        <f t="shared" si="10"/>
        <v>2528.3530166666669</v>
      </c>
      <c r="M23" s="239">
        <f t="shared" si="1"/>
        <v>2528.3530166666669</v>
      </c>
      <c r="N23" s="239">
        <f t="shared" si="1"/>
        <v>2528.3530166666669</v>
      </c>
      <c r="O23" s="239">
        <f t="shared" si="1"/>
        <v>2528.3530166666669</v>
      </c>
      <c r="P23" s="239">
        <f t="shared" si="1"/>
        <v>2528.3530166666669</v>
      </c>
      <c r="Q23" s="239">
        <f t="shared" si="1"/>
        <v>2528.3530166666669</v>
      </c>
      <c r="R23" s="239">
        <f t="shared" si="1"/>
        <v>2528.3530166666669</v>
      </c>
      <c r="S23" s="239">
        <f t="shared" si="1"/>
        <v>2528.3530166666669</v>
      </c>
      <c r="T23" s="239">
        <f t="shared" si="1"/>
        <v>2528.3530166666669</v>
      </c>
      <c r="U23" s="239">
        <f t="shared" si="11"/>
        <v>2604.2036071666671</v>
      </c>
      <c r="V23" s="239">
        <f t="shared" si="2"/>
        <v>2604.2036071666671</v>
      </c>
      <c r="W23" s="239">
        <f t="shared" si="2"/>
        <v>2604.2036071666671</v>
      </c>
      <c r="X23" s="289"/>
      <c r="Y23" s="289"/>
      <c r="Z23" s="286"/>
      <c r="AA23" s="289">
        <f>ROUND(G23*0.0765,0)</f>
        <v>2253</v>
      </c>
      <c r="AB23" s="289"/>
      <c r="AC23" s="289">
        <v>56</v>
      </c>
      <c r="AD23" s="289"/>
      <c r="AE23" s="289">
        <f>IF(G23&gt;26900,26900*0.0385,G23*0.0385)</f>
        <v>1035.6500000000001</v>
      </c>
      <c r="AF23" s="289" t="s">
        <v>310</v>
      </c>
      <c r="AG23" s="289">
        <f t="shared" si="3"/>
        <v>3344.65</v>
      </c>
      <c r="AH23" s="289"/>
      <c r="AI23" s="289">
        <v>7481.8509443099274</v>
      </c>
      <c r="AJ23" s="289"/>
      <c r="AK23" s="289">
        <f>G23*0.03</f>
        <v>883.69619999999998</v>
      </c>
      <c r="AL23" s="289"/>
      <c r="AM23" s="289">
        <f>G23*0.04</f>
        <v>1178.2616</v>
      </c>
      <c r="AN23" s="289"/>
      <c r="AO23" s="289">
        <v>453.52290556900732</v>
      </c>
      <c r="AP23" s="286"/>
      <c r="AQ23" s="289">
        <f t="shared" si="4"/>
        <v>9997.3316498789336</v>
      </c>
      <c r="AR23" s="286"/>
      <c r="AS23" s="290">
        <f>14*80</f>
        <v>1120</v>
      </c>
      <c r="AT23" s="290"/>
      <c r="AU23" s="291">
        <v>2080</v>
      </c>
      <c r="AV23" s="286"/>
      <c r="AW23" s="291">
        <f t="shared" si="5"/>
        <v>29120</v>
      </c>
      <c r="AX23" s="286"/>
      <c r="AY23" s="292">
        <v>336.54</v>
      </c>
      <c r="AZ23" s="286"/>
      <c r="BA23" s="83">
        <f t="shared" si="6"/>
        <v>29456.54</v>
      </c>
      <c r="BB23" s="293"/>
      <c r="BC23" s="294">
        <v>24532.43</v>
      </c>
      <c r="BE23" s="295">
        <v>99558</v>
      </c>
      <c r="BH23" s="109">
        <f t="shared" si="12"/>
        <v>13</v>
      </c>
    </row>
    <row r="24" spans="1:60" ht="16.5">
      <c r="A24" s="287">
        <v>14</v>
      </c>
      <c r="B24" s="288" t="str">
        <f t="shared" si="7"/>
        <v>CSR 14</v>
      </c>
      <c r="C24" s="288" t="s">
        <v>306</v>
      </c>
      <c r="D24" s="288"/>
      <c r="E24" s="279" t="s">
        <v>324</v>
      </c>
      <c r="F24" s="279"/>
      <c r="G24" s="289">
        <f t="shared" si="0"/>
        <v>25376</v>
      </c>
      <c r="H24" s="289"/>
      <c r="I24" s="83">
        <f t="shared" si="8"/>
        <v>26137.280000000002</v>
      </c>
      <c r="J24" s="83">
        <f t="shared" si="9"/>
        <v>26921.398400000002</v>
      </c>
      <c r="K24" s="289"/>
      <c r="L24" s="239">
        <f t="shared" si="10"/>
        <v>2178.106666666667</v>
      </c>
      <c r="M24" s="239">
        <f t="shared" si="1"/>
        <v>2178.106666666667</v>
      </c>
      <c r="N24" s="239">
        <f t="shared" si="1"/>
        <v>2178.106666666667</v>
      </c>
      <c r="O24" s="239">
        <f t="shared" si="1"/>
        <v>2178.106666666667</v>
      </c>
      <c r="P24" s="239">
        <f t="shared" si="1"/>
        <v>2178.106666666667</v>
      </c>
      <c r="Q24" s="239">
        <f t="shared" si="1"/>
        <v>2178.106666666667</v>
      </c>
      <c r="R24" s="239">
        <f t="shared" si="1"/>
        <v>2178.106666666667</v>
      </c>
      <c r="S24" s="239">
        <f t="shared" si="1"/>
        <v>2178.106666666667</v>
      </c>
      <c r="T24" s="239">
        <f t="shared" si="1"/>
        <v>2178.106666666667</v>
      </c>
      <c r="U24" s="239">
        <f t="shared" si="11"/>
        <v>2243.4498666666668</v>
      </c>
      <c r="V24" s="239">
        <f t="shared" si="2"/>
        <v>2243.4498666666668</v>
      </c>
      <c r="W24" s="239">
        <f t="shared" si="2"/>
        <v>2243.4498666666668</v>
      </c>
      <c r="X24" s="289"/>
      <c r="Y24" s="289"/>
      <c r="Z24" s="286"/>
      <c r="AA24" s="289">
        <f>ROUND(G24*0.0765,0)</f>
        <v>1941</v>
      </c>
      <c r="AB24" s="286"/>
      <c r="AC24" s="289">
        <v>56</v>
      </c>
      <c r="AD24" s="286"/>
      <c r="AE24" s="289">
        <f>IF(G24&gt;20900,20900*0.042,G24*0.042)</f>
        <v>877.80000000000007</v>
      </c>
      <c r="AF24" s="289" t="s">
        <v>307</v>
      </c>
      <c r="AG24" s="289">
        <f t="shared" si="3"/>
        <v>2874.8</v>
      </c>
      <c r="AH24" s="286"/>
      <c r="AI24" s="289">
        <v>7481.8509443099274</v>
      </c>
      <c r="AJ24" s="286"/>
      <c r="AK24" s="289">
        <f>G24*0.03</f>
        <v>761.28</v>
      </c>
      <c r="AL24" s="286"/>
      <c r="AM24" s="289">
        <f>G24*0.04</f>
        <v>1015.0400000000001</v>
      </c>
      <c r="AN24" s="286"/>
      <c r="AO24" s="289">
        <v>453.52290556900732</v>
      </c>
      <c r="AP24" s="286"/>
      <c r="AQ24" s="289">
        <f t="shared" si="4"/>
        <v>9711.693849878935</v>
      </c>
      <c r="AR24" s="286"/>
      <c r="AS24" s="290">
        <f>12.2*80</f>
        <v>976</v>
      </c>
      <c r="AT24" s="290"/>
      <c r="AU24" s="291">
        <v>2080</v>
      </c>
      <c r="AV24" s="286"/>
      <c r="AW24" s="291">
        <f t="shared" si="5"/>
        <v>25376</v>
      </c>
      <c r="AX24" s="286"/>
      <c r="AY24" s="292">
        <v>0</v>
      </c>
      <c r="AZ24" s="286"/>
      <c r="BA24" s="83">
        <f t="shared" si="6"/>
        <v>25376</v>
      </c>
      <c r="BB24" s="293"/>
      <c r="BC24" s="294">
        <v>0</v>
      </c>
      <c r="BE24" s="295">
        <v>99967</v>
      </c>
      <c r="BH24" s="109">
        <f t="shared" si="12"/>
        <v>14</v>
      </c>
    </row>
    <row r="25" spans="1:60" ht="16.5">
      <c r="A25" s="287">
        <v>15</v>
      </c>
      <c r="B25" s="288" t="str">
        <f t="shared" si="7"/>
        <v>CSR 15</v>
      </c>
      <c r="C25" s="288" t="s">
        <v>311</v>
      </c>
      <c r="D25" s="288"/>
      <c r="E25" s="279" t="s">
        <v>323</v>
      </c>
      <c r="F25" s="279"/>
      <c r="G25" s="289">
        <f t="shared" si="0"/>
        <v>27188.719999999998</v>
      </c>
      <c r="H25" s="289"/>
      <c r="I25" s="83">
        <f t="shared" si="8"/>
        <v>28004.381599999997</v>
      </c>
      <c r="J25" s="83">
        <f t="shared" si="9"/>
        <v>28844.513047999997</v>
      </c>
      <c r="K25" s="289"/>
      <c r="L25" s="239">
        <f t="shared" si="10"/>
        <v>2333.6984666666663</v>
      </c>
      <c r="M25" s="239">
        <f t="shared" si="1"/>
        <v>2333.6984666666663</v>
      </c>
      <c r="N25" s="239">
        <f t="shared" si="1"/>
        <v>2333.6984666666663</v>
      </c>
      <c r="O25" s="239">
        <f t="shared" si="1"/>
        <v>2333.6984666666663</v>
      </c>
      <c r="P25" s="239">
        <f t="shared" si="1"/>
        <v>2333.6984666666663</v>
      </c>
      <c r="Q25" s="239">
        <f t="shared" si="1"/>
        <v>2333.6984666666663</v>
      </c>
      <c r="R25" s="239">
        <f t="shared" si="1"/>
        <v>2333.6984666666663</v>
      </c>
      <c r="S25" s="239">
        <f t="shared" si="1"/>
        <v>2333.6984666666663</v>
      </c>
      <c r="T25" s="239">
        <f t="shared" si="1"/>
        <v>2333.6984666666663</v>
      </c>
      <c r="U25" s="239">
        <f t="shared" si="11"/>
        <v>2403.7094206666666</v>
      </c>
      <c r="V25" s="239">
        <f t="shared" si="2"/>
        <v>2403.7094206666666</v>
      </c>
      <c r="W25" s="239">
        <f t="shared" si="2"/>
        <v>2403.7094206666666</v>
      </c>
      <c r="X25" s="289"/>
      <c r="Y25" s="289"/>
      <c r="Z25" s="286"/>
      <c r="AA25" s="289">
        <f>ROUND(G25*0.0765,0)</f>
        <v>2080</v>
      </c>
      <c r="AB25" s="286"/>
      <c r="AC25" s="289">
        <v>56</v>
      </c>
      <c r="AD25" s="286"/>
      <c r="AE25" s="289">
        <f>IF(G25&gt;8000,8000*0.0458,G25*0.0458)</f>
        <v>366.4</v>
      </c>
      <c r="AF25" s="289" t="s">
        <v>248</v>
      </c>
      <c r="AG25" s="289">
        <f t="shared" si="3"/>
        <v>2502.4</v>
      </c>
      <c r="AH25" s="286"/>
      <c r="AI25" s="289">
        <v>7481.8509443099274</v>
      </c>
      <c r="AJ25" s="286"/>
      <c r="AK25" s="289">
        <f>G25*0.03</f>
        <v>815.66159999999991</v>
      </c>
      <c r="AL25" s="286"/>
      <c r="AM25" s="289">
        <f>G25*0.04</f>
        <v>1087.5488</v>
      </c>
      <c r="AN25" s="286"/>
      <c r="AO25" s="289">
        <v>453.52290556900732</v>
      </c>
      <c r="AP25" s="286"/>
      <c r="AQ25" s="289">
        <f t="shared" si="4"/>
        <v>9838.5842498789352</v>
      </c>
      <c r="AR25" s="286"/>
      <c r="AS25" s="290">
        <f>13.01*80</f>
        <v>1040.8</v>
      </c>
      <c r="AT25" s="290"/>
      <c r="AU25" s="291">
        <v>2080</v>
      </c>
      <c r="AV25" s="244"/>
      <c r="AW25" s="291">
        <f t="shared" si="5"/>
        <v>27060.799999999999</v>
      </c>
      <c r="AX25" s="83"/>
      <c r="AY25" s="292">
        <v>127.92</v>
      </c>
      <c r="AZ25" s="83"/>
      <c r="BA25" s="83">
        <f t="shared" si="6"/>
        <v>27188.719999999998</v>
      </c>
      <c r="BB25" s="293"/>
      <c r="BC25" s="294">
        <v>25813.29</v>
      </c>
      <c r="BE25" s="295">
        <v>99624</v>
      </c>
      <c r="BH25" s="109">
        <f t="shared" si="12"/>
        <v>15</v>
      </c>
    </row>
    <row r="26" spans="1:60" ht="16.5">
      <c r="A26" s="287">
        <v>16</v>
      </c>
      <c r="B26" s="288" t="str">
        <f t="shared" si="7"/>
        <v>CSR 16</v>
      </c>
      <c r="C26" s="288" t="s">
        <v>313</v>
      </c>
      <c r="D26" s="288"/>
      <c r="E26" s="279" t="s">
        <v>323</v>
      </c>
      <c r="F26" s="279"/>
      <c r="G26" s="289">
        <f t="shared" si="0"/>
        <v>28045.68</v>
      </c>
      <c r="H26" s="289"/>
      <c r="I26" s="83">
        <f t="shared" si="8"/>
        <v>28887.0504</v>
      </c>
      <c r="J26" s="83">
        <f t="shared" si="9"/>
        <v>29753.661912</v>
      </c>
      <c r="K26" s="289"/>
      <c r="L26" s="239">
        <f t="shared" si="10"/>
        <v>2407.2541999999999</v>
      </c>
      <c r="M26" s="239">
        <f t="shared" si="1"/>
        <v>2407.2541999999999</v>
      </c>
      <c r="N26" s="239">
        <f t="shared" si="1"/>
        <v>2407.2541999999999</v>
      </c>
      <c r="O26" s="239">
        <f t="shared" si="1"/>
        <v>2407.2541999999999</v>
      </c>
      <c r="P26" s="239">
        <f t="shared" si="1"/>
        <v>2407.2541999999999</v>
      </c>
      <c r="Q26" s="239">
        <f t="shared" si="1"/>
        <v>2407.2541999999999</v>
      </c>
      <c r="R26" s="239">
        <f t="shared" si="1"/>
        <v>2407.2541999999999</v>
      </c>
      <c r="S26" s="239">
        <f t="shared" si="1"/>
        <v>2407.2541999999999</v>
      </c>
      <c r="T26" s="239">
        <f t="shared" si="1"/>
        <v>2407.2541999999999</v>
      </c>
      <c r="U26" s="239">
        <f t="shared" si="11"/>
        <v>2479.471826</v>
      </c>
      <c r="V26" s="239">
        <f t="shared" si="2"/>
        <v>2479.471826</v>
      </c>
      <c r="W26" s="239">
        <f t="shared" si="2"/>
        <v>2479.471826</v>
      </c>
      <c r="X26" s="289"/>
      <c r="Y26" s="289"/>
      <c r="Z26" s="286"/>
      <c r="AA26" s="289">
        <f>ROUND(G26*0.0765,0)</f>
        <v>2145</v>
      </c>
      <c r="AB26" s="286"/>
      <c r="AC26" s="289">
        <v>56</v>
      </c>
      <c r="AD26" s="286"/>
      <c r="AE26" s="289">
        <f>IF(G26&gt;8000,8000*0.0458,G26*0.0458)</f>
        <v>366.4</v>
      </c>
      <c r="AF26" s="289" t="s">
        <v>248</v>
      </c>
      <c r="AG26" s="289">
        <f t="shared" si="3"/>
        <v>2567.4</v>
      </c>
      <c r="AH26" s="286"/>
      <c r="AI26" s="289">
        <v>7481.8509443099274</v>
      </c>
      <c r="AJ26" s="286"/>
      <c r="AK26" s="289">
        <f>G26*0.03</f>
        <v>841.37040000000002</v>
      </c>
      <c r="AL26" s="286"/>
      <c r="AM26" s="289">
        <f>G26*0.04</f>
        <v>1121.8271999999999</v>
      </c>
      <c r="AN26" s="286"/>
      <c r="AO26" s="289">
        <v>453.52290556900732</v>
      </c>
      <c r="AP26" s="286"/>
      <c r="AQ26" s="289">
        <f t="shared" si="4"/>
        <v>9898.5714498789348</v>
      </c>
      <c r="AR26" s="286"/>
      <c r="AS26" s="290">
        <f>13.26*80</f>
        <v>1060.8</v>
      </c>
      <c r="AT26" s="290"/>
      <c r="AU26" s="291">
        <v>2080</v>
      </c>
      <c r="AV26" s="286"/>
      <c r="AW26" s="291">
        <f t="shared" si="5"/>
        <v>27580.799999999999</v>
      </c>
      <c r="AX26" s="286"/>
      <c r="AY26" s="292">
        <v>464.88</v>
      </c>
      <c r="AZ26" s="286"/>
      <c r="BA26" s="83">
        <f t="shared" si="6"/>
        <v>28045.68</v>
      </c>
      <c r="BB26" s="293"/>
      <c r="BC26" s="294">
        <v>25739.360000000001</v>
      </c>
      <c r="BE26" s="295">
        <v>99644</v>
      </c>
      <c r="BH26" s="109">
        <f t="shared" si="12"/>
        <v>16</v>
      </c>
    </row>
    <row r="27" spans="1:60" ht="16.5">
      <c r="A27" s="287">
        <v>17</v>
      </c>
      <c r="B27" s="288" t="str">
        <f t="shared" si="7"/>
        <v>CSR 17</v>
      </c>
      <c r="C27" s="288" t="s">
        <v>306</v>
      </c>
      <c r="D27" s="288"/>
      <c r="E27" s="279" t="s">
        <v>325</v>
      </c>
      <c r="F27" s="279"/>
      <c r="G27" s="289">
        <f t="shared" si="0"/>
        <v>25299.17</v>
      </c>
      <c r="H27" s="289"/>
      <c r="I27" s="83">
        <f t="shared" si="8"/>
        <v>26058.145099999998</v>
      </c>
      <c r="J27" s="83">
        <f t="shared" si="9"/>
        <v>26839.889453</v>
      </c>
      <c r="K27" s="289"/>
      <c r="L27" s="239">
        <f t="shared" si="10"/>
        <v>2171.5120916666665</v>
      </c>
      <c r="M27" s="239">
        <f t="shared" si="10"/>
        <v>2171.5120916666665</v>
      </c>
      <c r="N27" s="239">
        <f t="shared" si="10"/>
        <v>2171.5120916666665</v>
      </c>
      <c r="O27" s="239">
        <f t="shared" si="10"/>
        <v>2171.5120916666665</v>
      </c>
      <c r="P27" s="239">
        <f t="shared" si="10"/>
        <v>2171.5120916666665</v>
      </c>
      <c r="Q27" s="239">
        <f t="shared" si="10"/>
        <v>2171.5120916666665</v>
      </c>
      <c r="R27" s="239">
        <f t="shared" si="10"/>
        <v>2171.5120916666665</v>
      </c>
      <c r="S27" s="239">
        <f t="shared" si="10"/>
        <v>2171.5120916666665</v>
      </c>
      <c r="T27" s="239">
        <f t="shared" si="10"/>
        <v>2171.5120916666665</v>
      </c>
      <c r="U27" s="239">
        <f t="shared" si="11"/>
        <v>2236.6574544166665</v>
      </c>
      <c r="V27" s="239">
        <f t="shared" si="11"/>
        <v>2236.6574544166665</v>
      </c>
      <c r="W27" s="239">
        <f t="shared" si="11"/>
        <v>2236.6574544166665</v>
      </c>
      <c r="X27" s="289"/>
      <c r="Y27" s="289"/>
      <c r="Z27" s="286"/>
      <c r="AA27" s="289">
        <f>ROUND(G27*0.0765,0)</f>
        <v>1935</v>
      </c>
      <c r="AB27" s="286"/>
      <c r="AC27" s="289">
        <v>56</v>
      </c>
      <c r="AD27" s="286"/>
      <c r="AE27" s="289">
        <f>IF(G27&gt;26900,26900*0.0385,G27*0.0385)</f>
        <v>974.01804499999992</v>
      </c>
      <c r="AF27" s="289" t="s">
        <v>310</v>
      </c>
      <c r="AG27" s="289">
        <f t="shared" si="3"/>
        <v>2965.0180449999998</v>
      </c>
      <c r="AH27" s="286"/>
      <c r="AI27" s="289">
        <v>7481.8509443099274</v>
      </c>
      <c r="AJ27" s="286"/>
      <c r="AK27" s="289">
        <f>G27*0.03</f>
        <v>758.97509999999988</v>
      </c>
      <c r="AL27" s="286"/>
      <c r="AM27" s="289">
        <f>G27*0.04</f>
        <v>1011.9667999999999</v>
      </c>
      <c r="AN27" s="286"/>
      <c r="AO27" s="289">
        <v>453.52290556900732</v>
      </c>
      <c r="AP27" s="286"/>
      <c r="AQ27" s="289">
        <f t="shared" si="4"/>
        <v>9706.3157498789351</v>
      </c>
      <c r="AR27" s="286"/>
      <c r="AS27" s="290">
        <f>12.02*80</f>
        <v>961.59999999999991</v>
      </c>
      <c r="AT27" s="290"/>
      <c r="AU27" s="291">
        <v>2080</v>
      </c>
      <c r="AV27" s="286"/>
      <c r="AW27" s="291">
        <f t="shared" si="5"/>
        <v>25001.599999999999</v>
      </c>
      <c r="AX27" s="286"/>
      <c r="AY27" s="292">
        <v>297.57</v>
      </c>
      <c r="AZ27" s="286"/>
      <c r="BA27" s="83">
        <f t="shared" si="6"/>
        <v>25299.17</v>
      </c>
      <c r="BB27" s="293"/>
      <c r="BC27" s="294">
        <v>11836.75</v>
      </c>
      <c r="BE27" s="295">
        <v>99771</v>
      </c>
      <c r="BH27" s="109">
        <f t="shared" si="12"/>
        <v>17</v>
      </c>
    </row>
    <row r="28" spans="1:60" ht="16.5">
      <c r="A28" s="287">
        <v>18</v>
      </c>
      <c r="B28" s="288" t="str">
        <f t="shared" si="7"/>
        <v>CSR 18</v>
      </c>
      <c r="C28" s="288" t="s">
        <v>305</v>
      </c>
      <c r="D28" s="288"/>
      <c r="E28" s="279" t="s">
        <v>323</v>
      </c>
      <c r="F28" s="279"/>
      <c r="G28" s="289">
        <f t="shared" si="0"/>
        <v>29031.51</v>
      </c>
      <c r="H28" s="289"/>
      <c r="I28" s="83">
        <f t="shared" si="8"/>
        <v>29902.455299999998</v>
      </c>
      <c r="J28" s="83">
        <f t="shared" si="9"/>
        <v>30799.528958999999</v>
      </c>
      <c r="K28" s="289"/>
      <c r="L28" s="239">
        <f t="shared" si="10"/>
        <v>2491.871275</v>
      </c>
      <c r="M28" s="239">
        <f t="shared" si="10"/>
        <v>2491.871275</v>
      </c>
      <c r="N28" s="239">
        <f t="shared" si="10"/>
        <v>2491.871275</v>
      </c>
      <c r="O28" s="239">
        <f t="shared" si="10"/>
        <v>2491.871275</v>
      </c>
      <c r="P28" s="239">
        <f t="shared" si="10"/>
        <v>2491.871275</v>
      </c>
      <c r="Q28" s="239">
        <f t="shared" si="10"/>
        <v>2491.871275</v>
      </c>
      <c r="R28" s="239">
        <f t="shared" si="10"/>
        <v>2491.871275</v>
      </c>
      <c r="S28" s="239">
        <f t="shared" si="10"/>
        <v>2491.871275</v>
      </c>
      <c r="T28" s="239">
        <f t="shared" si="10"/>
        <v>2491.871275</v>
      </c>
      <c r="U28" s="239">
        <f t="shared" si="11"/>
        <v>2566.6274132499998</v>
      </c>
      <c r="V28" s="239">
        <f t="shared" si="11"/>
        <v>2566.6274132499998</v>
      </c>
      <c r="W28" s="239">
        <f t="shared" si="11"/>
        <v>2566.6274132499998</v>
      </c>
      <c r="X28" s="289"/>
      <c r="Y28" s="289"/>
      <c r="Z28" s="286"/>
      <c r="AA28" s="289">
        <f>ROUND(G28*0.0765,0)</f>
        <v>2221</v>
      </c>
      <c r="AB28" s="286"/>
      <c r="AC28" s="289">
        <v>56</v>
      </c>
      <c r="AD28" s="286"/>
      <c r="AE28" s="289">
        <f>IF(G28&gt;8000,8000*0.0458,G28*0.0458)</f>
        <v>366.4</v>
      </c>
      <c r="AF28" s="289" t="s">
        <v>248</v>
      </c>
      <c r="AG28" s="289">
        <f t="shared" si="3"/>
        <v>2643.4</v>
      </c>
      <c r="AH28" s="286"/>
      <c r="AI28" s="289">
        <v>7481.8509443099274</v>
      </c>
      <c r="AJ28" s="286"/>
      <c r="AK28" s="289">
        <f>G28*0.03</f>
        <v>870.94529999999997</v>
      </c>
      <c r="AL28" s="286"/>
      <c r="AM28" s="289">
        <f>G28*0.04</f>
        <v>1161.2603999999999</v>
      </c>
      <c r="AN28" s="286"/>
      <c r="AO28" s="289">
        <v>453.52290556900732</v>
      </c>
      <c r="AP28" s="286"/>
      <c r="AQ28" s="289">
        <f t="shared" si="4"/>
        <v>9967.5795498789339</v>
      </c>
      <c r="AR28" s="286"/>
      <c r="AS28" s="290">
        <f>13.5*80</f>
        <v>1080</v>
      </c>
      <c r="AT28" s="290"/>
      <c r="AU28" s="291">
        <v>2080</v>
      </c>
      <c r="AV28" s="286"/>
      <c r="AW28" s="291">
        <f t="shared" si="5"/>
        <v>28080</v>
      </c>
      <c r="AX28" s="286"/>
      <c r="AY28" s="292">
        <v>951.51</v>
      </c>
      <c r="AZ28" s="286"/>
      <c r="BA28" s="83">
        <f t="shared" si="6"/>
        <v>29031.51</v>
      </c>
      <c r="BB28" s="293"/>
      <c r="BC28" s="294">
        <v>20687.34</v>
      </c>
      <c r="BE28" s="295">
        <v>99543</v>
      </c>
      <c r="BH28" s="109">
        <f t="shared" si="12"/>
        <v>18</v>
      </c>
    </row>
    <row r="29" spans="1:60" ht="16.5">
      <c r="A29" s="287">
        <v>19</v>
      </c>
      <c r="B29" s="288" t="str">
        <f t="shared" si="7"/>
        <v>CSR 19</v>
      </c>
      <c r="C29" s="288" t="s">
        <v>306</v>
      </c>
      <c r="D29" s="288"/>
      <c r="E29" s="279" t="s">
        <v>323</v>
      </c>
      <c r="F29" s="279"/>
      <c r="G29" s="289">
        <f t="shared" si="0"/>
        <v>25828.460000000003</v>
      </c>
      <c r="H29" s="289"/>
      <c r="I29" s="83">
        <f t="shared" si="8"/>
        <v>26603.313800000004</v>
      </c>
      <c r="J29" s="83">
        <f t="shared" si="9"/>
        <v>27401.413214000004</v>
      </c>
      <c r="K29" s="289"/>
      <c r="L29" s="239">
        <f t="shared" si="10"/>
        <v>2216.9428166666671</v>
      </c>
      <c r="M29" s="239">
        <f t="shared" si="10"/>
        <v>2216.9428166666671</v>
      </c>
      <c r="N29" s="239">
        <f t="shared" si="10"/>
        <v>2216.9428166666671</v>
      </c>
      <c r="O29" s="239">
        <f t="shared" si="10"/>
        <v>2216.9428166666671</v>
      </c>
      <c r="P29" s="239">
        <f t="shared" si="10"/>
        <v>2216.9428166666671</v>
      </c>
      <c r="Q29" s="239">
        <f t="shared" si="10"/>
        <v>2216.9428166666671</v>
      </c>
      <c r="R29" s="239">
        <f t="shared" si="10"/>
        <v>2216.9428166666671</v>
      </c>
      <c r="S29" s="239">
        <f t="shared" si="10"/>
        <v>2216.9428166666671</v>
      </c>
      <c r="T29" s="239">
        <f t="shared" si="10"/>
        <v>2216.9428166666671</v>
      </c>
      <c r="U29" s="239">
        <f t="shared" si="11"/>
        <v>2283.4511011666668</v>
      </c>
      <c r="V29" s="239">
        <f t="shared" si="11"/>
        <v>2283.4511011666668</v>
      </c>
      <c r="W29" s="239">
        <f t="shared" si="11"/>
        <v>2283.4511011666668</v>
      </c>
      <c r="X29" s="289"/>
      <c r="Y29" s="289"/>
      <c r="Z29" s="286"/>
      <c r="AA29" s="289">
        <f>ROUND(G29*0.0765,0)</f>
        <v>1976</v>
      </c>
      <c r="AB29" s="286"/>
      <c r="AC29" s="289">
        <v>56</v>
      </c>
      <c r="AD29" s="286"/>
      <c r="AE29" s="289">
        <f>IF(G29&gt;8000,8000*0.0458,G29*0.0458)</f>
        <v>366.4</v>
      </c>
      <c r="AF29" s="289" t="s">
        <v>248</v>
      </c>
      <c r="AG29" s="289">
        <f t="shared" si="3"/>
        <v>2398.4</v>
      </c>
      <c r="AH29" s="286"/>
      <c r="AI29" s="289">
        <v>7481.8509443099274</v>
      </c>
      <c r="AJ29" s="286"/>
      <c r="AK29" s="289">
        <f>G29*0.03</f>
        <v>774.85380000000009</v>
      </c>
      <c r="AL29" s="286"/>
      <c r="AM29" s="289">
        <f>G29*0.04</f>
        <v>1033.1384</v>
      </c>
      <c r="AN29" s="286"/>
      <c r="AO29" s="289">
        <v>453.52290556900732</v>
      </c>
      <c r="AP29" s="286"/>
      <c r="AQ29" s="289">
        <f t="shared" si="4"/>
        <v>9743.3660498789341</v>
      </c>
      <c r="AR29" s="286"/>
      <c r="AS29" s="290">
        <f>12.32*80</f>
        <v>985.6</v>
      </c>
      <c r="AT29" s="290"/>
      <c r="AU29" s="291">
        <v>2080</v>
      </c>
      <c r="AV29" s="286"/>
      <c r="AW29" s="291">
        <f t="shared" si="5"/>
        <v>25625.600000000002</v>
      </c>
      <c r="AX29" s="286"/>
      <c r="AY29" s="292">
        <v>202.86</v>
      </c>
      <c r="AZ29" s="286"/>
      <c r="BA29" s="83">
        <f t="shared" si="6"/>
        <v>25828.460000000003</v>
      </c>
      <c r="BB29" s="293"/>
      <c r="BC29" s="294">
        <v>7311.19</v>
      </c>
      <c r="BE29" s="295">
        <v>99926</v>
      </c>
      <c r="BH29" s="109">
        <f t="shared" si="12"/>
        <v>19</v>
      </c>
    </row>
    <row r="30" spans="1:60" ht="16.5">
      <c r="A30" s="296">
        <v>20</v>
      </c>
      <c r="B30" s="288" t="str">
        <f t="shared" si="7"/>
        <v>CSR 20</v>
      </c>
      <c r="C30" s="288" t="s">
        <v>306</v>
      </c>
      <c r="D30" s="288"/>
      <c r="E30" s="279" t="s">
        <v>323</v>
      </c>
      <c r="F30" s="279"/>
      <c r="G30" s="289">
        <f t="shared" si="0"/>
        <v>27554.070000000003</v>
      </c>
      <c r="H30" s="289"/>
      <c r="I30" s="83">
        <f t="shared" si="8"/>
        <v>28380.692100000004</v>
      </c>
      <c r="J30" s="83">
        <f t="shared" si="9"/>
        <v>29232.112863000006</v>
      </c>
      <c r="K30" s="289"/>
      <c r="L30" s="239">
        <f t="shared" si="10"/>
        <v>2365.0576750000005</v>
      </c>
      <c r="M30" s="239">
        <f t="shared" si="10"/>
        <v>2365.0576750000005</v>
      </c>
      <c r="N30" s="239">
        <f t="shared" si="10"/>
        <v>2365.0576750000005</v>
      </c>
      <c r="O30" s="239">
        <f t="shared" si="10"/>
        <v>2365.0576750000005</v>
      </c>
      <c r="P30" s="239">
        <f t="shared" si="10"/>
        <v>2365.0576750000005</v>
      </c>
      <c r="Q30" s="239">
        <f t="shared" si="10"/>
        <v>2365.0576750000005</v>
      </c>
      <c r="R30" s="239">
        <f t="shared" si="10"/>
        <v>2365.0576750000005</v>
      </c>
      <c r="S30" s="239">
        <f t="shared" si="10"/>
        <v>2365.0576750000005</v>
      </c>
      <c r="T30" s="239">
        <f t="shared" si="10"/>
        <v>2365.0576750000005</v>
      </c>
      <c r="U30" s="239">
        <f t="shared" si="11"/>
        <v>2436.0094052500003</v>
      </c>
      <c r="V30" s="239">
        <f t="shared" si="11"/>
        <v>2436.0094052500003</v>
      </c>
      <c r="W30" s="239">
        <f t="shared" si="11"/>
        <v>2436.0094052500003</v>
      </c>
      <c r="X30" s="289"/>
      <c r="Y30" s="289"/>
      <c r="Z30" s="286"/>
      <c r="AA30" s="289">
        <f>ROUND(G30*0.0765,0)</f>
        <v>2108</v>
      </c>
      <c r="AB30" s="286"/>
      <c r="AC30" s="289">
        <v>56</v>
      </c>
      <c r="AD30" s="286"/>
      <c r="AE30" s="289">
        <f>IF(G30&gt;8000,8000*0.0458,G30*0.0458)</f>
        <v>366.4</v>
      </c>
      <c r="AF30" s="289" t="s">
        <v>248</v>
      </c>
      <c r="AG30" s="289">
        <f t="shared" si="3"/>
        <v>2530.4</v>
      </c>
      <c r="AH30" s="286"/>
      <c r="AI30" s="289">
        <v>7481.8509443099274</v>
      </c>
      <c r="AJ30" s="286"/>
      <c r="AK30" s="289">
        <f>G30*0.03</f>
        <v>826.62210000000005</v>
      </c>
      <c r="AL30" s="286"/>
      <c r="AM30" s="289">
        <f>G30*0.04</f>
        <v>1102.1628000000001</v>
      </c>
      <c r="AN30" s="286"/>
      <c r="AO30" s="289">
        <v>453.52290556900732</v>
      </c>
      <c r="AP30" s="286"/>
      <c r="AQ30" s="289">
        <f t="shared" si="4"/>
        <v>9864.158749878934</v>
      </c>
      <c r="AR30" s="286"/>
      <c r="AS30" s="290">
        <f>13.08*80</f>
        <v>1046.4000000000001</v>
      </c>
      <c r="AT30" s="290"/>
      <c r="AU30" s="291">
        <v>2080</v>
      </c>
      <c r="AV30" s="286"/>
      <c r="AW30" s="291">
        <f t="shared" si="5"/>
        <v>27206.400000000005</v>
      </c>
      <c r="AX30" s="286"/>
      <c r="AY30" s="292">
        <v>347.67</v>
      </c>
      <c r="AZ30" s="286"/>
      <c r="BA30" s="83">
        <f t="shared" si="6"/>
        <v>27554.070000000003</v>
      </c>
      <c r="BB30" s="293"/>
      <c r="BC30" s="294">
        <v>24702.9</v>
      </c>
      <c r="BE30" s="295">
        <v>99650</v>
      </c>
      <c r="BH30" s="109">
        <f t="shared" si="12"/>
        <v>20</v>
      </c>
    </row>
    <row r="31" spans="1:60" ht="16.5">
      <c r="A31" s="287">
        <v>21</v>
      </c>
      <c r="B31" s="288" t="str">
        <f t="shared" si="7"/>
        <v>CSR 21</v>
      </c>
      <c r="C31" s="288" t="s">
        <v>314</v>
      </c>
      <c r="D31" s="288"/>
      <c r="E31" s="279" t="s">
        <v>323</v>
      </c>
      <c r="F31" s="279"/>
      <c r="G31" s="289">
        <f t="shared" si="0"/>
        <v>48299.040000000001</v>
      </c>
      <c r="H31" s="289"/>
      <c r="I31" s="83">
        <f t="shared" si="8"/>
        <v>49748.011200000001</v>
      </c>
      <c r="J31" s="83">
        <f t="shared" si="9"/>
        <v>51240.451536</v>
      </c>
      <c r="K31" s="289"/>
      <c r="L31" s="239">
        <f t="shared" si="10"/>
        <v>4145.6675999999998</v>
      </c>
      <c r="M31" s="239">
        <f t="shared" si="10"/>
        <v>4145.6675999999998</v>
      </c>
      <c r="N31" s="239">
        <f t="shared" si="10"/>
        <v>4145.6675999999998</v>
      </c>
      <c r="O31" s="239">
        <f t="shared" si="10"/>
        <v>4145.6675999999998</v>
      </c>
      <c r="P31" s="239">
        <f t="shared" si="10"/>
        <v>4145.6675999999998</v>
      </c>
      <c r="Q31" s="239">
        <f t="shared" si="10"/>
        <v>4145.6675999999998</v>
      </c>
      <c r="R31" s="239">
        <f t="shared" si="10"/>
        <v>4145.6675999999998</v>
      </c>
      <c r="S31" s="239">
        <f t="shared" si="10"/>
        <v>4145.6675999999998</v>
      </c>
      <c r="T31" s="239">
        <f t="shared" si="10"/>
        <v>4145.6675999999998</v>
      </c>
      <c r="U31" s="239">
        <f t="shared" si="11"/>
        <v>4270.037628</v>
      </c>
      <c r="V31" s="239">
        <f t="shared" si="11"/>
        <v>4270.037628</v>
      </c>
      <c r="W31" s="239">
        <f t="shared" si="11"/>
        <v>4270.037628</v>
      </c>
      <c r="X31" s="289"/>
      <c r="Y31" s="289"/>
      <c r="Z31" s="286"/>
      <c r="AA31" s="289">
        <f>ROUND(G31*0.0765,0)</f>
        <v>3695</v>
      </c>
      <c r="AB31" s="286"/>
      <c r="AC31" s="289">
        <v>56</v>
      </c>
      <c r="AD31" s="286"/>
      <c r="AE31" s="289">
        <f>IF(G31&gt;8000,8000*0.0458,G31*0.0458)</f>
        <v>366.4</v>
      </c>
      <c r="AF31" s="289" t="s">
        <v>248</v>
      </c>
      <c r="AG31" s="289">
        <f t="shared" si="3"/>
        <v>4117.3999999999996</v>
      </c>
      <c r="AH31" s="286"/>
      <c r="AI31" s="289">
        <v>7481.8509443099274</v>
      </c>
      <c r="AJ31" s="286"/>
      <c r="AK31" s="289">
        <f>G31*0.03</f>
        <v>1448.9712</v>
      </c>
      <c r="AL31" s="286"/>
      <c r="AM31" s="289">
        <f>G31*0.04</f>
        <v>1931.9616000000001</v>
      </c>
      <c r="AN31" s="286"/>
      <c r="AO31" s="289">
        <v>453.52290556900732</v>
      </c>
      <c r="AP31" s="286"/>
      <c r="AQ31" s="289">
        <f t="shared" si="4"/>
        <v>11316.306649878936</v>
      </c>
      <c r="AR31" s="286"/>
      <c r="AS31" s="290">
        <v>2012.46</v>
      </c>
      <c r="AT31" s="290"/>
      <c r="AU31" s="291">
        <v>86.67</v>
      </c>
      <c r="AV31" s="286"/>
      <c r="AW31" s="291">
        <f t="shared" si="5"/>
        <v>48299.040000000001</v>
      </c>
      <c r="AX31" s="286"/>
      <c r="AY31" s="292">
        <v>0</v>
      </c>
      <c r="AZ31" s="286"/>
      <c r="BA31" s="83">
        <f t="shared" si="6"/>
        <v>48299.040000000001</v>
      </c>
      <c r="BB31" s="293"/>
      <c r="BC31" s="294">
        <v>42736.01</v>
      </c>
      <c r="BE31" s="295">
        <v>98717</v>
      </c>
      <c r="BH31" s="109">
        <f t="shared" si="12"/>
        <v>21</v>
      </c>
    </row>
    <row r="32" spans="1:60" ht="16.5">
      <c r="A32" s="287">
        <v>22</v>
      </c>
      <c r="B32" s="288" t="str">
        <f t="shared" si="7"/>
        <v>CSR 22</v>
      </c>
      <c r="C32" s="288" t="s">
        <v>306</v>
      </c>
      <c r="D32" s="288"/>
      <c r="E32" s="279" t="s">
        <v>323</v>
      </c>
      <c r="F32" s="279"/>
      <c r="G32" s="289">
        <f t="shared" si="0"/>
        <v>26211.65</v>
      </c>
      <c r="H32" s="289"/>
      <c r="I32" s="83">
        <f t="shared" si="8"/>
        <v>26997.999500000002</v>
      </c>
      <c r="J32" s="83">
        <f t="shared" si="9"/>
        <v>27807.939485000003</v>
      </c>
      <c r="K32" s="289"/>
      <c r="L32" s="239">
        <f t="shared" si="10"/>
        <v>2249.8332916666668</v>
      </c>
      <c r="M32" s="239">
        <f t="shared" si="10"/>
        <v>2249.8332916666668</v>
      </c>
      <c r="N32" s="239">
        <f t="shared" si="10"/>
        <v>2249.8332916666668</v>
      </c>
      <c r="O32" s="239">
        <f t="shared" si="10"/>
        <v>2249.8332916666668</v>
      </c>
      <c r="P32" s="239">
        <f t="shared" si="10"/>
        <v>2249.8332916666668</v>
      </c>
      <c r="Q32" s="239">
        <f t="shared" si="10"/>
        <v>2249.8332916666668</v>
      </c>
      <c r="R32" s="239">
        <f t="shared" si="10"/>
        <v>2249.8332916666668</v>
      </c>
      <c r="S32" s="239">
        <f t="shared" si="10"/>
        <v>2249.8332916666668</v>
      </c>
      <c r="T32" s="239">
        <f t="shared" si="10"/>
        <v>2249.8332916666668</v>
      </c>
      <c r="U32" s="239">
        <f t="shared" si="11"/>
        <v>2317.3282904166667</v>
      </c>
      <c r="V32" s="239">
        <f t="shared" si="11"/>
        <v>2317.3282904166667</v>
      </c>
      <c r="W32" s="239">
        <f t="shared" si="11"/>
        <v>2317.3282904166667</v>
      </c>
      <c r="X32" s="289"/>
      <c r="Y32" s="289"/>
      <c r="Z32" s="286"/>
      <c r="AA32" s="289">
        <f>ROUND(G32*0.0765,0)</f>
        <v>2005</v>
      </c>
      <c r="AB32" s="286"/>
      <c r="AC32" s="289">
        <v>56</v>
      </c>
      <c r="AD32" s="286"/>
      <c r="AE32" s="289">
        <f>IF(G32&gt;8000,8000*0.0458,G32*0.0458)</f>
        <v>366.4</v>
      </c>
      <c r="AF32" s="289" t="s">
        <v>248</v>
      </c>
      <c r="AG32" s="289">
        <f t="shared" si="3"/>
        <v>2427.4</v>
      </c>
      <c r="AH32" s="286"/>
      <c r="AI32" s="289">
        <v>7481.8509443099274</v>
      </c>
      <c r="AJ32" s="286"/>
      <c r="AK32" s="289">
        <f>G32*0.03</f>
        <v>786.34950000000003</v>
      </c>
      <c r="AL32" s="286"/>
      <c r="AM32" s="289">
        <f>G32*0.04</f>
        <v>1048.4660000000001</v>
      </c>
      <c r="AN32" s="286"/>
      <c r="AO32" s="289">
        <v>453.52290556900732</v>
      </c>
      <c r="AP32" s="286"/>
      <c r="AQ32" s="289">
        <f t="shared" si="4"/>
        <v>9770.1893498789341</v>
      </c>
      <c r="AR32" s="286"/>
      <c r="AS32" s="290">
        <f>12.32*80</f>
        <v>985.6</v>
      </c>
      <c r="AT32" s="290"/>
      <c r="AU32" s="291">
        <v>2080</v>
      </c>
      <c r="AV32" s="286"/>
      <c r="AW32" s="291">
        <f t="shared" si="5"/>
        <v>25625.600000000002</v>
      </c>
      <c r="AX32" s="286"/>
      <c r="AY32" s="292">
        <v>586.04999999999995</v>
      </c>
      <c r="AZ32" s="286"/>
      <c r="BA32" s="83">
        <f t="shared" si="6"/>
        <v>26211.65</v>
      </c>
      <c r="BB32" s="293"/>
      <c r="BC32" s="294">
        <v>16511.830000000002</v>
      </c>
      <c r="BE32" s="295">
        <v>99760</v>
      </c>
      <c r="BH32" s="109">
        <f t="shared" si="12"/>
        <v>22</v>
      </c>
    </row>
    <row r="33" spans="1:60" ht="16.5">
      <c r="A33" s="287">
        <v>23</v>
      </c>
      <c r="B33" s="288" t="str">
        <f t="shared" si="7"/>
        <v>CSR 23</v>
      </c>
      <c r="C33" s="288" t="s">
        <v>315</v>
      </c>
      <c r="D33" s="288"/>
      <c r="E33" s="279" t="s">
        <v>324</v>
      </c>
      <c r="F33" s="279"/>
      <c r="G33" s="289">
        <f t="shared" si="0"/>
        <v>35926.29</v>
      </c>
      <c r="H33" s="289"/>
      <c r="I33" s="83">
        <f t="shared" si="8"/>
        <v>37004.078700000005</v>
      </c>
      <c r="J33" s="83">
        <f t="shared" si="9"/>
        <v>38114.201061000007</v>
      </c>
      <c r="K33" s="289"/>
      <c r="L33" s="239">
        <f t="shared" si="10"/>
        <v>3083.6732250000005</v>
      </c>
      <c r="M33" s="239">
        <f t="shared" si="10"/>
        <v>3083.6732250000005</v>
      </c>
      <c r="N33" s="239">
        <f t="shared" si="10"/>
        <v>3083.6732250000005</v>
      </c>
      <c r="O33" s="239">
        <f t="shared" si="10"/>
        <v>3083.6732250000005</v>
      </c>
      <c r="P33" s="239">
        <f t="shared" si="10"/>
        <v>3083.6732250000005</v>
      </c>
      <c r="Q33" s="239">
        <f t="shared" si="10"/>
        <v>3083.6732250000005</v>
      </c>
      <c r="R33" s="239">
        <f t="shared" si="10"/>
        <v>3083.6732250000005</v>
      </c>
      <c r="S33" s="239">
        <f t="shared" si="10"/>
        <v>3083.6732250000005</v>
      </c>
      <c r="T33" s="239">
        <f t="shared" si="10"/>
        <v>3083.6732250000005</v>
      </c>
      <c r="U33" s="239">
        <f t="shared" si="11"/>
        <v>3176.1834217500004</v>
      </c>
      <c r="V33" s="239">
        <f t="shared" si="11"/>
        <v>3176.1834217500004</v>
      </c>
      <c r="W33" s="239">
        <f t="shared" si="11"/>
        <v>3176.1834217500004</v>
      </c>
      <c r="X33" s="289"/>
      <c r="Y33" s="289"/>
      <c r="Z33" s="286"/>
      <c r="AA33" s="289">
        <f>ROUND(G33*0.0765,0)</f>
        <v>2748</v>
      </c>
      <c r="AB33" s="286"/>
      <c r="AC33" s="289">
        <v>56</v>
      </c>
      <c r="AD33" s="286"/>
      <c r="AE33" s="289">
        <f>IF(G33&gt;20900,20900*0.042,G33*0.042)</f>
        <v>877.80000000000007</v>
      </c>
      <c r="AF33" s="289" t="s">
        <v>307</v>
      </c>
      <c r="AG33" s="289">
        <f t="shared" si="3"/>
        <v>3681.8</v>
      </c>
      <c r="AH33" s="286"/>
      <c r="AI33" s="289">
        <v>7481.8509443099274</v>
      </c>
      <c r="AJ33" s="286"/>
      <c r="AK33" s="289">
        <f>G33*0.03</f>
        <v>1077.7887000000001</v>
      </c>
      <c r="AL33" s="286"/>
      <c r="AM33" s="289">
        <f>G33*0.04</f>
        <v>1437.0516</v>
      </c>
      <c r="AN33" s="286"/>
      <c r="AO33" s="289">
        <v>453.52290556900732</v>
      </c>
      <c r="AP33" s="286"/>
      <c r="AQ33" s="289">
        <f t="shared" si="4"/>
        <v>10450.214149878935</v>
      </c>
      <c r="AR33" s="286"/>
      <c r="AS33" s="290">
        <v>1483.75</v>
      </c>
      <c r="AT33" s="290"/>
      <c r="AU33" s="291">
        <v>86.67</v>
      </c>
      <c r="AV33" s="286"/>
      <c r="AW33" s="291">
        <f t="shared" si="5"/>
        <v>35610</v>
      </c>
      <c r="AX33" s="286"/>
      <c r="AY33" s="292">
        <v>316.29000000000002</v>
      </c>
      <c r="AZ33" s="286"/>
      <c r="BA33" s="83">
        <f t="shared" si="6"/>
        <v>35926.29</v>
      </c>
      <c r="BB33" s="293"/>
      <c r="BC33" s="294">
        <v>31947.58</v>
      </c>
      <c r="BE33" s="295">
        <v>98953</v>
      </c>
      <c r="BH33" s="109">
        <f t="shared" si="12"/>
        <v>23</v>
      </c>
    </row>
    <row r="34" spans="1:60" ht="16.5">
      <c r="A34" s="287">
        <v>24</v>
      </c>
      <c r="B34" s="288" t="str">
        <f t="shared" si="7"/>
        <v>CSR 24</v>
      </c>
      <c r="C34" s="288" t="s">
        <v>305</v>
      </c>
      <c r="D34" s="288"/>
      <c r="E34" s="279" t="s">
        <v>324</v>
      </c>
      <c r="F34" s="279"/>
      <c r="G34" s="289">
        <f t="shared" si="0"/>
        <v>31101.05</v>
      </c>
      <c r="H34" s="289"/>
      <c r="I34" s="83">
        <f t="shared" si="8"/>
        <v>32034.0815</v>
      </c>
      <c r="J34" s="83">
        <f t="shared" si="9"/>
        <v>32995.103945000003</v>
      </c>
      <c r="K34" s="289"/>
      <c r="L34" s="239">
        <f t="shared" si="10"/>
        <v>2669.5067916666667</v>
      </c>
      <c r="M34" s="239">
        <f t="shared" si="10"/>
        <v>2669.5067916666667</v>
      </c>
      <c r="N34" s="239">
        <f t="shared" si="10"/>
        <v>2669.5067916666667</v>
      </c>
      <c r="O34" s="239">
        <f t="shared" si="10"/>
        <v>2669.5067916666667</v>
      </c>
      <c r="P34" s="239">
        <f t="shared" si="10"/>
        <v>2669.5067916666667</v>
      </c>
      <c r="Q34" s="239">
        <f t="shared" si="10"/>
        <v>2669.5067916666667</v>
      </c>
      <c r="R34" s="239">
        <f t="shared" si="10"/>
        <v>2669.5067916666667</v>
      </c>
      <c r="S34" s="239">
        <f t="shared" si="10"/>
        <v>2669.5067916666667</v>
      </c>
      <c r="T34" s="239">
        <f t="shared" si="10"/>
        <v>2669.5067916666667</v>
      </c>
      <c r="U34" s="239">
        <f t="shared" si="11"/>
        <v>2749.591995416667</v>
      </c>
      <c r="V34" s="239">
        <f t="shared" si="11"/>
        <v>2749.591995416667</v>
      </c>
      <c r="W34" s="239">
        <f t="shared" si="11"/>
        <v>2749.591995416667</v>
      </c>
      <c r="X34" s="289"/>
      <c r="Y34" s="289"/>
      <c r="Z34" s="286"/>
      <c r="AA34" s="289">
        <f>ROUND(G34*0.0765,0)</f>
        <v>2379</v>
      </c>
      <c r="AB34" s="286"/>
      <c r="AC34" s="289">
        <v>56</v>
      </c>
      <c r="AD34" s="286"/>
      <c r="AE34" s="289">
        <f>IF(G34&gt;20900,20900*0.042,G34*0.042)</f>
        <v>877.80000000000007</v>
      </c>
      <c r="AF34" s="289" t="s">
        <v>307</v>
      </c>
      <c r="AG34" s="289">
        <f t="shared" si="3"/>
        <v>3312.8</v>
      </c>
      <c r="AH34" s="286"/>
      <c r="AI34" s="289">
        <v>7481.8509443099274</v>
      </c>
      <c r="AJ34" s="286"/>
      <c r="AK34" s="289">
        <f>G34*0.03</f>
        <v>933.03149999999994</v>
      </c>
      <c r="AL34" s="286"/>
      <c r="AM34" s="289">
        <f>G34*0.04</f>
        <v>1244.0419999999999</v>
      </c>
      <c r="AN34" s="286"/>
      <c r="AO34" s="289">
        <v>453.52290556900732</v>
      </c>
      <c r="AP34" s="286"/>
      <c r="AQ34" s="289">
        <f t="shared" si="4"/>
        <v>10112.447349878934</v>
      </c>
      <c r="AR34" s="286"/>
      <c r="AS34" s="290">
        <f>14.9*80</f>
        <v>1192</v>
      </c>
      <c r="AT34" s="290"/>
      <c r="AU34" s="291">
        <v>2080</v>
      </c>
      <c r="AV34" s="286"/>
      <c r="AW34" s="291">
        <f t="shared" si="5"/>
        <v>30992</v>
      </c>
      <c r="AX34" s="286"/>
      <c r="AY34" s="292">
        <v>109.05000000000001</v>
      </c>
      <c r="AZ34" s="286"/>
      <c r="BA34" s="83">
        <f t="shared" si="6"/>
        <v>31101.05</v>
      </c>
      <c r="BB34" s="293"/>
      <c r="BC34" s="294">
        <v>26565.48</v>
      </c>
      <c r="BE34" s="295">
        <v>99290</v>
      </c>
      <c r="BH34" s="109">
        <f t="shared" si="12"/>
        <v>24</v>
      </c>
    </row>
    <row r="35" spans="1:60" ht="16.5">
      <c r="A35" s="287">
        <v>25</v>
      </c>
      <c r="B35" s="288" t="str">
        <f t="shared" si="7"/>
        <v>CSR 25</v>
      </c>
      <c r="C35" s="288" t="s">
        <v>306</v>
      </c>
      <c r="D35" s="288"/>
      <c r="E35" s="279" t="s">
        <v>323</v>
      </c>
      <c r="F35" s="279"/>
      <c r="G35" s="289">
        <f t="shared" si="0"/>
        <v>25480</v>
      </c>
      <c r="H35" s="289"/>
      <c r="I35" s="83">
        <f t="shared" si="8"/>
        <v>26244.400000000001</v>
      </c>
      <c r="J35" s="83">
        <f t="shared" si="9"/>
        <v>27031.732000000004</v>
      </c>
      <c r="K35" s="289"/>
      <c r="L35" s="239">
        <f t="shared" si="10"/>
        <v>2187.0333333333333</v>
      </c>
      <c r="M35" s="239">
        <f t="shared" si="10"/>
        <v>2187.0333333333333</v>
      </c>
      <c r="N35" s="239">
        <f t="shared" si="10"/>
        <v>2187.0333333333333</v>
      </c>
      <c r="O35" s="239">
        <f t="shared" si="10"/>
        <v>2187.0333333333333</v>
      </c>
      <c r="P35" s="239">
        <f t="shared" si="10"/>
        <v>2187.0333333333333</v>
      </c>
      <c r="Q35" s="239">
        <f t="shared" si="10"/>
        <v>2187.0333333333333</v>
      </c>
      <c r="R35" s="239">
        <f t="shared" si="10"/>
        <v>2187.0333333333333</v>
      </c>
      <c r="S35" s="239">
        <f t="shared" si="10"/>
        <v>2187.0333333333333</v>
      </c>
      <c r="T35" s="239">
        <f t="shared" si="10"/>
        <v>2187.0333333333333</v>
      </c>
      <c r="U35" s="239">
        <f t="shared" si="11"/>
        <v>2252.6443333333336</v>
      </c>
      <c r="V35" s="239">
        <f t="shared" si="11"/>
        <v>2252.6443333333336</v>
      </c>
      <c r="W35" s="239">
        <f t="shared" si="11"/>
        <v>2252.6443333333336</v>
      </c>
      <c r="X35" s="289"/>
      <c r="Y35" s="289"/>
      <c r="Z35" s="286"/>
      <c r="AA35" s="289">
        <f>ROUND(G35*0.0765,0)</f>
        <v>1949</v>
      </c>
      <c r="AB35" s="286"/>
      <c r="AC35" s="289">
        <v>56</v>
      </c>
      <c r="AD35" s="286"/>
      <c r="AE35" s="289">
        <f>IF(G35&gt;8000,8000*0.0458,G35*0.0458)</f>
        <v>366.4</v>
      </c>
      <c r="AF35" s="289" t="s">
        <v>248</v>
      </c>
      <c r="AG35" s="289">
        <f t="shared" si="3"/>
        <v>2371.4</v>
      </c>
      <c r="AH35" s="286"/>
      <c r="AI35" s="289">
        <v>7481.8509443099274</v>
      </c>
      <c r="AJ35" s="286"/>
      <c r="AK35" s="289">
        <f>G35*0.03</f>
        <v>764.4</v>
      </c>
      <c r="AL35" s="286"/>
      <c r="AM35" s="289">
        <f>G35*0.04</f>
        <v>1019.2</v>
      </c>
      <c r="AN35" s="286"/>
      <c r="AO35" s="289">
        <v>453.52290556900732</v>
      </c>
      <c r="AP35" s="286"/>
      <c r="AQ35" s="289">
        <f t="shared" si="4"/>
        <v>9718.9738498789357</v>
      </c>
      <c r="AR35" s="286"/>
      <c r="AS35" s="290">
        <f>12.25*80</f>
        <v>980</v>
      </c>
      <c r="AT35" s="290"/>
      <c r="AU35" s="291">
        <v>2080</v>
      </c>
      <c r="AV35" s="286"/>
      <c r="AW35" s="291">
        <f t="shared" si="5"/>
        <v>25480</v>
      </c>
      <c r="AX35" s="286"/>
      <c r="AY35" s="292">
        <v>0</v>
      </c>
      <c r="AZ35" s="286"/>
      <c r="BA35" s="83">
        <f t="shared" si="6"/>
        <v>25480</v>
      </c>
      <c r="BB35" s="293"/>
      <c r="BC35" s="294">
        <v>0</v>
      </c>
      <c r="BE35" s="295">
        <v>99979</v>
      </c>
      <c r="BH35" s="109">
        <f t="shared" si="12"/>
        <v>25</v>
      </c>
    </row>
    <row r="36" spans="1:60" ht="16.5">
      <c r="A36" s="287">
        <v>26</v>
      </c>
      <c r="B36" s="288" t="str">
        <f t="shared" si="7"/>
        <v>CSR 26</v>
      </c>
      <c r="C36" s="288" t="s">
        <v>316</v>
      </c>
      <c r="D36" s="288"/>
      <c r="E36" s="279" t="s">
        <v>323</v>
      </c>
      <c r="F36" s="279"/>
      <c r="G36" s="289">
        <f t="shared" si="0"/>
        <v>100338.72</v>
      </c>
      <c r="H36" s="289"/>
      <c r="I36" s="83">
        <f t="shared" si="8"/>
        <v>103348.88160000001</v>
      </c>
      <c r="J36" s="83">
        <f t="shared" si="9"/>
        <v>106449.34804800001</v>
      </c>
      <c r="K36" s="289"/>
      <c r="L36" s="239">
        <f t="shared" si="10"/>
        <v>8612.4068000000007</v>
      </c>
      <c r="M36" s="239">
        <f t="shared" si="10"/>
        <v>8612.4068000000007</v>
      </c>
      <c r="N36" s="239">
        <f t="shared" si="10"/>
        <v>8612.4068000000007</v>
      </c>
      <c r="O36" s="239">
        <f t="shared" si="10"/>
        <v>8612.4068000000007</v>
      </c>
      <c r="P36" s="239">
        <f t="shared" si="10"/>
        <v>8612.4068000000007</v>
      </c>
      <c r="Q36" s="239">
        <f t="shared" si="10"/>
        <v>8612.4068000000007</v>
      </c>
      <c r="R36" s="239">
        <f t="shared" si="10"/>
        <v>8612.4068000000007</v>
      </c>
      <c r="S36" s="239">
        <f t="shared" si="10"/>
        <v>8612.4068000000007</v>
      </c>
      <c r="T36" s="239">
        <f t="shared" si="10"/>
        <v>8612.4068000000007</v>
      </c>
      <c r="U36" s="239">
        <f t="shared" si="11"/>
        <v>8870.7790040000018</v>
      </c>
      <c r="V36" s="239">
        <f t="shared" si="11"/>
        <v>8870.7790040000018</v>
      </c>
      <c r="W36" s="239">
        <f t="shared" si="11"/>
        <v>8870.7790040000018</v>
      </c>
      <c r="X36" s="289"/>
      <c r="Y36" s="289"/>
      <c r="Z36" s="286"/>
      <c r="AA36" s="289">
        <f>ROUND(G36*0.0765,0)</f>
        <v>7676</v>
      </c>
      <c r="AB36" s="286"/>
      <c r="AC36" s="289">
        <v>56</v>
      </c>
      <c r="AD36" s="286"/>
      <c r="AE36" s="289">
        <f>IF(G36&gt;8000,8000*0.0458,G36*0.0458)</f>
        <v>366.4</v>
      </c>
      <c r="AF36" s="289" t="s">
        <v>248</v>
      </c>
      <c r="AG36" s="289">
        <f t="shared" si="3"/>
        <v>8098.4</v>
      </c>
      <c r="AH36" s="286"/>
      <c r="AI36" s="289">
        <v>7481.8509443099274</v>
      </c>
      <c r="AJ36" s="286"/>
      <c r="AK36" s="289">
        <f>G36*0.03</f>
        <v>3010.1615999999999</v>
      </c>
      <c r="AL36" s="286"/>
      <c r="AM36" s="289">
        <f>G36*0.04</f>
        <v>4013.5488</v>
      </c>
      <c r="AN36" s="286"/>
      <c r="AO36" s="289">
        <v>453.52290556900732</v>
      </c>
      <c r="AP36" s="286"/>
      <c r="AQ36" s="289">
        <f t="shared" si="4"/>
        <v>14959.084249878935</v>
      </c>
      <c r="AR36" s="286"/>
      <c r="AS36" s="290">
        <v>4180.78</v>
      </c>
      <c r="AT36" s="290"/>
      <c r="AU36" s="291">
        <v>86.67</v>
      </c>
      <c r="AV36" s="286"/>
      <c r="AW36" s="291">
        <f t="shared" si="5"/>
        <v>100338.72</v>
      </c>
      <c r="AX36" s="286"/>
      <c r="AY36" s="292">
        <v>0</v>
      </c>
      <c r="AZ36" s="286"/>
      <c r="BA36" s="83">
        <f t="shared" si="6"/>
        <v>100338.72</v>
      </c>
      <c r="BB36" s="293"/>
      <c r="BC36" s="294">
        <v>182379.1</v>
      </c>
      <c r="BE36" s="295">
        <v>99714</v>
      </c>
      <c r="BH36" s="109">
        <f t="shared" si="12"/>
        <v>26</v>
      </c>
    </row>
    <row r="37" spans="1:60" ht="16.5">
      <c r="A37" s="287">
        <v>27</v>
      </c>
      <c r="B37" s="288" t="str">
        <f t="shared" si="7"/>
        <v>CSR 27</v>
      </c>
      <c r="C37" s="288" t="s">
        <v>317</v>
      </c>
      <c r="D37" s="288"/>
      <c r="E37" s="279" t="s">
        <v>323</v>
      </c>
      <c r="F37" s="279"/>
      <c r="G37" s="289">
        <f t="shared" si="0"/>
        <v>58240.08</v>
      </c>
      <c r="H37" s="289"/>
      <c r="I37" s="83">
        <f t="shared" si="8"/>
        <v>59987.282400000004</v>
      </c>
      <c r="J37" s="83">
        <f t="shared" si="9"/>
        <v>61786.900872000006</v>
      </c>
      <c r="K37" s="289"/>
      <c r="L37" s="239">
        <f t="shared" si="10"/>
        <v>4998.9402</v>
      </c>
      <c r="M37" s="239">
        <f t="shared" si="10"/>
        <v>4998.9402</v>
      </c>
      <c r="N37" s="239">
        <f t="shared" si="10"/>
        <v>4998.9402</v>
      </c>
      <c r="O37" s="239">
        <f t="shared" si="10"/>
        <v>4998.9402</v>
      </c>
      <c r="P37" s="239">
        <f t="shared" si="10"/>
        <v>4998.9402</v>
      </c>
      <c r="Q37" s="239">
        <f t="shared" si="10"/>
        <v>4998.9402</v>
      </c>
      <c r="R37" s="239">
        <f t="shared" si="10"/>
        <v>4998.9402</v>
      </c>
      <c r="S37" s="239">
        <f t="shared" si="10"/>
        <v>4998.9402</v>
      </c>
      <c r="T37" s="239">
        <f t="shared" si="10"/>
        <v>4998.9402</v>
      </c>
      <c r="U37" s="239">
        <f t="shared" si="11"/>
        <v>5148.9084060000005</v>
      </c>
      <c r="V37" s="239">
        <f t="shared" si="11"/>
        <v>5148.9084060000005</v>
      </c>
      <c r="W37" s="239">
        <f t="shared" si="11"/>
        <v>5148.9084060000005</v>
      </c>
      <c r="X37" s="289"/>
      <c r="Y37" s="289"/>
      <c r="Z37" s="286"/>
      <c r="AA37" s="289">
        <f>ROUND(G37*0.0765,0)</f>
        <v>4455</v>
      </c>
      <c r="AB37" s="286"/>
      <c r="AC37" s="289">
        <v>56</v>
      </c>
      <c r="AD37" s="286"/>
      <c r="AE37" s="289">
        <f>IF(G37&gt;8000,8000*0.0458,G37*0.0458)</f>
        <v>366.4</v>
      </c>
      <c r="AF37" s="289" t="s">
        <v>248</v>
      </c>
      <c r="AG37" s="289">
        <f t="shared" si="3"/>
        <v>4877.3999999999996</v>
      </c>
      <c r="AH37" s="286"/>
      <c r="AI37" s="289">
        <v>7481.8509443099274</v>
      </c>
      <c r="AJ37" s="286"/>
      <c r="AK37" s="289">
        <f>G37*0.03</f>
        <v>1747.2023999999999</v>
      </c>
      <c r="AL37" s="286"/>
      <c r="AM37" s="289">
        <f>G37*0.04</f>
        <v>2329.6032</v>
      </c>
      <c r="AN37" s="286"/>
      <c r="AO37" s="289">
        <v>453.52290556900732</v>
      </c>
      <c r="AP37" s="286"/>
      <c r="AQ37" s="289">
        <f t="shared" si="4"/>
        <v>12012.179449878933</v>
      </c>
      <c r="AR37" s="286"/>
      <c r="AS37" s="290">
        <v>2426.67</v>
      </c>
      <c r="AT37" s="290"/>
      <c r="AU37" s="291">
        <v>86.67</v>
      </c>
      <c r="AV37" s="286"/>
      <c r="AW37" s="291">
        <f t="shared" si="5"/>
        <v>58240.08</v>
      </c>
      <c r="AX37" s="286"/>
      <c r="AY37" s="292">
        <v>0</v>
      </c>
      <c r="AZ37" s="286"/>
      <c r="BA37" s="83">
        <f t="shared" si="6"/>
        <v>58240.08</v>
      </c>
      <c r="BB37" s="293"/>
      <c r="BC37" s="294">
        <v>27659.01</v>
      </c>
      <c r="BE37" s="295">
        <v>99708</v>
      </c>
      <c r="BH37" s="109">
        <f t="shared" si="12"/>
        <v>27</v>
      </c>
    </row>
    <row r="38" spans="1:60" ht="16.5">
      <c r="A38" s="296">
        <v>28</v>
      </c>
      <c r="B38" s="288" t="str">
        <f t="shared" si="7"/>
        <v>CSR 28</v>
      </c>
      <c r="C38" s="288" t="s">
        <v>314</v>
      </c>
      <c r="D38" s="288"/>
      <c r="E38" s="279" t="s">
        <v>324</v>
      </c>
      <c r="F38" s="279"/>
      <c r="G38" s="289">
        <f t="shared" si="0"/>
        <v>46170.96</v>
      </c>
      <c r="H38" s="289"/>
      <c r="I38" s="83">
        <f t="shared" si="8"/>
        <v>47556.088799999998</v>
      </c>
      <c r="J38" s="83">
        <f t="shared" si="9"/>
        <v>48982.771463999998</v>
      </c>
      <c r="K38" s="289"/>
      <c r="L38" s="239">
        <f t="shared" si="10"/>
        <v>3963.0074</v>
      </c>
      <c r="M38" s="239">
        <f t="shared" si="10"/>
        <v>3963.0074</v>
      </c>
      <c r="N38" s="239">
        <f t="shared" si="10"/>
        <v>3963.0074</v>
      </c>
      <c r="O38" s="239">
        <f t="shared" si="10"/>
        <v>3963.0074</v>
      </c>
      <c r="P38" s="239">
        <f t="shared" si="10"/>
        <v>3963.0074</v>
      </c>
      <c r="Q38" s="239">
        <f t="shared" si="10"/>
        <v>3963.0074</v>
      </c>
      <c r="R38" s="239">
        <f t="shared" si="10"/>
        <v>3963.0074</v>
      </c>
      <c r="S38" s="239">
        <f t="shared" si="10"/>
        <v>3963.0074</v>
      </c>
      <c r="T38" s="239">
        <f t="shared" si="10"/>
        <v>3963.0074</v>
      </c>
      <c r="U38" s="239">
        <f t="shared" si="11"/>
        <v>4081.897622</v>
      </c>
      <c r="V38" s="239">
        <f t="shared" si="11"/>
        <v>4081.897622</v>
      </c>
      <c r="W38" s="239">
        <f t="shared" si="11"/>
        <v>4081.897622</v>
      </c>
      <c r="X38" s="289"/>
      <c r="Y38" s="289"/>
      <c r="Z38" s="286"/>
      <c r="AA38" s="289">
        <f>ROUND(G38*0.0765,0)</f>
        <v>3532</v>
      </c>
      <c r="AB38" s="286"/>
      <c r="AC38" s="289">
        <v>56</v>
      </c>
      <c r="AD38" s="286"/>
      <c r="AE38" s="289">
        <f>IF(G38&gt;20900,20900*0.042,G38*0.042)</f>
        <v>877.80000000000007</v>
      </c>
      <c r="AF38" s="289" t="s">
        <v>307</v>
      </c>
      <c r="AG38" s="289">
        <f t="shared" si="3"/>
        <v>4465.8</v>
      </c>
      <c r="AH38" s="286"/>
      <c r="AI38" s="289">
        <v>7481.8509443099274</v>
      </c>
      <c r="AJ38" s="286"/>
      <c r="AK38" s="289">
        <f>G38*0.03</f>
        <v>1385.1288</v>
      </c>
      <c r="AL38" s="286"/>
      <c r="AM38" s="289">
        <f>G38*0.04</f>
        <v>1846.8384000000001</v>
      </c>
      <c r="AN38" s="286"/>
      <c r="AO38" s="289">
        <v>453.52290556900732</v>
      </c>
      <c r="AP38" s="286"/>
      <c r="AQ38" s="289">
        <f t="shared" si="4"/>
        <v>11167.341049878934</v>
      </c>
      <c r="AR38" s="286"/>
      <c r="AS38" s="290">
        <v>1923.79</v>
      </c>
      <c r="AT38" s="290"/>
      <c r="AU38" s="291">
        <v>86.67</v>
      </c>
      <c r="AV38" s="286"/>
      <c r="AW38" s="291">
        <f t="shared" si="5"/>
        <v>46170.96</v>
      </c>
      <c r="AX38" s="286"/>
      <c r="AY38" s="292">
        <v>0</v>
      </c>
      <c r="AZ38" s="286"/>
      <c r="BA38" s="83">
        <f t="shared" si="6"/>
        <v>46170.96</v>
      </c>
      <c r="BB38" s="293"/>
      <c r="BC38" s="294">
        <v>40415.18</v>
      </c>
      <c r="BE38" s="295">
        <v>98875</v>
      </c>
      <c r="BH38" s="109">
        <f t="shared" si="12"/>
        <v>28</v>
      </c>
    </row>
    <row r="39" spans="1:60" ht="16.5">
      <c r="A39" s="287">
        <v>29</v>
      </c>
      <c r="B39" s="288" t="str">
        <f t="shared" si="7"/>
        <v>CSR 29</v>
      </c>
      <c r="C39" s="288" t="s">
        <v>306</v>
      </c>
      <c r="D39" s="288"/>
      <c r="E39" s="279" t="s">
        <v>324</v>
      </c>
      <c r="F39" s="279"/>
      <c r="G39" s="289">
        <f t="shared" si="0"/>
        <v>26038.880000000001</v>
      </c>
      <c r="H39" s="289"/>
      <c r="I39" s="83">
        <f t="shared" si="8"/>
        <v>26820.046400000003</v>
      </c>
      <c r="J39" s="83">
        <f t="shared" si="9"/>
        <v>27624.647792000003</v>
      </c>
      <c r="K39" s="289"/>
      <c r="L39" s="239">
        <f t="shared" si="10"/>
        <v>2235.0038666666669</v>
      </c>
      <c r="M39" s="239">
        <f t="shared" si="10"/>
        <v>2235.0038666666669</v>
      </c>
      <c r="N39" s="239">
        <f t="shared" si="10"/>
        <v>2235.0038666666669</v>
      </c>
      <c r="O39" s="239">
        <f t="shared" si="10"/>
        <v>2235.0038666666669</v>
      </c>
      <c r="P39" s="239">
        <f t="shared" si="10"/>
        <v>2235.0038666666669</v>
      </c>
      <c r="Q39" s="239">
        <f t="shared" si="10"/>
        <v>2235.0038666666669</v>
      </c>
      <c r="R39" s="239">
        <f t="shared" si="10"/>
        <v>2235.0038666666669</v>
      </c>
      <c r="S39" s="239">
        <f t="shared" si="10"/>
        <v>2235.0038666666669</v>
      </c>
      <c r="T39" s="239">
        <f t="shared" si="10"/>
        <v>2235.0038666666669</v>
      </c>
      <c r="U39" s="239">
        <f t="shared" si="11"/>
        <v>2302.0539826666668</v>
      </c>
      <c r="V39" s="239">
        <f t="shared" si="11"/>
        <v>2302.0539826666668</v>
      </c>
      <c r="W39" s="239">
        <f t="shared" si="11"/>
        <v>2302.0539826666668</v>
      </c>
      <c r="X39" s="289"/>
      <c r="Y39" s="289"/>
      <c r="Z39" s="286"/>
      <c r="AA39" s="289">
        <f>ROUND(G39*0.0765,0)</f>
        <v>1992</v>
      </c>
      <c r="AB39" s="286"/>
      <c r="AC39" s="289">
        <v>56</v>
      </c>
      <c r="AD39" s="286"/>
      <c r="AE39" s="289">
        <f>IF(G39&gt;20900,20900*0.042,G39*0.042)</f>
        <v>877.80000000000007</v>
      </c>
      <c r="AF39" s="289" t="s">
        <v>307</v>
      </c>
      <c r="AG39" s="289">
        <f t="shared" si="3"/>
        <v>2925.8</v>
      </c>
      <c r="AH39" s="286"/>
      <c r="AI39" s="289">
        <v>7481.8509443099274</v>
      </c>
      <c r="AJ39" s="286"/>
      <c r="AK39" s="289">
        <f>G39*0.03</f>
        <v>781.16639999999995</v>
      </c>
      <c r="AL39" s="286"/>
      <c r="AM39" s="289">
        <f>G39*0.04</f>
        <v>1041.5552</v>
      </c>
      <c r="AN39" s="286"/>
      <c r="AO39" s="289">
        <v>453.52290556900732</v>
      </c>
      <c r="AP39" s="286"/>
      <c r="AQ39" s="289">
        <f t="shared" si="4"/>
        <v>9758.0954498789342</v>
      </c>
      <c r="AR39" s="286"/>
      <c r="AS39" s="290">
        <f>12.38*80</f>
        <v>990.40000000000009</v>
      </c>
      <c r="AT39" s="290"/>
      <c r="AU39" s="291">
        <v>2080</v>
      </c>
      <c r="AV39" s="286"/>
      <c r="AW39" s="291">
        <f t="shared" si="5"/>
        <v>25750.400000000001</v>
      </c>
      <c r="AX39" s="286"/>
      <c r="AY39" s="292">
        <v>288.48</v>
      </c>
      <c r="AZ39" s="286"/>
      <c r="BA39" s="83">
        <f t="shared" si="6"/>
        <v>26038.880000000001</v>
      </c>
      <c r="BB39" s="293"/>
      <c r="BC39" s="294">
        <v>3417.52</v>
      </c>
      <c r="BE39" s="295">
        <v>99950</v>
      </c>
      <c r="BH39" s="109">
        <f t="shared" si="12"/>
        <v>29</v>
      </c>
    </row>
    <row r="40" spans="1:60" ht="16.5">
      <c r="A40" s="287">
        <v>30</v>
      </c>
      <c r="B40" s="288" t="str">
        <f t="shared" si="7"/>
        <v>CSR 30</v>
      </c>
      <c r="C40" s="288" t="s">
        <v>318</v>
      </c>
      <c r="D40" s="288"/>
      <c r="E40" s="279" t="s">
        <v>323</v>
      </c>
      <c r="F40" s="279"/>
      <c r="G40" s="289">
        <f t="shared" si="0"/>
        <v>34777.599999999999</v>
      </c>
      <c r="H40" s="289"/>
      <c r="I40" s="83">
        <f t="shared" si="8"/>
        <v>35820.928</v>
      </c>
      <c r="J40" s="83">
        <f t="shared" si="9"/>
        <v>36895.555840000001</v>
      </c>
      <c r="K40" s="289"/>
      <c r="L40" s="239">
        <f t="shared" si="10"/>
        <v>2985.0773333333332</v>
      </c>
      <c r="M40" s="239">
        <f t="shared" si="10"/>
        <v>2985.0773333333332</v>
      </c>
      <c r="N40" s="239">
        <f t="shared" si="10"/>
        <v>2985.0773333333332</v>
      </c>
      <c r="O40" s="239">
        <f t="shared" si="10"/>
        <v>2985.0773333333332</v>
      </c>
      <c r="P40" s="239">
        <f t="shared" si="10"/>
        <v>2985.0773333333332</v>
      </c>
      <c r="Q40" s="239">
        <f t="shared" si="10"/>
        <v>2985.0773333333332</v>
      </c>
      <c r="R40" s="239">
        <f t="shared" si="10"/>
        <v>2985.0773333333332</v>
      </c>
      <c r="S40" s="239">
        <f t="shared" si="10"/>
        <v>2985.0773333333332</v>
      </c>
      <c r="T40" s="239">
        <f t="shared" si="10"/>
        <v>2985.0773333333332</v>
      </c>
      <c r="U40" s="239">
        <f t="shared" si="11"/>
        <v>3074.6296533333334</v>
      </c>
      <c r="V40" s="239">
        <f t="shared" si="11"/>
        <v>3074.6296533333334</v>
      </c>
      <c r="W40" s="239">
        <f t="shared" si="11"/>
        <v>3074.6296533333334</v>
      </c>
      <c r="X40" s="289"/>
      <c r="Y40" s="289"/>
      <c r="Z40" s="286"/>
      <c r="AA40" s="289">
        <f>ROUND(G40*0.0765,0)</f>
        <v>2660</v>
      </c>
      <c r="AB40" s="286"/>
      <c r="AC40" s="289">
        <v>56</v>
      </c>
      <c r="AD40" s="286"/>
      <c r="AE40" s="289">
        <f>IF(G40&gt;8000,8000*0.0458,G40*0.0458)</f>
        <v>366.4</v>
      </c>
      <c r="AF40" s="289" t="s">
        <v>248</v>
      </c>
      <c r="AG40" s="289">
        <f t="shared" si="3"/>
        <v>3082.4</v>
      </c>
      <c r="AH40" s="286"/>
      <c r="AI40" s="289">
        <v>7481.8509443099274</v>
      </c>
      <c r="AJ40" s="286"/>
      <c r="AK40" s="289">
        <f>G40*0.03</f>
        <v>1043.328</v>
      </c>
      <c r="AL40" s="286"/>
      <c r="AM40" s="289">
        <f>G40*0.04</f>
        <v>1391.104</v>
      </c>
      <c r="AN40" s="286"/>
      <c r="AO40" s="289">
        <v>453.52290556900732</v>
      </c>
      <c r="AP40" s="286"/>
      <c r="AQ40" s="289">
        <f t="shared" si="4"/>
        <v>10369.805849878934</v>
      </c>
      <c r="AR40" s="286"/>
      <c r="AS40" s="290">
        <f>16.72*80</f>
        <v>1337.6</v>
      </c>
      <c r="AT40" s="290"/>
      <c r="AU40" s="291">
        <v>2080</v>
      </c>
      <c r="AV40" s="286"/>
      <c r="AW40" s="291">
        <f t="shared" si="5"/>
        <v>34777.599999999999</v>
      </c>
      <c r="AX40" s="286"/>
      <c r="AY40" s="292">
        <v>0</v>
      </c>
      <c r="AZ40" s="286"/>
      <c r="BA40" s="83">
        <f t="shared" si="6"/>
        <v>34777.599999999999</v>
      </c>
      <c r="BB40" s="293"/>
      <c r="BC40" s="294">
        <v>30930.62</v>
      </c>
      <c r="BE40" s="295">
        <v>98989</v>
      </c>
      <c r="BH40" s="109">
        <f t="shared" si="12"/>
        <v>30</v>
      </c>
    </row>
    <row r="41" spans="1:60" ht="16.5">
      <c r="A41" s="287">
        <v>31</v>
      </c>
      <c r="B41" s="288" t="str">
        <f t="shared" si="7"/>
        <v>CSR 31</v>
      </c>
      <c r="C41" s="288" t="s">
        <v>313</v>
      </c>
      <c r="D41" s="288"/>
      <c r="E41" s="279" t="s">
        <v>324</v>
      </c>
      <c r="F41" s="279"/>
      <c r="G41" s="289">
        <f t="shared" si="0"/>
        <v>35292.170000000006</v>
      </c>
      <c r="H41" s="289"/>
      <c r="I41" s="83">
        <f t="shared" si="8"/>
        <v>36350.93510000001</v>
      </c>
      <c r="J41" s="83">
        <f t="shared" si="9"/>
        <v>37441.463153000012</v>
      </c>
      <c r="K41" s="289"/>
      <c r="L41" s="239">
        <f t="shared" si="10"/>
        <v>3029.2445916666675</v>
      </c>
      <c r="M41" s="239">
        <f t="shared" si="10"/>
        <v>3029.2445916666675</v>
      </c>
      <c r="N41" s="239">
        <f t="shared" si="10"/>
        <v>3029.2445916666675</v>
      </c>
      <c r="O41" s="239">
        <f t="shared" si="10"/>
        <v>3029.2445916666675</v>
      </c>
      <c r="P41" s="239">
        <f t="shared" si="10"/>
        <v>3029.2445916666675</v>
      </c>
      <c r="Q41" s="239">
        <f t="shared" si="10"/>
        <v>3029.2445916666675</v>
      </c>
      <c r="R41" s="239">
        <f t="shared" si="10"/>
        <v>3029.2445916666675</v>
      </c>
      <c r="S41" s="239">
        <f t="shared" si="10"/>
        <v>3029.2445916666675</v>
      </c>
      <c r="T41" s="239">
        <f t="shared" si="10"/>
        <v>3029.2445916666675</v>
      </c>
      <c r="U41" s="239">
        <f t="shared" si="11"/>
        <v>3120.1219294166676</v>
      </c>
      <c r="V41" s="239">
        <f t="shared" si="11"/>
        <v>3120.1219294166676</v>
      </c>
      <c r="W41" s="239">
        <f t="shared" si="11"/>
        <v>3120.1219294166676</v>
      </c>
      <c r="X41" s="289"/>
      <c r="Y41" s="289"/>
      <c r="Z41" s="286"/>
      <c r="AA41" s="289">
        <f>ROUND(G41*0.0765,0)</f>
        <v>2700</v>
      </c>
      <c r="AB41" s="286"/>
      <c r="AC41" s="289">
        <v>56</v>
      </c>
      <c r="AD41" s="286"/>
      <c r="AE41" s="289">
        <f>IF(G41&gt;20900,20900*0.042,G41*0.042)</f>
        <v>877.80000000000007</v>
      </c>
      <c r="AF41" s="289" t="s">
        <v>307</v>
      </c>
      <c r="AG41" s="289">
        <f t="shared" si="3"/>
        <v>3633.8</v>
      </c>
      <c r="AH41" s="286"/>
      <c r="AI41" s="289">
        <v>7481.8509443099274</v>
      </c>
      <c r="AJ41" s="286"/>
      <c r="AK41" s="289">
        <f>G41*0.03</f>
        <v>1058.7651000000001</v>
      </c>
      <c r="AL41" s="286"/>
      <c r="AM41" s="289">
        <f>G41*0.04</f>
        <v>1411.6868000000002</v>
      </c>
      <c r="AN41" s="286"/>
      <c r="AO41" s="289">
        <v>453.52290556900732</v>
      </c>
      <c r="AP41" s="286"/>
      <c r="AQ41" s="289">
        <f t="shared" si="4"/>
        <v>10405.825749878933</v>
      </c>
      <c r="AR41" s="286"/>
      <c r="AS41" s="290">
        <f>16.91*80</f>
        <v>1352.8</v>
      </c>
      <c r="AT41" s="290"/>
      <c r="AU41" s="291">
        <v>2080</v>
      </c>
      <c r="AV41" s="286"/>
      <c r="AW41" s="291">
        <f t="shared" si="5"/>
        <v>35172.800000000003</v>
      </c>
      <c r="AX41" s="286"/>
      <c r="AY41" s="292">
        <v>119.37</v>
      </c>
      <c r="AZ41" s="286"/>
      <c r="BA41" s="83">
        <f t="shared" si="6"/>
        <v>35292.170000000006</v>
      </c>
      <c r="BB41" s="293"/>
      <c r="BC41" s="294">
        <v>29074.38</v>
      </c>
      <c r="BE41" s="295">
        <v>99039</v>
      </c>
      <c r="BH41" s="109">
        <f t="shared" si="12"/>
        <v>31</v>
      </c>
    </row>
    <row r="42" spans="1:60" ht="16.5">
      <c r="A42" s="287">
        <v>32</v>
      </c>
      <c r="B42" s="288" t="str">
        <f t="shared" si="7"/>
        <v>CSR 32</v>
      </c>
      <c r="C42" s="288" t="s">
        <v>306</v>
      </c>
      <c r="D42" s="288"/>
      <c r="E42" s="279" t="s">
        <v>323</v>
      </c>
      <c r="F42" s="279"/>
      <c r="G42" s="289">
        <f t="shared" si="0"/>
        <v>26572.899999999998</v>
      </c>
      <c r="H42" s="289"/>
      <c r="I42" s="83">
        <f t="shared" si="8"/>
        <v>27370.087</v>
      </c>
      <c r="J42" s="83">
        <f t="shared" si="9"/>
        <v>28191.189610000001</v>
      </c>
      <c r="K42" s="289"/>
      <c r="L42" s="239">
        <f t="shared" si="10"/>
        <v>2280.8405833333331</v>
      </c>
      <c r="M42" s="239">
        <f t="shared" si="10"/>
        <v>2280.8405833333331</v>
      </c>
      <c r="N42" s="239">
        <f t="shared" si="10"/>
        <v>2280.8405833333331</v>
      </c>
      <c r="O42" s="239">
        <f t="shared" si="10"/>
        <v>2280.8405833333331</v>
      </c>
      <c r="P42" s="239">
        <f t="shared" si="10"/>
        <v>2280.8405833333331</v>
      </c>
      <c r="Q42" s="239">
        <f t="shared" si="10"/>
        <v>2280.8405833333331</v>
      </c>
      <c r="R42" s="239">
        <f t="shared" si="10"/>
        <v>2280.8405833333331</v>
      </c>
      <c r="S42" s="239">
        <f t="shared" si="10"/>
        <v>2280.8405833333331</v>
      </c>
      <c r="T42" s="239">
        <f t="shared" si="10"/>
        <v>2280.8405833333331</v>
      </c>
      <c r="U42" s="239">
        <f t="shared" si="11"/>
        <v>2349.2658008333333</v>
      </c>
      <c r="V42" s="239">
        <f t="shared" si="11"/>
        <v>2349.2658008333333</v>
      </c>
      <c r="W42" s="239">
        <f t="shared" si="11"/>
        <v>2349.2658008333333</v>
      </c>
      <c r="X42" s="289"/>
      <c r="Y42" s="289"/>
      <c r="Z42" s="286"/>
      <c r="AA42" s="289">
        <f>ROUND(G42*0.0765,0)</f>
        <v>2033</v>
      </c>
      <c r="AB42" s="286"/>
      <c r="AC42" s="289">
        <v>56</v>
      </c>
      <c r="AD42" s="286"/>
      <c r="AE42" s="289">
        <f>IF(G42&gt;8000,8000*0.0458,G42*0.0458)</f>
        <v>366.4</v>
      </c>
      <c r="AF42" s="289" t="s">
        <v>248</v>
      </c>
      <c r="AG42" s="289">
        <f t="shared" si="3"/>
        <v>2455.4</v>
      </c>
      <c r="AH42" s="286"/>
      <c r="AI42" s="289">
        <v>7481.8509443099274</v>
      </c>
      <c r="AJ42" s="286"/>
      <c r="AK42" s="289">
        <f>G42*0.03</f>
        <v>797.1869999999999</v>
      </c>
      <c r="AL42" s="286"/>
      <c r="AM42" s="289">
        <f>G42*0.04</f>
        <v>1062.9159999999999</v>
      </c>
      <c r="AN42" s="286"/>
      <c r="AO42" s="289">
        <v>453.52290556900732</v>
      </c>
      <c r="AP42" s="286"/>
      <c r="AQ42" s="289">
        <f t="shared" si="4"/>
        <v>9795.4768498789326</v>
      </c>
      <c r="AR42" s="286"/>
      <c r="AS42" s="290">
        <f>12.67*80</f>
        <v>1013.6</v>
      </c>
      <c r="AT42" s="290"/>
      <c r="AU42" s="291">
        <v>2080</v>
      </c>
      <c r="AV42" s="244"/>
      <c r="AW42" s="291">
        <f t="shared" si="5"/>
        <v>26353.599999999999</v>
      </c>
      <c r="AX42" s="83"/>
      <c r="AY42" s="292">
        <v>219.29999999999998</v>
      </c>
      <c r="AZ42" s="83"/>
      <c r="BA42" s="83">
        <f t="shared" si="6"/>
        <v>26572.899999999998</v>
      </c>
      <c r="BB42" s="293"/>
      <c r="BC42" s="294">
        <v>19947.88</v>
      </c>
      <c r="BE42" s="295">
        <v>99709</v>
      </c>
      <c r="BH42" s="109">
        <f t="shared" si="12"/>
        <v>32</v>
      </c>
    </row>
    <row r="43" spans="1:60" ht="16.5">
      <c r="A43" s="287">
        <v>33</v>
      </c>
      <c r="B43" s="288" t="str">
        <f t="shared" si="7"/>
        <v>CSR 33</v>
      </c>
      <c r="C43" s="288" t="s">
        <v>306</v>
      </c>
      <c r="D43" s="288"/>
      <c r="E43" s="279" t="s">
        <v>323</v>
      </c>
      <c r="F43" s="279"/>
      <c r="G43" s="289">
        <f t="shared" si="0"/>
        <v>25500.799999999999</v>
      </c>
      <c r="H43" s="289"/>
      <c r="I43" s="83">
        <f t="shared" si="8"/>
        <v>26265.824000000001</v>
      </c>
      <c r="J43" s="83">
        <f t="shared" si="9"/>
        <v>27053.798720000003</v>
      </c>
      <c r="K43" s="289"/>
      <c r="L43" s="239">
        <f t="shared" si="10"/>
        <v>2188.8186666666666</v>
      </c>
      <c r="M43" s="239">
        <f t="shared" si="10"/>
        <v>2188.8186666666666</v>
      </c>
      <c r="N43" s="239">
        <f t="shared" si="10"/>
        <v>2188.8186666666666</v>
      </c>
      <c r="O43" s="239">
        <f t="shared" si="10"/>
        <v>2188.8186666666666</v>
      </c>
      <c r="P43" s="239">
        <f t="shared" si="10"/>
        <v>2188.8186666666666</v>
      </c>
      <c r="Q43" s="239">
        <f t="shared" si="10"/>
        <v>2188.8186666666666</v>
      </c>
      <c r="R43" s="239">
        <f t="shared" si="10"/>
        <v>2188.8186666666666</v>
      </c>
      <c r="S43" s="239">
        <f t="shared" si="10"/>
        <v>2188.8186666666666</v>
      </c>
      <c r="T43" s="239">
        <f t="shared" si="10"/>
        <v>2188.8186666666666</v>
      </c>
      <c r="U43" s="239">
        <f t="shared" si="11"/>
        <v>2254.4832266666667</v>
      </c>
      <c r="V43" s="239">
        <f t="shared" si="11"/>
        <v>2254.4832266666667</v>
      </c>
      <c r="W43" s="239">
        <f t="shared" si="11"/>
        <v>2254.4832266666667</v>
      </c>
      <c r="X43" s="289"/>
      <c r="Y43" s="289"/>
      <c r="Z43" s="289"/>
      <c r="AA43" s="289">
        <f>ROUND(G43*0.0765,0)</f>
        <v>1951</v>
      </c>
      <c r="AB43" s="289"/>
      <c r="AC43" s="289">
        <v>56</v>
      </c>
      <c r="AD43" s="289"/>
      <c r="AE43" s="289">
        <f>IF(G43&gt;8000,8000*0.0458,G43*0.0458)</f>
        <v>366.4</v>
      </c>
      <c r="AF43" s="289" t="s">
        <v>248</v>
      </c>
      <c r="AG43" s="289">
        <f t="shared" si="3"/>
        <v>2373.4</v>
      </c>
      <c r="AH43" s="289"/>
      <c r="AI43" s="289">
        <v>7481.8509443099274</v>
      </c>
      <c r="AJ43" s="289"/>
      <c r="AK43" s="289">
        <f>G43*0.03</f>
        <v>765.024</v>
      </c>
      <c r="AL43" s="289"/>
      <c r="AM43" s="289">
        <f>G43*0.04</f>
        <v>1020.032</v>
      </c>
      <c r="AN43" s="289"/>
      <c r="AO43" s="289">
        <v>453.52290556900732</v>
      </c>
      <c r="AP43" s="289"/>
      <c r="AQ43" s="289">
        <f t="shared" si="4"/>
        <v>9720.429849878934</v>
      </c>
      <c r="AR43" s="244"/>
      <c r="AS43" s="290">
        <f>12.26*80</f>
        <v>980.8</v>
      </c>
      <c r="AT43" s="290"/>
      <c r="AU43" s="291">
        <v>2080</v>
      </c>
      <c r="AV43" s="286"/>
      <c r="AW43" s="291">
        <f t="shared" si="5"/>
        <v>25500.799999999999</v>
      </c>
      <c r="AX43" s="286"/>
      <c r="AY43" s="292">
        <v>0</v>
      </c>
      <c r="AZ43" s="286"/>
      <c r="BA43" s="83">
        <f t="shared" si="6"/>
        <v>25500.799999999999</v>
      </c>
      <c r="BB43" s="293"/>
      <c r="BC43" s="294">
        <v>0</v>
      </c>
      <c r="BE43" s="299">
        <v>99965</v>
      </c>
      <c r="BH43" s="109">
        <f t="shared" si="12"/>
        <v>33</v>
      </c>
    </row>
    <row r="44" spans="1:60" ht="16.5">
      <c r="A44" s="287">
        <v>34</v>
      </c>
      <c r="B44" s="288" t="str">
        <f t="shared" si="7"/>
        <v>CSR 34</v>
      </c>
      <c r="C44" s="288" t="s">
        <v>315</v>
      </c>
      <c r="D44" s="288"/>
      <c r="E44" s="279" t="s">
        <v>325</v>
      </c>
      <c r="F44" s="279"/>
      <c r="G44" s="289">
        <f t="shared" si="0"/>
        <v>33586.800000000003</v>
      </c>
      <c r="H44" s="289"/>
      <c r="I44" s="83">
        <f t="shared" si="8"/>
        <v>34594.404000000002</v>
      </c>
      <c r="J44" s="83">
        <f t="shared" si="9"/>
        <v>35632.236120000001</v>
      </c>
      <c r="K44" s="289"/>
      <c r="L44" s="239">
        <f t="shared" si="10"/>
        <v>2882.8670000000002</v>
      </c>
      <c r="M44" s="239">
        <f t="shared" si="10"/>
        <v>2882.8670000000002</v>
      </c>
      <c r="N44" s="239">
        <f t="shared" si="10"/>
        <v>2882.8670000000002</v>
      </c>
      <c r="O44" s="239">
        <f t="shared" si="10"/>
        <v>2882.8670000000002</v>
      </c>
      <c r="P44" s="239">
        <f t="shared" si="10"/>
        <v>2882.8670000000002</v>
      </c>
      <c r="Q44" s="239">
        <f t="shared" si="10"/>
        <v>2882.8670000000002</v>
      </c>
      <c r="R44" s="239">
        <f t="shared" si="10"/>
        <v>2882.8670000000002</v>
      </c>
      <c r="S44" s="239">
        <f t="shared" si="10"/>
        <v>2882.8670000000002</v>
      </c>
      <c r="T44" s="239">
        <f t="shared" si="10"/>
        <v>2882.8670000000002</v>
      </c>
      <c r="U44" s="239">
        <f t="shared" si="11"/>
        <v>2969.3530100000003</v>
      </c>
      <c r="V44" s="239">
        <f t="shared" si="11"/>
        <v>2969.3530100000003</v>
      </c>
      <c r="W44" s="239">
        <f t="shared" si="11"/>
        <v>2969.3530100000003</v>
      </c>
      <c r="X44" s="289"/>
      <c r="Y44" s="289"/>
      <c r="Z44" s="286"/>
      <c r="AA44" s="289">
        <f>ROUND(G44*0.0765,0)</f>
        <v>2569</v>
      </c>
      <c r="AB44" s="286"/>
      <c r="AC44" s="289">
        <v>56</v>
      </c>
      <c r="AD44" s="286"/>
      <c r="AE44" s="289">
        <f>IF(G44&gt;26900,26900*0.0385,G44*0.0385)</f>
        <v>1035.6500000000001</v>
      </c>
      <c r="AF44" s="289" t="s">
        <v>310</v>
      </c>
      <c r="AG44" s="289">
        <f t="shared" si="3"/>
        <v>3660.65</v>
      </c>
      <c r="AH44" s="286"/>
      <c r="AI44" s="289">
        <v>7481.8509443099274</v>
      </c>
      <c r="AJ44" s="286"/>
      <c r="AK44" s="289">
        <f>G44*0.03</f>
        <v>1007.604</v>
      </c>
      <c r="AL44" s="286"/>
      <c r="AM44" s="289">
        <f>G44*0.04</f>
        <v>1343.4720000000002</v>
      </c>
      <c r="AN44" s="286"/>
      <c r="AO44" s="289">
        <v>453.52290556900732</v>
      </c>
      <c r="AP44" s="286"/>
      <c r="AQ44" s="289">
        <f t="shared" si="4"/>
        <v>10286.449849878934</v>
      </c>
      <c r="AR44" s="286"/>
      <c r="AS44" s="290">
        <v>1399.45</v>
      </c>
      <c r="AT44" s="290"/>
      <c r="AU44" s="291">
        <v>86.67</v>
      </c>
      <c r="AV44" s="286"/>
      <c r="AW44" s="291">
        <f t="shared" si="5"/>
        <v>33586.800000000003</v>
      </c>
      <c r="AX44" s="286"/>
      <c r="AY44" s="292">
        <v>0</v>
      </c>
      <c r="AZ44" s="286"/>
      <c r="BA44" s="83">
        <f t="shared" si="6"/>
        <v>33586.800000000003</v>
      </c>
      <c r="BB44" s="293"/>
      <c r="BC44" s="294">
        <v>31173.84</v>
      </c>
      <c r="BE44" s="295">
        <v>99585</v>
      </c>
      <c r="BH44" s="109">
        <f t="shared" si="12"/>
        <v>34</v>
      </c>
    </row>
    <row r="45" spans="1:60" ht="16.5">
      <c r="A45" s="296">
        <v>35</v>
      </c>
      <c r="B45" s="288" t="str">
        <f t="shared" si="7"/>
        <v>CSR 35</v>
      </c>
      <c r="C45" s="288" t="s">
        <v>306</v>
      </c>
      <c r="D45" s="288"/>
      <c r="E45" s="279" t="s">
        <v>323</v>
      </c>
      <c r="F45" s="279"/>
      <c r="G45" s="289">
        <f t="shared" si="0"/>
        <v>26550.210000000003</v>
      </c>
      <c r="H45" s="289"/>
      <c r="I45" s="83">
        <f t="shared" si="8"/>
        <v>27346.716300000004</v>
      </c>
      <c r="J45" s="83">
        <f t="shared" si="9"/>
        <v>28167.117789000004</v>
      </c>
      <c r="K45" s="289"/>
      <c r="L45" s="239">
        <f t="shared" si="10"/>
        <v>2278.8930250000003</v>
      </c>
      <c r="M45" s="239">
        <f t="shared" si="10"/>
        <v>2278.8930250000003</v>
      </c>
      <c r="N45" s="239">
        <f t="shared" si="10"/>
        <v>2278.8930250000003</v>
      </c>
      <c r="O45" s="239">
        <f t="shared" si="10"/>
        <v>2278.8930250000003</v>
      </c>
      <c r="P45" s="239">
        <f t="shared" si="10"/>
        <v>2278.8930250000003</v>
      </c>
      <c r="Q45" s="239">
        <f t="shared" si="10"/>
        <v>2278.8930250000003</v>
      </c>
      <c r="R45" s="239">
        <f t="shared" si="10"/>
        <v>2278.8930250000003</v>
      </c>
      <c r="S45" s="239">
        <f t="shared" si="10"/>
        <v>2278.8930250000003</v>
      </c>
      <c r="T45" s="239">
        <f t="shared" si="10"/>
        <v>2278.8930250000003</v>
      </c>
      <c r="U45" s="239">
        <f t="shared" si="11"/>
        <v>2347.2598157500001</v>
      </c>
      <c r="V45" s="239">
        <f t="shared" si="11"/>
        <v>2347.2598157500001</v>
      </c>
      <c r="W45" s="239">
        <f t="shared" si="11"/>
        <v>2347.2598157500001</v>
      </c>
      <c r="X45" s="289"/>
      <c r="Y45" s="289"/>
      <c r="Z45" s="286"/>
      <c r="AA45" s="289">
        <f>ROUND(G45*0.0765,0)</f>
        <v>2031</v>
      </c>
      <c r="AB45" s="286"/>
      <c r="AC45" s="289">
        <v>56</v>
      </c>
      <c r="AD45" s="286"/>
      <c r="AE45" s="289">
        <f>IF(G45&gt;8000,8000*0.0458,G45*0.0458)</f>
        <v>366.4</v>
      </c>
      <c r="AF45" s="289" t="s">
        <v>248</v>
      </c>
      <c r="AG45" s="289">
        <f t="shared" si="3"/>
        <v>2453.4</v>
      </c>
      <c r="AH45" s="286"/>
      <c r="AI45" s="289">
        <v>7481.8509443099274</v>
      </c>
      <c r="AJ45" s="286"/>
      <c r="AK45" s="289">
        <f>G45*0.03</f>
        <v>796.50630000000001</v>
      </c>
      <c r="AL45" s="286"/>
      <c r="AM45" s="289">
        <f>G45*0.04</f>
        <v>1062.0084000000002</v>
      </c>
      <c r="AN45" s="286"/>
      <c r="AO45" s="289">
        <v>453.52290556900732</v>
      </c>
      <c r="AP45" s="286"/>
      <c r="AQ45" s="289">
        <f t="shared" si="4"/>
        <v>9793.888549878935</v>
      </c>
      <c r="AR45" s="286"/>
      <c r="AS45" s="290">
        <f>12.57*80</f>
        <v>1005.6</v>
      </c>
      <c r="AT45" s="290"/>
      <c r="AU45" s="291">
        <v>2080</v>
      </c>
      <c r="AV45" s="286"/>
      <c r="AW45" s="291">
        <f t="shared" si="5"/>
        <v>26145.600000000002</v>
      </c>
      <c r="AX45" s="286"/>
      <c r="AY45" s="292">
        <v>404.61</v>
      </c>
      <c r="AZ45" s="286"/>
      <c r="BA45" s="83">
        <f t="shared" si="6"/>
        <v>26550.210000000003</v>
      </c>
      <c r="BB45" s="293"/>
      <c r="BC45" s="294">
        <v>24685.46</v>
      </c>
      <c r="BE45" s="295">
        <v>99654</v>
      </c>
      <c r="BH45" s="109">
        <f t="shared" si="12"/>
        <v>35</v>
      </c>
    </row>
    <row r="46" spans="1:60" ht="16.5">
      <c r="A46" s="287">
        <v>36</v>
      </c>
      <c r="B46" s="288" t="str">
        <f t="shared" si="7"/>
        <v>CSR 36</v>
      </c>
      <c r="C46" s="288" t="s">
        <v>306</v>
      </c>
      <c r="D46" s="288"/>
      <c r="E46" s="279" t="s">
        <v>324</v>
      </c>
      <c r="F46" s="279"/>
      <c r="G46" s="289">
        <f t="shared" si="0"/>
        <v>25675.190000000002</v>
      </c>
      <c r="H46" s="289"/>
      <c r="I46" s="83">
        <f t="shared" si="8"/>
        <v>26445.445700000004</v>
      </c>
      <c r="J46" s="83">
        <f t="shared" si="9"/>
        <v>27238.809071000003</v>
      </c>
      <c r="K46" s="289"/>
      <c r="L46" s="239">
        <f t="shared" si="10"/>
        <v>2203.7871416666671</v>
      </c>
      <c r="M46" s="239">
        <f t="shared" si="10"/>
        <v>2203.7871416666671</v>
      </c>
      <c r="N46" s="239">
        <f t="shared" si="10"/>
        <v>2203.7871416666671</v>
      </c>
      <c r="O46" s="239">
        <f t="shared" si="10"/>
        <v>2203.7871416666671</v>
      </c>
      <c r="P46" s="239">
        <f t="shared" si="10"/>
        <v>2203.7871416666671</v>
      </c>
      <c r="Q46" s="239">
        <f t="shared" si="10"/>
        <v>2203.7871416666671</v>
      </c>
      <c r="R46" s="239">
        <f t="shared" si="10"/>
        <v>2203.7871416666671</v>
      </c>
      <c r="S46" s="239">
        <f t="shared" si="10"/>
        <v>2203.7871416666671</v>
      </c>
      <c r="T46" s="239">
        <f t="shared" si="10"/>
        <v>2203.7871416666671</v>
      </c>
      <c r="U46" s="239">
        <f t="shared" si="11"/>
        <v>2269.9007559166671</v>
      </c>
      <c r="V46" s="239">
        <f t="shared" si="11"/>
        <v>2269.9007559166671</v>
      </c>
      <c r="W46" s="239">
        <f t="shared" si="11"/>
        <v>2269.9007559166671</v>
      </c>
      <c r="X46" s="289"/>
      <c r="Y46" s="289"/>
      <c r="Z46" s="286"/>
      <c r="AA46" s="289">
        <f>ROUND(G46*0.0765,0)</f>
        <v>1964</v>
      </c>
      <c r="AB46" s="286"/>
      <c r="AC46" s="289">
        <v>56</v>
      </c>
      <c r="AD46" s="286"/>
      <c r="AE46" s="289">
        <f>IF(G46&gt;20900,20900*0.042,G46*0.042)</f>
        <v>877.80000000000007</v>
      </c>
      <c r="AF46" s="289" t="s">
        <v>307</v>
      </c>
      <c r="AG46" s="289">
        <f t="shared" si="3"/>
        <v>2897.8</v>
      </c>
      <c r="AH46" s="286"/>
      <c r="AI46" s="289">
        <v>7481.8509443099274</v>
      </c>
      <c r="AJ46" s="286"/>
      <c r="AK46" s="289">
        <f>G46*0.03</f>
        <v>770.25570000000005</v>
      </c>
      <c r="AL46" s="286"/>
      <c r="AM46" s="289">
        <f>G46*0.04</f>
        <v>1027.0076000000001</v>
      </c>
      <c r="AN46" s="286"/>
      <c r="AO46" s="289">
        <v>453.52290556900732</v>
      </c>
      <c r="AP46" s="286"/>
      <c r="AQ46" s="289">
        <f t="shared" si="4"/>
        <v>9732.6371498789358</v>
      </c>
      <c r="AR46" s="286"/>
      <c r="AS46" s="290">
        <f>12.32*80</f>
        <v>985.6</v>
      </c>
      <c r="AT46" s="290"/>
      <c r="AU46" s="291">
        <v>2080</v>
      </c>
      <c r="AV46" s="244"/>
      <c r="AW46" s="291">
        <f t="shared" si="5"/>
        <v>25625.600000000002</v>
      </c>
      <c r="AX46" s="83"/>
      <c r="AY46" s="292">
        <v>49.59</v>
      </c>
      <c r="AZ46" s="83"/>
      <c r="BA46" s="83">
        <f t="shared" si="6"/>
        <v>25675.190000000002</v>
      </c>
      <c r="BB46" s="293"/>
      <c r="BC46" s="294">
        <v>21794.03</v>
      </c>
      <c r="BE46" s="295">
        <v>99707</v>
      </c>
      <c r="BH46" s="109">
        <f t="shared" si="12"/>
        <v>36</v>
      </c>
    </row>
    <row r="47" spans="1:60" ht="16.5">
      <c r="A47" s="287">
        <v>37</v>
      </c>
      <c r="B47" s="288" t="str">
        <f t="shared" si="7"/>
        <v>CSR 37</v>
      </c>
      <c r="C47" s="288" t="s">
        <v>315</v>
      </c>
      <c r="D47" s="288"/>
      <c r="E47" s="279" t="s">
        <v>323</v>
      </c>
      <c r="F47" s="279"/>
      <c r="G47" s="289">
        <f t="shared" si="0"/>
        <v>44803.92</v>
      </c>
      <c r="H47" s="289"/>
      <c r="I47" s="83">
        <f t="shared" si="8"/>
        <v>46148.037599999996</v>
      </c>
      <c r="J47" s="83">
        <f t="shared" si="9"/>
        <v>47532.478727999995</v>
      </c>
      <c r="K47" s="289"/>
      <c r="L47" s="239">
        <f t="shared" si="10"/>
        <v>3845.6697999999997</v>
      </c>
      <c r="M47" s="239">
        <f t="shared" si="10"/>
        <v>3845.6697999999997</v>
      </c>
      <c r="N47" s="239">
        <f t="shared" si="10"/>
        <v>3845.6697999999997</v>
      </c>
      <c r="O47" s="239">
        <f t="shared" si="10"/>
        <v>3845.6697999999997</v>
      </c>
      <c r="P47" s="239">
        <f t="shared" si="10"/>
        <v>3845.6697999999997</v>
      </c>
      <c r="Q47" s="239">
        <f t="shared" si="10"/>
        <v>3845.6697999999997</v>
      </c>
      <c r="R47" s="239">
        <f t="shared" si="10"/>
        <v>3845.6697999999997</v>
      </c>
      <c r="S47" s="239">
        <f t="shared" si="10"/>
        <v>3845.6697999999997</v>
      </c>
      <c r="T47" s="239">
        <f t="shared" si="10"/>
        <v>3845.6697999999997</v>
      </c>
      <c r="U47" s="239">
        <f t="shared" si="11"/>
        <v>3961.0398939999995</v>
      </c>
      <c r="V47" s="239">
        <f t="shared" si="11"/>
        <v>3961.0398939999995</v>
      </c>
      <c r="W47" s="239">
        <f t="shared" si="11"/>
        <v>3961.0398939999995</v>
      </c>
      <c r="X47" s="289"/>
      <c r="Y47" s="289"/>
      <c r="Z47" s="286"/>
      <c r="AA47" s="289">
        <f>ROUND(G47*0.0765,0)</f>
        <v>3427</v>
      </c>
      <c r="AB47" s="286"/>
      <c r="AC47" s="289">
        <v>56</v>
      </c>
      <c r="AD47" s="286"/>
      <c r="AE47" s="289">
        <f>IF(G47&gt;8000,8000*0.0458,G47*0.0458)</f>
        <v>366.4</v>
      </c>
      <c r="AF47" s="289" t="s">
        <v>248</v>
      </c>
      <c r="AG47" s="289">
        <f t="shared" si="3"/>
        <v>3849.4</v>
      </c>
      <c r="AH47" s="286"/>
      <c r="AI47" s="289">
        <v>7481.8509443099274</v>
      </c>
      <c r="AJ47" s="286"/>
      <c r="AK47" s="289">
        <f>G47*0.03</f>
        <v>1344.1175999999998</v>
      </c>
      <c r="AL47" s="286"/>
      <c r="AM47" s="289">
        <f>G47*0.04</f>
        <v>1792.1568</v>
      </c>
      <c r="AN47" s="286"/>
      <c r="AO47" s="289">
        <v>453.52290556900732</v>
      </c>
      <c r="AP47" s="286"/>
      <c r="AQ47" s="289">
        <f t="shared" si="4"/>
        <v>11071.648249878936</v>
      </c>
      <c r="AR47" s="286"/>
      <c r="AS47" s="290">
        <v>1866.83</v>
      </c>
      <c r="AT47" s="290"/>
      <c r="AU47" s="291">
        <v>86.67</v>
      </c>
      <c r="AV47" s="244"/>
      <c r="AW47" s="291">
        <f t="shared" si="5"/>
        <v>44803.92</v>
      </c>
      <c r="AX47" s="244"/>
      <c r="AY47" s="292">
        <v>0</v>
      </c>
      <c r="AZ47" s="244"/>
      <c r="BA47" s="83">
        <f t="shared" si="6"/>
        <v>44803.92</v>
      </c>
      <c r="BB47" s="293"/>
      <c r="BC47" s="294">
        <v>39379.660000000003</v>
      </c>
      <c r="BE47" s="295">
        <v>98648</v>
      </c>
      <c r="BH47" s="109">
        <f t="shared" si="12"/>
        <v>37</v>
      </c>
    </row>
    <row r="48" spans="1:60" ht="16.5">
      <c r="A48" s="287">
        <v>38</v>
      </c>
      <c r="B48" s="288" t="str">
        <f t="shared" si="7"/>
        <v>CSR 38</v>
      </c>
      <c r="C48" s="288" t="s">
        <v>306</v>
      </c>
      <c r="D48" s="288"/>
      <c r="E48" s="279" t="s">
        <v>323</v>
      </c>
      <c r="F48" s="279"/>
      <c r="G48" s="289">
        <f t="shared" si="0"/>
        <v>28059.38</v>
      </c>
      <c r="H48" s="289"/>
      <c r="I48" s="83">
        <f t="shared" si="8"/>
        <v>28901.161400000001</v>
      </c>
      <c r="J48" s="83">
        <f t="shared" si="9"/>
        <v>29768.196242000002</v>
      </c>
      <c r="K48" s="289"/>
      <c r="L48" s="239">
        <f t="shared" si="10"/>
        <v>2408.4301166666669</v>
      </c>
      <c r="M48" s="239">
        <f t="shared" si="10"/>
        <v>2408.4301166666669</v>
      </c>
      <c r="N48" s="239">
        <f t="shared" si="10"/>
        <v>2408.4301166666669</v>
      </c>
      <c r="O48" s="239">
        <f t="shared" si="10"/>
        <v>2408.4301166666669</v>
      </c>
      <c r="P48" s="239">
        <f t="shared" si="10"/>
        <v>2408.4301166666669</v>
      </c>
      <c r="Q48" s="239">
        <f t="shared" si="10"/>
        <v>2408.4301166666669</v>
      </c>
      <c r="R48" s="239">
        <f t="shared" si="10"/>
        <v>2408.4301166666669</v>
      </c>
      <c r="S48" s="239">
        <f t="shared" si="10"/>
        <v>2408.4301166666669</v>
      </c>
      <c r="T48" s="239">
        <f t="shared" si="10"/>
        <v>2408.4301166666669</v>
      </c>
      <c r="U48" s="239">
        <f t="shared" si="11"/>
        <v>2480.6830201666667</v>
      </c>
      <c r="V48" s="239">
        <f t="shared" si="11"/>
        <v>2480.6830201666667</v>
      </c>
      <c r="W48" s="239">
        <f t="shared" si="11"/>
        <v>2480.6830201666667</v>
      </c>
      <c r="X48" s="289"/>
      <c r="Y48" s="289"/>
      <c r="Z48" s="286"/>
      <c r="AA48" s="289">
        <f>ROUND(G48*0.0765,0)</f>
        <v>2147</v>
      </c>
      <c r="AB48" s="286"/>
      <c r="AC48" s="289">
        <v>56</v>
      </c>
      <c r="AD48" s="286"/>
      <c r="AE48" s="289">
        <f>IF(G48&gt;8000,8000*0.0458,G48*0.0458)</f>
        <v>366.4</v>
      </c>
      <c r="AF48" s="289" t="s">
        <v>248</v>
      </c>
      <c r="AG48" s="289">
        <f t="shared" si="3"/>
        <v>2569.4</v>
      </c>
      <c r="AH48" s="286"/>
      <c r="AI48" s="289">
        <v>7481.8509443099274</v>
      </c>
      <c r="AJ48" s="286"/>
      <c r="AK48" s="289">
        <f>G48*0.03</f>
        <v>841.78139999999996</v>
      </c>
      <c r="AL48" s="286"/>
      <c r="AM48" s="289">
        <f>G48*0.04</f>
        <v>1122.3752000000002</v>
      </c>
      <c r="AN48" s="286"/>
      <c r="AO48" s="289">
        <v>453.52290556900732</v>
      </c>
      <c r="AP48" s="286"/>
      <c r="AQ48" s="289">
        <f t="shared" si="4"/>
        <v>9899.5304498789355</v>
      </c>
      <c r="AR48" s="286"/>
      <c r="AS48" s="290">
        <f>13.01*80</f>
        <v>1040.8</v>
      </c>
      <c r="AT48" s="290"/>
      <c r="AU48" s="291">
        <v>2080</v>
      </c>
      <c r="AV48" s="244"/>
      <c r="AW48" s="291">
        <f t="shared" si="5"/>
        <v>27060.799999999999</v>
      </c>
      <c r="AX48" s="244"/>
      <c r="AY48" s="292">
        <v>998.58</v>
      </c>
      <c r="AZ48" s="244"/>
      <c r="BA48" s="83">
        <f t="shared" si="6"/>
        <v>28059.38</v>
      </c>
      <c r="BB48" s="293"/>
      <c r="BC48" s="294">
        <v>26612.400000000001</v>
      </c>
      <c r="BE48" s="295">
        <v>99651</v>
      </c>
      <c r="BH48" s="109">
        <f t="shared" si="12"/>
        <v>38</v>
      </c>
    </row>
    <row r="49" spans="1:60" ht="16.5">
      <c r="A49" s="287">
        <v>39</v>
      </c>
      <c r="B49" s="288" t="str">
        <f t="shared" si="7"/>
        <v>CSR 39</v>
      </c>
      <c r="C49" s="288" t="s">
        <v>306</v>
      </c>
      <c r="D49" s="288"/>
      <c r="E49" s="279" t="s">
        <v>323</v>
      </c>
      <c r="F49" s="279"/>
      <c r="G49" s="289">
        <f t="shared" si="0"/>
        <v>25500.799999999999</v>
      </c>
      <c r="H49" s="289"/>
      <c r="I49" s="83">
        <f t="shared" si="8"/>
        <v>26265.824000000001</v>
      </c>
      <c r="J49" s="83">
        <f t="shared" si="9"/>
        <v>27053.798720000003</v>
      </c>
      <c r="K49" s="289"/>
      <c r="L49" s="239">
        <f t="shared" si="10"/>
        <v>2188.8186666666666</v>
      </c>
      <c r="M49" s="239">
        <f t="shared" si="10"/>
        <v>2188.8186666666666</v>
      </c>
      <c r="N49" s="239">
        <f t="shared" si="10"/>
        <v>2188.8186666666666</v>
      </c>
      <c r="O49" s="239">
        <f t="shared" si="10"/>
        <v>2188.8186666666666</v>
      </c>
      <c r="P49" s="239">
        <f t="shared" si="10"/>
        <v>2188.8186666666666</v>
      </c>
      <c r="Q49" s="239">
        <f t="shared" si="10"/>
        <v>2188.8186666666666</v>
      </c>
      <c r="R49" s="239">
        <f t="shared" si="10"/>
        <v>2188.8186666666666</v>
      </c>
      <c r="S49" s="239">
        <f t="shared" si="10"/>
        <v>2188.8186666666666</v>
      </c>
      <c r="T49" s="239">
        <f t="shared" si="10"/>
        <v>2188.8186666666666</v>
      </c>
      <c r="U49" s="239">
        <f t="shared" si="11"/>
        <v>2254.4832266666667</v>
      </c>
      <c r="V49" s="239">
        <f t="shared" si="11"/>
        <v>2254.4832266666667</v>
      </c>
      <c r="W49" s="239">
        <f t="shared" si="11"/>
        <v>2254.4832266666667</v>
      </c>
      <c r="X49" s="289"/>
      <c r="Y49" s="289"/>
      <c r="Z49" s="286"/>
      <c r="AA49" s="289">
        <f>ROUND(G49*0.0765,0)</f>
        <v>1951</v>
      </c>
      <c r="AB49" s="286"/>
      <c r="AC49" s="289">
        <v>56</v>
      </c>
      <c r="AD49" s="286"/>
      <c r="AE49" s="289">
        <f>IF(G49&gt;8000,8000*0.0458,G49*0.0458)</f>
        <v>366.4</v>
      </c>
      <c r="AF49" s="289" t="s">
        <v>248</v>
      </c>
      <c r="AG49" s="289">
        <f t="shared" si="3"/>
        <v>2373.4</v>
      </c>
      <c r="AH49" s="286"/>
      <c r="AI49" s="289">
        <v>7481.8509443099274</v>
      </c>
      <c r="AJ49" s="286"/>
      <c r="AK49" s="289">
        <f>G49*0.03</f>
        <v>765.024</v>
      </c>
      <c r="AL49" s="286"/>
      <c r="AM49" s="289">
        <f>G49*0.04</f>
        <v>1020.032</v>
      </c>
      <c r="AN49" s="286"/>
      <c r="AO49" s="289">
        <v>453.52290556900732</v>
      </c>
      <c r="AP49" s="286"/>
      <c r="AQ49" s="289">
        <f t="shared" si="4"/>
        <v>9720.429849878934</v>
      </c>
      <c r="AR49" s="286"/>
      <c r="AS49" s="290">
        <f>12.26*80</f>
        <v>980.8</v>
      </c>
      <c r="AT49" s="290"/>
      <c r="AU49" s="291">
        <v>2080</v>
      </c>
      <c r="AV49" s="286"/>
      <c r="AW49" s="291">
        <f t="shared" si="5"/>
        <v>25500.799999999999</v>
      </c>
      <c r="AX49" s="286"/>
      <c r="AY49" s="292">
        <v>0</v>
      </c>
      <c r="AZ49" s="286"/>
      <c r="BA49" s="83">
        <f t="shared" si="6"/>
        <v>25500.799999999999</v>
      </c>
      <c r="BB49" s="293"/>
      <c r="BC49" s="294">
        <v>18498.62</v>
      </c>
      <c r="BE49" s="295">
        <v>99700</v>
      </c>
      <c r="BH49" s="109">
        <f t="shared" si="12"/>
        <v>39</v>
      </c>
    </row>
    <row r="50" spans="1:60" ht="17.25" thickBot="1">
      <c r="A50" s="287">
        <v>40</v>
      </c>
      <c r="B50" s="288" t="str">
        <f t="shared" si="7"/>
        <v>CSR 40</v>
      </c>
      <c r="C50" s="288" t="s">
        <v>311</v>
      </c>
      <c r="D50" s="288"/>
      <c r="E50" s="279" t="s">
        <v>324</v>
      </c>
      <c r="F50" s="279"/>
      <c r="G50" s="289">
        <f t="shared" si="0"/>
        <v>25962.29</v>
      </c>
      <c r="H50" s="289"/>
      <c r="I50" s="83">
        <f t="shared" si="8"/>
        <v>26741.1587</v>
      </c>
      <c r="J50" s="83">
        <f t="shared" si="9"/>
        <v>27543.393461</v>
      </c>
      <c r="K50" s="289"/>
      <c r="L50" s="239">
        <f t="shared" si="10"/>
        <v>2228.4298916666667</v>
      </c>
      <c r="M50" s="239">
        <f t="shared" si="10"/>
        <v>2228.4298916666667</v>
      </c>
      <c r="N50" s="239">
        <f t="shared" si="10"/>
        <v>2228.4298916666667</v>
      </c>
      <c r="O50" s="239">
        <f t="shared" si="10"/>
        <v>2228.4298916666667</v>
      </c>
      <c r="P50" s="239">
        <f t="shared" si="10"/>
        <v>2228.4298916666667</v>
      </c>
      <c r="Q50" s="239">
        <f t="shared" si="10"/>
        <v>2228.4298916666667</v>
      </c>
      <c r="R50" s="239">
        <f t="shared" si="10"/>
        <v>2228.4298916666667</v>
      </c>
      <c r="S50" s="239">
        <f t="shared" si="10"/>
        <v>2228.4298916666667</v>
      </c>
      <c r="T50" s="239">
        <f t="shared" si="10"/>
        <v>2228.4298916666667</v>
      </c>
      <c r="U50" s="239">
        <f t="shared" si="11"/>
        <v>2295.2827884166668</v>
      </c>
      <c r="V50" s="239">
        <f t="shared" si="11"/>
        <v>2295.2827884166668</v>
      </c>
      <c r="W50" s="239">
        <f t="shared" si="11"/>
        <v>2295.2827884166668</v>
      </c>
      <c r="X50" s="289"/>
      <c r="Y50" s="289"/>
      <c r="Z50" s="286"/>
      <c r="AA50" s="300">
        <f>ROUND(G50*0.0765,0)</f>
        <v>1986</v>
      </c>
      <c r="AB50" s="286"/>
      <c r="AC50" s="300">
        <v>56</v>
      </c>
      <c r="AD50" s="286"/>
      <c r="AE50" s="300">
        <f>IF(G50&gt;20900,20900*0.042,G50*0.042)</f>
        <v>877.80000000000007</v>
      </c>
      <c r="AF50" s="289" t="s">
        <v>307</v>
      </c>
      <c r="AG50" s="300">
        <f t="shared" si="3"/>
        <v>2919.8</v>
      </c>
      <c r="AH50" s="286"/>
      <c r="AI50" s="300">
        <v>7481.8509443099274</v>
      </c>
      <c r="AJ50" s="286"/>
      <c r="AK50" s="300">
        <f>G50*0.03</f>
        <v>778.86869999999999</v>
      </c>
      <c r="AL50" s="286"/>
      <c r="AM50" s="300">
        <f>G50*0.04</f>
        <v>1038.4916000000001</v>
      </c>
      <c r="AN50" s="286"/>
      <c r="AO50" s="300">
        <v>453.52290556900732</v>
      </c>
      <c r="AP50" s="286"/>
      <c r="AQ50" s="300">
        <f t="shared" si="4"/>
        <v>9752.7341498789337</v>
      </c>
      <c r="AR50" s="286"/>
      <c r="AS50" s="290">
        <f>12.38*80</f>
        <v>990.40000000000009</v>
      </c>
      <c r="AT50" s="290"/>
      <c r="AU50" s="291">
        <v>2080</v>
      </c>
      <c r="AV50" s="286"/>
      <c r="AW50" s="291">
        <f t="shared" si="5"/>
        <v>25750.400000000001</v>
      </c>
      <c r="AX50" s="286"/>
      <c r="AY50" s="292">
        <v>211.89</v>
      </c>
      <c r="AZ50" s="286"/>
      <c r="BA50" s="83">
        <f t="shared" si="6"/>
        <v>25962.29</v>
      </c>
      <c r="BB50" s="293"/>
      <c r="BC50" s="294">
        <v>24858.31</v>
      </c>
      <c r="BE50" s="295">
        <v>99694</v>
      </c>
      <c r="BH50" s="109">
        <f t="shared" si="12"/>
        <v>40</v>
      </c>
    </row>
    <row r="51" spans="1:60" ht="15.75" thickTop="1">
      <c r="A51" s="301"/>
      <c r="B51" s="247" t="s">
        <v>240</v>
      </c>
      <c r="E51" s="241"/>
      <c r="F51" s="241"/>
      <c r="G51" s="84">
        <f>SUM(G11:G50)</f>
        <v>1341560.4599999997</v>
      </c>
      <c r="I51" s="84">
        <f t="shared" ref="I51:J51" si="13">SUM(I11:I50)</f>
        <v>1381807.2738000003</v>
      </c>
      <c r="J51" s="84">
        <f t="shared" si="13"/>
        <v>1423261.4920140004</v>
      </c>
      <c r="L51" s="239">
        <f t="shared" si="10"/>
        <v>115150.60615000002</v>
      </c>
      <c r="M51" s="239">
        <f t="shared" si="10"/>
        <v>115150.60615000002</v>
      </c>
      <c r="N51" s="239">
        <f t="shared" si="10"/>
        <v>115150.60615000002</v>
      </c>
      <c r="O51" s="239">
        <f t="shared" si="10"/>
        <v>115150.60615000002</v>
      </c>
      <c r="P51" s="239">
        <f t="shared" si="10"/>
        <v>115150.60615000002</v>
      </c>
      <c r="Q51" s="239">
        <f t="shared" si="10"/>
        <v>115150.60615000002</v>
      </c>
      <c r="R51" s="239">
        <f t="shared" si="10"/>
        <v>115150.60615000002</v>
      </c>
      <c r="S51" s="239">
        <f t="shared" si="10"/>
        <v>115150.60615000002</v>
      </c>
      <c r="T51" s="239">
        <f t="shared" si="10"/>
        <v>115150.60615000002</v>
      </c>
      <c r="U51" s="239">
        <f t="shared" si="11"/>
        <v>118605.12433450004</v>
      </c>
      <c r="V51" s="239">
        <f t="shared" si="11"/>
        <v>118605.12433450004</v>
      </c>
      <c r="W51" s="239">
        <f t="shared" si="11"/>
        <v>118605.12433450004</v>
      </c>
      <c r="AA51" s="84">
        <f>SUM(AA11:AA50)</f>
        <v>102628</v>
      </c>
      <c r="AC51" s="84">
        <f>SUM(AC11:AC50)</f>
        <v>2240</v>
      </c>
      <c r="AE51" s="84">
        <f>SUM(AE11:AE50)</f>
        <v>24298.092730000004</v>
      </c>
      <c r="AG51" s="84">
        <f>SUM(AG11:AG50)</f>
        <v>129166.09272999996</v>
      </c>
      <c r="AI51" s="84">
        <f>SUM(AI11:AI50)</f>
        <v>299274.0377723971</v>
      </c>
      <c r="AK51" s="84">
        <f>SUM(AK11:AK50)</f>
        <v>40246.813799999996</v>
      </c>
      <c r="AM51" s="84">
        <f>SUM(AM11:AM50)</f>
        <v>53662.418399999995</v>
      </c>
      <c r="AO51" s="84">
        <f>SUM(AO11:AO50)</f>
        <v>18140.916222760283</v>
      </c>
      <c r="AQ51" s="84">
        <f>SUM(AQ11:AQ50)</f>
        <v>411324.18619515753</v>
      </c>
      <c r="AS51" s="290"/>
      <c r="AT51" s="290"/>
      <c r="AU51" s="291"/>
      <c r="AV51" s="286"/>
      <c r="AW51" s="291"/>
      <c r="AX51" s="286"/>
      <c r="AY51" s="292"/>
      <c r="AZ51" s="286"/>
      <c r="BA51" s="83"/>
      <c r="BB51" s="286"/>
    </row>
    <row r="52" spans="1:60">
      <c r="AS52" s="245"/>
      <c r="AT52" s="245"/>
      <c r="AU52" s="245"/>
      <c r="AV52" s="245"/>
      <c r="AW52" s="245"/>
      <c r="AX52" s="245"/>
      <c r="AY52" s="245"/>
      <c r="AZ52" s="245"/>
      <c r="BA52" s="245"/>
      <c r="BB52" s="245"/>
    </row>
    <row r="53" spans="1:60">
      <c r="B53" s="247" t="s">
        <v>319</v>
      </c>
      <c r="G53" s="56">
        <v>2.775347522522463E-2</v>
      </c>
      <c r="H53" s="56"/>
      <c r="I53" s="56"/>
      <c r="J53" s="56"/>
      <c r="K53" s="56"/>
      <c r="L53" s="56">
        <f>'WSKY Allocation Factors'!B34</f>
        <v>2.7432304810892396E-2</v>
      </c>
      <c r="M53" s="56">
        <f>'WSKY Allocation Factors'!C34</f>
        <v>2.7345688505251816E-2</v>
      </c>
      <c r="N53" s="56">
        <f>'WSKY Allocation Factors'!D34</f>
        <v>2.7234563229742808E-2</v>
      </c>
      <c r="O53" s="56">
        <f>'WSKY Allocation Factors'!E34</f>
        <v>2.7101962141741664E-2</v>
      </c>
      <c r="P53" s="56">
        <f>'WSKY Allocation Factors'!F34</f>
        <v>2.6979323481121933E-2</v>
      </c>
      <c r="Q53" s="56">
        <f>'WSKY Allocation Factors'!G34</f>
        <v>2.6942447133986767E-2</v>
      </c>
      <c r="R53" s="56">
        <f>'WSKY Allocation Factors'!H34</f>
        <v>2.6918921515555711E-2</v>
      </c>
      <c r="S53" s="56">
        <f>'WSKY Allocation Factors'!I34</f>
        <v>2.6439209162544428E-2</v>
      </c>
      <c r="T53" s="56">
        <f>'WSKY Allocation Factors'!J34</f>
        <v>2.6326288644655849E-2</v>
      </c>
      <c r="U53" s="56">
        <f>'WSKY Allocation Factors'!K34</f>
        <v>2.6428259496035125E-2</v>
      </c>
      <c r="V53" s="56">
        <f>'WSKY Allocation Factors'!L34</f>
        <v>2.6361653371309562E-2</v>
      </c>
      <c r="W53" s="56">
        <f>'WSKY Allocation Factors'!M34</f>
        <v>2.6393242386234278E-2</v>
      </c>
      <c r="X53" s="56"/>
      <c r="Y53" s="56"/>
      <c r="Z53" s="56"/>
      <c r="AA53" s="56">
        <f>+G53</f>
        <v>2.775347522522463E-2</v>
      </c>
      <c r="AB53" s="56"/>
      <c r="AC53" s="56">
        <f>+G53</f>
        <v>2.775347522522463E-2</v>
      </c>
      <c r="AD53" s="56"/>
      <c r="AE53" s="56">
        <f>+G53</f>
        <v>2.775347522522463E-2</v>
      </c>
      <c r="AF53" s="56"/>
      <c r="AG53" s="56">
        <f>+G53</f>
        <v>2.775347522522463E-2</v>
      </c>
      <c r="AH53" s="56"/>
      <c r="AI53" s="56">
        <f>+G53</f>
        <v>2.775347522522463E-2</v>
      </c>
      <c r="AJ53" s="56"/>
      <c r="AK53" s="56">
        <f>+G53</f>
        <v>2.775347522522463E-2</v>
      </c>
      <c r="AL53" s="56"/>
      <c r="AM53" s="56">
        <f>+G53</f>
        <v>2.775347522522463E-2</v>
      </c>
      <c r="AN53" s="56"/>
      <c r="AO53" s="56">
        <f>+G53</f>
        <v>2.775347522522463E-2</v>
      </c>
      <c r="AP53" s="56"/>
      <c r="AQ53" s="56">
        <f>+G53</f>
        <v>2.775347522522463E-2</v>
      </c>
      <c r="AS53" s="302"/>
      <c r="AT53" s="302"/>
      <c r="AU53" s="302"/>
      <c r="AV53" s="245"/>
      <c r="AW53" s="245"/>
      <c r="AX53" s="245"/>
      <c r="AY53" s="245"/>
      <c r="AZ53" s="245"/>
      <c r="BA53" s="245"/>
      <c r="BB53" s="245"/>
    </row>
    <row r="54" spans="1:60">
      <c r="AS54" s="245"/>
      <c r="AT54" s="245"/>
      <c r="AU54" s="245"/>
      <c r="AV54" s="245"/>
      <c r="AW54" s="245"/>
      <c r="AX54" s="245"/>
      <c r="AY54" s="245"/>
      <c r="AZ54" s="245"/>
      <c r="BA54" s="245"/>
      <c r="BB54" s="245"/>
    </row>
    <row r="55" spans="1:60" ht="15.75" thickBot="1">
      <c r="B55" s="247" t="s">
        <v>320</v>
      </c>
      <c r="G55" s="303">
        <f>G51*G53</f>
        <v>37232.964989750952</v>
      </c>
      <c r="H55" s="83"/>
      <c r="I55" s="83"/>
      <c r="J55" s="83"/>
      <c r="K55" s="83"/>
      <c r="L55" s="303">
        <f>L51*L53</f>
        <v>3158.8465270658212</v>
      </c>
      <c r="M55" s="303">
        <f t="shared" ref="M55:W55" si="14">M51*M53</f>
        <v>3148.8726069688346</v>
      </c>
      <c r="N55" s="303">
        <f t="shared" si="14"/>
        <v>3136.0764641353867</v>
      </c>
      <c r="O55" s="303">
        <f t="shared" si="14"/>
        <v>3120.8073684759056</v>
      </c>
      <c r="P55" s="303">
        <f t="shared" si="14"/>
        <v>3106.6854523681195</v>
      </c>
      <c r="Q55" s="303">
        <f t="shared" si="14"/>
        <v>3102.439118642907</v>
      </c>
      <c r="R55" s="303">
        <f t="shared" si="14"/>
        <v>3099.7301294205172</v>
      </c>
      <c r="S55" s="303">
        <f t="shared" si="14"/>
        <v>3044.4909611936255</v>
      </c>
      <c r="T55" s="303">
        <f t="shared" si="14"/>
        <v>3031.4880951119835</v>
      </c>
      <c r="U55" s="303">
        <f t="shared" si="14"/>
        <v>3134.5270034716773</v>
      </c>
      <c r="V55" s="303">
        <f t="shared" si="14"/>
        <v>3126.627175767163</v>
      </c>
      <c r="W55" s="303">
        <f t="shared" si="14"/>
        <v>3130.3737948099129</v>
      </c>
      <c r="Y55" s="83"/>
      <c r="Z55" s="84"/>
      <c r="AA55" s="303">
        <f t="shared" ref="AA55:AQ55" si="15">AA51*AA53</f>
        <v>2848.2836554143532</v>
      </c>
      <c r="AB55" s="84"/>
      <c r="AC55" s="303">
        <f t="shared" si="15"/>
        <v>62.167784504503175</v>
      </c>
      <c r="AD55" s="84"/>
      <c r="AE55" s="303">
        <f t="shared" si="15"/>
        <v>674.35651460226586</v>
      </c>
      <c r="AF55" s="84"/>
      <c r="AG55" s="303">
        <f t="shared" si="15"/>
        <v>3584.8079545211212</v>
      </c>
      <c r="AH55" s="84"/>
      <c r="AI55" s="303">
        <f t="shared" si="15"/>
        <v>8305.8945928691628</v>
      </c>
      <c r="AJ55" s="84"/>
      <c r="AK55" s="303">
        <f t="shared" si="15"/>
        <v>1116.9889496925286</v>
      </c>
      <c r="AL55" s="84"/>
      <c r="AM55" s="303">
        <f t="shared" si="15"/>
        <v>1489.3185995900383</v>
      </c>
      <c r="AN55" s="84"/>
      <c r="AO55" s="303">
        <f t="shared" si="15"/>
        <v>503.4734689512531</v>
      </c>
      <c r="AP55" s="84"/>
      <c r="AQ55" s="303">
        <f t="shared" si="15"/>
        <v>11415.675611102988</v>
      </c>
      <c r="AS55" s="245"/>
      <c r="AT55" s="245"/>
      <c r="AU55" s="245"/>
      <c r="AV55" s="245"/>
      <c r="AW55" s="245"/>
      <c r="AX55" s="245"/>
      <c r="AY55" s="245"/>
      <c r="AZ55" s="245"/>
      <c r="BA55" s="245"/>
      <c r="BB55" s="245"/>
    </row>
    <row r="56" spans="1:60" ht="15.75" thickTop="1"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4"/>
      <c r="AA56" s="83"/>
      <c r="AB56" s="84"/>
      <c r="AC56" s="83"/>
      <c r="AD56" s="84"/>
      <c r="AE56" s="83"/>
      <c r="AF56" s="84"/>
      <c r="AG56" s="83"/>
      <c r="AH56" s="84"/>
      <c r="AI56" s="83"/>
      <c r="AJ56" s="84"/>
      <c r="AK56" s="83"/>
      <c r="AL56" s="84"/>
      <c r="AM56" s="83"/>
      <c r="AN56" s="84"/>
      <c r="AO56" s="83"/>
      <c r="AP56" s="84"/>
      <c r="AQ56" s="83"/>
      <c r="AS56" s="245"/>
      <c r="AT56" s="245"/>
      <c r="AU56" s="245"/>
      <c r="AV56" s="245"/>
      <c r="AW56" s="245"/>
      <c r="AX56" s="245"/>
      <c r="AY56" s="245"/>
      <c r="AZ56" s="245"/>
      <c r="BA56" s="245"/>
      <c r="BB56" s="245"/>
    </row>
    <row r="57" spans="1:60" hidden="1">
      <c r="B57" s="247" t="s">
        <v>321</v>
      </c>
      <c r="G57" s="52">
        <v>7.8292843887453431E-2</v>
      </c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84"/>
      <c r="AA57" s="52">
        <v>7.8292843887453431E-2</v>
      </c>
      <c r="AB57" s="84"/>
      <c r="AC57" s="52">
        <v>7.8292843887453431E-2</v>
      </c>
      <c r="AD57" s="84"/>
      <c r="AE57" s="52">
        <v>7.8292843887453431E-2</v>
      </c>
      <c r="AF57" s="84"/>
      <c r="AG57" s="52">
        <v>7.8292843887453431E-2</v>
      </c>
      <c r="AH57" s="84"/>
      <c r="AI57" s="52">
        <v>7.8292843887453431E-2</v>
      </c>
      <c r="AJ57" s="84"/>
      <c r="AK57" s="52">
        <v>7.8292843887453431E-2</v>
      </c>
      <c r="AL57" s="84"/>
      <c r="AM57" s="52">
        <v>7.8292843887453431E-2</v>
      </c>
      <c r="AN57" s="84"/>
      <c r="AO57" s="52">
        <v>7.8292843887453431E-2</v>
      </c>
      <c r="AP57" s="84"/>
      <c r="AQ57" s="52">
        <v>7.8292843887453431E-2</v>
      </c>
      <c r="AS57" s="245"/>
      <c r="AT57" s="245"/>
      <c r="AU57" s="245"/>
      <c r="AV57" s="245"/>
      <c r="AW57" s="245"/>
      <c r="AX57" s="245"/>
      <c r="AY57" s="245"/>
      <c r="AZ57" s="245"/>
      <c r="BA57" s="245"/>
      <c r="BB57" s="245"/>
    </row>
    <row r="58" spans="1:60" hidden="1"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4"/>
      <c r="AA58" s="83"/>
      <c r="AB58" s="84"/>
      <c r="AC58" s="83"/>
      <c r="AD58" s="84"/>
      <c r="AE58" s="83"/>
      <c r="AF58" s="84"/>
      <c r="AG58" s="83"/>
      <c r="AH58" s="84"/>
      <c r="AI58" s="83"/>
      <c r="AJ58" s="84"/>
      <c r="AK58" s="83"/>
      <c r="AL58" s="84"/>
      <c r="AM58" s="83"/>
      <c r="AN58" s="84"/>
      <c r="AO58" s="83"/>
      <c r="AP58" s="84"/>
      <c r="AQ58" s="83"/>
      <c r="AS58" s="245"/>
      <c r="AT58" s="245"/>
      <c r="AU58" s="245"/>
      <c r="AV58" s="245"/>
      <c r="AW58" s="245"/>
      <c r="AX58" s="245"/>
      <c r="AY58" s="245"/>
      <c r="AZ58" s="245"/>
      <c r="BA58" s="245"/>
      <c r="BB58" s="245"/>
    </row>
    <row r="59" spans="1:60" ht="15.75" hidden="1" thickBot="1">
      <c r="B59" s="247" t="s">
        <v>322</v>
      </c>
      <c r="G59" s="303">
        <f>G57*G55</f>
        <v>2915.0747154095902</v>
      </c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4"/>
      <c r="AA59" s="303">
        <f>AA57*AA55</f>
        <v>223.00022758054115</v>
      </c>
      <c r="AB59" s="84"/>
      <c r="AC59" s="303">
        <f>AC57*AC55</f>
        <v>4.8672926470399132</v>
      </c>
      <c r="AD59" s="84"/>
      <c r="AE59" s="303">
        <f>AE57*AE55</f>
        <v>52.797289322242413</v>
      </c>
      <c r="AF59" s="84"/>
      <c r="AG59" s="303">
        <f>AG57*AG55</f>
        <v>280.66480954982342</v>
      </c>
      <c r="AH59" s="84"/>
      <c r="AI59" s="303">
        <f>AI57*AI55</f>
        <v>650.29210870514896</v>
      </c>
      <c r="AJ59" s="84"/>
      <c r="AK59" s="303">
        <f>AK57*AK55</f>
        <v>87.452241462287716</v>
      </c>
      <c r="AL59" s="84"/>
      <c r="AM59" s="303">
        <f>AM57*AM55</f>
        <v>116.60298861638363</v>
      </c>
      <c r="AN59" s="84"/>
      <c r="AO59" s="303">
        <f>AO57*AO55</f>
        <v>39.41836970607509</v>
      </c>
      <c r="AP59" s="84"/>
      <c r="AQ59" s="303">
        <f>AQ57*AQ55</f>
        <v>893.76570848989581</v>
      </c>
      <c r="AS59" s="245"/>
      <c r="AT59" s="245"/>
      <c r="AU59" s="245"/>
      <c r="AV59" s="245"/>
      <c r="AW59" s="245"/>
      <c r="AX59" s="245"/>
      <c r="AY59" s="245"/>
      <c r="AZ59" s="245"/>
      <c r="BA59" s="245"/>
      <c r="BB59" s="245"/>
    </row>
    <row r="60" spans="1:60" ht="15.75" hidden="1" thickTop="1"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4"/>
      <c r="AA60" s="83"/>
      <c r="AB60" s="84"/>
      <c r="AC60" s="83"/>
      <c r="AD60" s="84"/>
      <c r="AE60" s="83"/>
      <c r="AF60" s="84"/>
      <c r="AG60" s="83"/>
      <c r="AH60" s="84"/>
      <c r="AI60" s="83"/>
      <c r="AJ60" s="84"/>
      <c r="AK60" s="83"/>
      <c r="AL60" s="84"/>
      <c r="AM60" s="83"/>
      <c r="AN60" s="84"/>
      <c r="AO60" s="83"/>
      <c r="AP60" s="84"/>
      <c r="AQ60" s="83"/>
      <c r="AS60" s="245"/>
      <c r="AT60" s="245"/>
      <c r="AU60" s="245"/>
      <c r="AV60" s="245"/>
      <c r="AW60" s="245"/>
      <c r="AX60" s="245"/>
      <c r="AY60" s="245"/>
      <c r="AZ60" s="245"/>
      <c r="BA60" s="245"/>
      <c r="BB60" s="245"/>
    </row>
    <row r="61" spans="1:60" hidden="1"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4"/>
      <c r="AA61" s="83"/>
      <c r="AB61" s="84"/>
      <c r="AC61" s="83"/>
      <c r="AD61" s="84"/>
      <c r="AE61" s="83"/>
      <c r="AF61" s="84"/>
      <c r="AG61" s="83"/>
      <c r="AH61" s="84"/>
      <c r="AI61" s="83"/>
      <c r="AJ61" s="84"/>
      <c r="AK61" s="83"/>
      <c r="AL61" s="84"/>
      <c r="AM61" s="83"/>
      <c r="AN61" s="84"/>
      <c r="AO61" s="83"/>
      <c r="AP61" s="84"/>
      <c r="AQ61" s="83"/>
      <c r="AS61" s="245"/>
      <c r="AT61" s="245"/>
      <c r="AU61" s="245"/>
      <c r="AV61" s="245"/>
      <c r="AW61" s="245"/>
      <c r="AX61" s="245"/>
      <c r="AY61" s="245"/>
      <c r="AZ61" s="245"/>
      <c r="BA61" s="245"/>
      <c r="BB61" s="245"/>
    </row>
    <row r="62" spans="1:60" hidden="1">
      <c r="AS62" s="245"/>
      <c r="AT62" s="245"/>
      <c r="AU62" s="245"/>
      <c r="AV62" s="245"/>
      <c r="AW62" s="245"/>
      <c r="AX62" s="245"/>
      <c r="AY62" s="245"/>
      <c r="AZ62" s="245"/>
      <c r="BA62" s="245"/>
      <c r="BB62" s="245"/>
    </row>
    <row r="63" spans="1:60" hidden="1">
      <c r="B63" s="304"/>
      <c r="C63" s="304"/>
      <c r="AS63" s="245"/>
      <c r="AT63" s="245"/>
      <c r="AU63" s="245"/>
      <c r="AV63" s="245"/>
      <c r="AW63" s="245"/>
      <c r="AX63" s="245"/>
      <c r="AY63" s="245"/>
      <c r="AZ63" s="245"/>
      <c r="BA63" s="245"/>
      <c r="BB63" s="245"/>
    </row>
    <row r="64" spans="1:60" hidden="1">
      <c r="B64" s="304"/>
      <c r="C64" s="304"/>
      <c r="AS64" s="245"/>
      <c r="AT64" s="245"/>
      <c r="AU64" s="245"/>
      <c r="AV64" s="245"/>
      <c r="AW64" s="245"/>
      <c r="AX64" s="245"/>
      <c r="AY64" s="245"/>
      <c r="AZ64" s="245"/>
      <c r="BA64" s="245"/>
      <c r="BB64" s="245"/>
    </row>
    <row r="65" spans="2:43" hidden="1">
      <c r="B65" s="304"/>
      <c r="C65" s="304"/>
    </row>
    <row r="66" spans="2:43" hidden="1">
      <c r="B66" s="304"/>
      <c r="C66" s="304"/>
      <c r="D66" s="40"/>
    </row>
    <row r="67" spans="2:43"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AA67" s="56"/>
      <c r="AC67" s="56"/>
      <c r="AE67" s="56"/>
      <c r="AG67" s="56"/>
      <c r="AI67" s="56"/>
      <c r="AK67" s="56"/>
      <c r="AM67" s="56"/>
      <c r="AO67" s="56"/>
      <c r="AQ67" s="56"/>
    </row>
    <row r="69" spans="2:43">
      <c r="AA69" s="84"/>
      <c r="AC69" s="84"/>
      <c r="AE69" s="84"/>
      <c r="AG69" s="84"/>
      <c r="AI69" s="84"/>
      <c r="AK69" s="84"/>
      <c r="AM69" s="84"/>
      <c r="AO69" s="84"/>
      <c r="AQ69" s="84"/>
    </row>
    <row r="75" spans="2:43"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</row>
    <row r="77" spans="2:43">
      <c r="B77" s="246"/>
      <c r="C77" s="246"/>
    </row>
    <row r="78" spans="2:43">
      <c r="B78" s="246"/>
      <c r="C78" s="246"/>
    </row>
    <row r="79" spans="2:43">
      <c r="B79" s="246"/>
      <c r="C79" s="246"/>
    </row>
    <row r="80" spans="2:43">
      <c r="B80" s="246"/>
      <c r="C80" s="246"/>
    </row>
    <row r="81" spans="2:3">
      <c r="B81" s="246"/>
      <c r="C81" s="246"/>
    </row>
    <row r="82" spans="2:3">
      <c r="B82" s="246"/>
      <c r="C82" s="246"/>
    </row>
  </sheetData>
  <autoFilter ref="E9:E50"/>
  <pageMargins left="0.7" right="0.7" top="0.75" bottom="0.75" header="0.3" footer="0.3"/>
  <pageSetup scale="39" orientation="landscape" r:id="rId1"/>
  <colBreaks count="1" manualBreakCount="1"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Test Year Salary Comparison</vt:lpstr>
      <vt:lpstr>Pro Forma Salary Comparison</vt:lpstr>
      <vt:lpstr>2013-00237 Salary wp&gt;&gt;</vt:lpstr>
      <vt:lpstr>WSC Salaries PF</vt:lpstr>
      <vt:lpstr>WSC Salaries TY</vt:lpstr>
      <vt:lpstr>Wp b - salary PF</vt:lpstr>
      <vt:lpstr>Wp b - salary TY</vt:lpstr>
      <vt:lpstr>wp b3 - CSR PF</vt:lpstr>
      <vt:lpstr>wp b3 - CSR TY</vt:lpstr>
      <vt:lpstr>ERC&gt;&gt;</vt:lpstr>
      <vt:lpstr>WSKY Allocation Factors</vt:lpstr>
      <vt:lpstr>'Wp b - salary PF'!Print_Area</vt:lpstr>
      <vt:lpstr>'Wp b - salary TY'!Print_Area</vt:lpstr>
      <vt:lpstr>'wp b3 - CSR PF'!Print_Area</vt:lpstr>
      <vt:lpstr>'wp b3 - CSR TY'!Print_Area</vt:lpstr>
      <vt:lpstr>'WSC Salaries PF'!Print_Area</vt:lpstr>
      <vt:lpstr>'WSC Salaries TY'!Print_Area</vt:lpstr>
    </vt:vector>
  </TitlesOfParts>
  <Company>R8VXYNE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 Georgiev</dc:creator>
  <cp:lastModifiedBy>jpkersey</cp:lastModifiedBy>
  <dcterms:created xsi:type="dcterms:W3CDTF">2013-04-23T17:40:46Z</dcterms:created>
  <dcterms:modified xsi:type="dcterms:W3CDTF">2016-01-15T18:13:18Z</dcterms:modified>
</cp:coreProperties>
</file>