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iwater.com\files\Rate Case\Kentucky\2015 WSCKY Rate Case\Data Requests\AG Data Request 1 filed 2016.XX.XX\"/>
    </mc:Choice>
  </mc:AlternateContent>
  <bookViews>
    <workbookView xWindow="0" yWindow="0" windowWidth="25200" windowHeight="11895"/>
  </bookViews>
  <sheets>
    <sheet name="Structure" sheetId="2" r:id="rId1"/>
    <sheet name="Cost Per Gallon" sheetId="3" r:id="rId2"/>
    <sheet name="Sch.D-Revenue" sheetId="1" r:id="rId3"/>
  </sheets>
  <definedNames>
    <definedName name="_Key1" hidden="1">#REF!</definedName>
    <definedName name="_Order1" hidden="1">255</definedName>
    <definedName name="_Sort" hidden="1">#REF!</definedName>
  </definedNames>
  <calcPr calcId="152511" calcMode="manual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  <c r="D7" i="3" l="1"/>
  <c r="D4" i="3" s="1"/>
  <c r="D12" i="3" s="1"/>
  <c r="F10" i="3"/>
  <c r="F7" i="3"/>
  <c r="F4" i="3" l="1"/>
  <c r="F12" i="3" s="1"/>
  <c r="K395" i="1"/>
  <c r="G395" i="1"/>
  <c r="E395" i="1"/>
  <c r="C395" i="1"/>
  <c r="Q394" i="1"/>
  <c r="Q395" i="1" s="1"/>
  <c r="O394" i="1"/>
  <c r="O395" i="1" s="1"/>
  <c r="M394" i="1"/>
  <c r="M395" i="1" s="1"/>
  <c r="M397" i="1" s="1"/>
  <c r="K394" i="1"/>
  <c r="Q391" i="1"/>
  <c r="K391" i="1"/>
  <c r="G391" i="1"/>
  <c r="E391" i="1"/>
  <c r="C391" i="1"/>
  <c r="Q390" i="1"/>
  <c r="O390" i="1"/>
  <c r="O391" i="1" s="1"/>
  <c r="M390" i="1"/>
  <c r="M391" i="1" s="1"/>
  <c r="K390" i="1"/>
  <c r="Q387" i="1"/>
  <c r="K387" i="1"/>
  <c r="G387" i="1"/>
  <c r="E387" i="1"/>
  <c r="C387" i="1"/>
  <c r="Q386" i="1"/>
  <c r="O386" i="1"/>
  <c r="O387" i="1" s="1"/>
  <c r="M386" i="1"/>
  <c r="M387" i="1" s="1"/>
  <c r="M389" i="1" s="1"/>
  <c r="K386" i="1"/>
  <c r="Q382" i="1"/>
  <c r="K382" i="1"/>
  <c r="G382" i="1"/>
  <c r="E382" i="1"/>
  <c r="C382" i="1"/>
  <c r="Q381" i="1"/>
  <c r="K381" i="1"/>
  <c r="M381" i="1" s="1"/>
  <c r="O380" i="1"/>
  <c r="O382" i="1" s="1"/>
  <c r="M380" i="1"/>
  <c r="M382" i="1" s="1"/>
  <c r="M384" i="1" s="1"/>
  <c r="K380" i="1"/>
  <c r="G376" i="1"/>
  <c r="E376" i="1"/>
  <c r="C376" i="1"/>
  <c r="Q375" i="1"/>
  <c r="K375" i="1"/>
  <c r="M375" i="1" s="1"/>
  <c r="Q374" i="1"/>
  <c r="M374" i="1"/>
  <c r="K374" i="1"/>
  <c r="Q373" i="1"/>
  <c r="M373" i="1"/>
  <c r="K373" i="1"/>
  <c r="Q372" i="1"/>
  <c r="Q376" i="1" s="1"/>
  <c r="M372" i="1"/>
  <c r="K372" i="1"/>
  <c r="O371" i="1"/>
  <c r="O376" i="1" s="1"/>
  <c r="K371" i="1"/>
  <c r="M371" i="1" s="1"/>
  <c r="M376" i="1" s="1"/>
  <c r="M378" i="1" s="1"/>
  <c r="G367" i="1"/>
  <c r="E367" i="1"/>
  <c r="C367" i="1"/>
  <c r="Q366" i="1"/>
  <c r="M366" i="1"/>
  <c r="K366" i="1"/>
  <c r="Q365" i="1"/>
  <c r="K365" i="1"/>
  <c r="M365" i="1" s="1"/>
  <c r="Q364" i="1"/>
  <c r="M364" i="1"/>
  <c r="K364" i="1"/>
  <c r="Q363" i="1"/>
  <c r="Q367" i="1" s="1"/>
  <c r="M363" i="1"/>
  <c r="K363" i="1"/>
  <c r="O362" i="1"/>
  <c r="O367" i="1" s="1"/>
  <c r="M362" i="1"/>
  <c r="M367" i="1" s="1"/>
  <c r="M369" i="1" s="1"/>
  <c r="K362" i="1"/>
  <c r="K367" i="1" s="1"/>
  <c r="G358" i="1"/>
  <c r="E358" i="1"/>
  <c r="E398" i="1" s="1"/>
  <c r="C358" i="1"/>
  <c r="Q357" i="1"/>
  <c r="M357" i="1"/>
  <c r="K357" i="1"/>
  <c r="Q356" i="1"/>
  <c r="K356" i="1"/>
  <c r="M356" i="1" s="1"/>
  <c r="Q355" i="1"/>
  <c r="K355" i="1"/>
  <c r="M355" i="1" s="1"/>
  <c r="Q354" i="1"/>
  <c r="M354" i="1"/>
  <c r="K354" i="1"/>
  <c r="O353" i="1"/>
  <c r="K353" i="1"/>
  <c r="M353" i="1" s="1"/>
  <c r="M358" i="1" s="1"/>
  <c r="M360" i="1" s="1"/>
  <c r="G349" i="1"/>
  <c r="E349" i="1"/>
  <c r="C349" i="1"/>
  <c r="Q348" i="1"/>
  <c r="M348" i="1"/>
  <c r="K348" i="1"/>
  <c r="Q347" i="1"/>
  <c r="K347" i="1"/>
  <c r="K349" i="1" s="1"/>
  <c r="Q346" i="1"/>
  <c r="M346" i="1"/>
  <c r="Q345" i="1"/>
  <c r="Q349" i="1" s="1"/>
  <c r="M345" i="1"/>
  <c r="O344" i="1"/>
  <c r="O349" i="1" s="1"/>
  <c r="M344" i="1"/>
  <c r="G340" i="1"/>
  <c r="E340" i="1"/>
  <c r="C340" i="1"/>
  <c r="Q339" i="1"/>
  <c r="M339" i="1"/>
  <c r="K339" i="1"/>
  <c r="Q338" i="1"/>
  <c r="K338" i="1"/>
  <c r="M338" i="1" s="1"/>
  <c r="Q337" i="1"/>
  <c r="M337" i="1"/>
  <c r="K337" i="1"/>
  <c r="Q336" i="1"/>
  <c r="K336" i="1"/>
  <c r="M336" i="1" s="1"/>
  <c r="O335" i="1"/>
  <c r="M335" i="1"/>
  <c r="M340" i="1" s="1"/>
  <c r="M342" i="1" s="1"/>
  <c r="K335" i="1"/>
  <c r="G331" i="1"/>
  <c r="E331" i="1"/>
  <c r="C331" i="1"/>
  <c r="Q330" i="1"/>
  <c r="K330" i="1"/>
  <c r="M330" i="1" s="1"/>
  <c r="Q329" i="1"/>
  <c r="M329" i="1"/>
  <c r="K329" i="1"/>
  <c r="Q328" i="1"/>
  <c r="K328" i="1"/>
  <c r="M328" i="1" s="1"/>
  <c r="Q327" i="1"/>
  <c r="Q331" i="1" s="1"/>
  <c r="M327" i="1"/>
  <c r="K327" i="1"/>
  <c r="O326" i="1"/>
  <c r="O331" i="1" s="1"/>
  <c r="K326" i="1"/>
  <c r="M326" i="1" s="1"/>
  <c r="G322" i="1"/>
  <c r="E322" i="1"/>
  <c r="C322" i="1"/>
  <c r="Q321" i="1"/>
  <c r="M321" i="1"/>
  <c r="K321" i="1"/>
  <c r="Q320" i="1"/>
  <c r="K320" i="1"/>
  <c r="M320" i="1" s="1"/>
  <c r="Q319" i="1"/>
  <c r="M319" i="1"/>
  <c r="K319" i="1"/>
  <c r="Q318" i="1"/>
  <c r="K318" i="1"/>
  <c r="M318" i="1" s="1"/>
  <c r="Q317" i="1"/>
  <c r="M317" i="1"/>
  <c r="K317" i="1"/>
  <c r="O316" i="1"/>
  <c r="O322" i="1" s="1"/>
  <c r="K316" i="1"/>
  <c r="Q312" i="1"/>
  <c r="G312" i="1"/>
  <c r="E312" i="1"/>
  <c r="C312" i="1"/>
  <c r="Q311" i="1"/>
  <c r="M311" i="1"/>
  <c r="K311" i="1"/>
  <c r="Q310" i="1"/>
  <c r="K310" i="1"/>
  <c r="M310" i="1" s="1"/>
  <c r="Q309" i="1"/>
  <c r="M309" i="1"/>
  <c r="K309" i="1"/>
  <c r="Q308" i="1"/>
  <c r="K308" i="1"/>
  <c r="M308" i="1" s="1"/>
  <c r="Q307" i="1"/>
  <c r="M307" i="1"/>
  <c r="K307" i="1"/>
  <c r="O306" i="1"/>
  <c r="O312" i="1" s="1"/>
  <c r="K306" i="1"/>
  <c r="Q302" i="1"/>
  <c r="G302" i="1"/>
  <c r="E302" i="1"/>
  <c r="C302" i="1"/>
  <c r="Q301" i="1"/>
  <c r="K301" i="1"/>
  <c r="M301" i="1" s="1"/>
  <c r="Q300" i="1"/>
  <c r="K300" i="1"/>
  <c r="M300" i="1" s="1"/>
  <c r="Q299" i="1"/>
  <c r="M299" i="1"/>
  <c r="K299" i="1"/>
  <c r="Q298" i="1"/>
  <c r="K298" i="1"/>
  <c r="M298" i="1" s="1"/>
  <c r="Q297" i="1"/>
  <c r="M297" i="1"/>
  <c r="K297" i="1"/>
  <c r="O296" i="1"/>
  <c r="O302" i="1" s="1"/>
  <c r="K296" i="1"/>
  <c r="G292" i="1"/>
  <c r="E292" i="1"/>
  <c r="C292" i="1"/>
  <c r="Q291" i="1"/>
  <c r="M291" i="1"/>
  <c r="K291" i="1"/>
  <c r="Q290" i="1"/>
  <c r="K290" i="1"/>
  <c r="M290" i="1" s="1"/>
  <c r="Q289" i="1"/>
  <c r="M289" i="1"/>
  <c r="K289" i="1"/>
  <c r="Q288" i="1"/>
  <c r="K288" i="1"/>
  <c r="M288" i="1" s="1"/>
  <c r="Q287" i="1"/>
  <c r="M287" i="1"/>
  <c r="K287" i="1"/>
  <c r="O286" i="1"/>
  <c r="O292" i="1" s="1"/>
  <c r="K286" i="1"/>
  <c r="G282" i="1"/>
  <c r="E282" i="1"/>
  <c r="C282" i="1"/>
  <c r="Q281" i="1"/>
  <c r="K281" i="1"/>
  <c r="M281" i="1" s="1"/>
  <c r="Q280" i="1"/>
  <c r="K280" i="1"/>
  <c r="M280" i="1" s="1"/>
  <c r="Q279" i="1"/>
  <c r="M279" i="1"/>
  <c r="K279" i="1"/>
  <c r="Q278" i="1"/>
  <c r="K278" i="1"/>
  <c r="M278" i="1" s="1"/>
  <c r="Q277" i="1"/>
  <c r="M277" i="1"/>
  <c r="K277" i="1"/>
  <c r="O276" i="1"/>
  <c r="O282" i="1" s="1"/>
  <c r="K276" i="1"/>
  <c r="G272" i="1"/>
  <c r="E272" i="1"/>
  <c r="C272" i="1"/>
  <c r="Q271" i="1"/>
  <c r="U271" i="1" s="1"/>
  <c r="K271" i="1"/>
  <c r="M271" i="1" s="1"/>
  <c r="Q270" i="1"/>
  <c r="U270" i="1" s="1"/>
  <c r="K270" i="1"/>
  <c r="M270" i="1" s="1"/>
  <c r="Q269" i="1"/>
  <c r="U269" i="1" s="1"/>
  <c r="K269" i="1"/>
  <c r="M269" i="1" s="1"/>
  <c r="Q268" i="1"/>
  <c r="U268" i="1" s="1"/>
  <c r="K268" i="1"/>
  <c r="M268" i="1" s="1"/>
  <c r="Q267" i="1"/>
  <c r="U267" i="1" s="1"/>
  <c r="K267" i="1"/>
  <c r="M267" i="1" s="1"/>
  <c r="O266" i="1"/>
  <c r="K266" i="1"/>
  <c r="M266" i="1" s="1"/>
  <c r="G262" i="1"/>
  <c r="E262" i="1"/>
  <c r="C262" i="1"/>
  <c r="Q261" i="1"/>
  <c r="M261" i="1"/>
  <c r="K261" i="1"/>
  <c r="Q260" i="1"/>
  <c r="K260" i="1"/>
  <c r="M260" i="1" s="1"/>
  <c r="Q259" i="1"/>
  <c r="M259" i="1"/>
  <c r="K259" i="1"/>
  <c r="Q258" i="1"/>
  <c r="K258" i="1"/>
  <c r="M258" i="1" s="1"/>
  <c r="Q257" i="1"/>
  <c r="M257" i="1"/>
  <c r="K257" i="1"/>
  <c r="O256" i="1"/>
  <c r="K256" i="1"/>
  <c r="K262" i="1" s="1"/>
  <c r="G252" i="1"/>
  <c r="E252" i="1"/>
  <c r="C252" i="1"/>
  <c r="Q251" i="1"/>
  <c r="M251" i="1"/>
  <c r="K251" i="1"/>
  <c r="Q250" i="1"/>
  <c r="K250" i="1"/>
  <c r="M250" i="1" s="1"/>
  <c r="Q249" i="1"/>
  <c r="M249" i="1"/>
  <c r="K249" i="1"/>
  <c r="Q248" i="1"/>
  <c r="K248" i="1"/>
  <c r="M248" i="1" s="1"/>
  <c r="Q247" i="1"/>
  <c r="M247" i="1"/>
  <c r="K247" i="1"/>
  <c r="O246" i="1"/>
  <c r="K246" i="1"/>
  <c r="G242" i="1"/>
  <c r="E242" i="1"/>
  <c r="C242" i="1"/>
  <c r="Q241" i="1"/>
  <c r="M241" i="1"/>
  <c r="K241" i="1"/>
  <c r="Q240" i="1"/>
  <c r="K240" i="1"/>
  <c r="M240" i="1" s="1"/>
  <c r="Q239" i="1"/>
  <c r="M239" i="1"/>
  <c r="K239" i="1"/>
  <c r="Q238" i="1"/>
  <c r="K238" i="1"/>
  <c r="M238" i="1" s="1"/>
  <c r="Q237" i="1"/>
  <c r="M237" i="1"/>
  <c r="K237" i="1"/>
  <c r="O236" i="1"/>
  <c r="K236" i="1"/>
  <c r="Q228" i="1"/>
  <c r="G228" i="1"/>
  <c r="E228" i="1"/>
  <c r="C228" i="1"/>
  <c r="Q227" i="1"/>
  <c r="O227" i="1"/>
  <c r="K227" i="1"/>
  <c r="Q224" i="1"/>
  <c r="G224" i="1"/>
  <c r="E224" i="1"/>
  <c r="C224" i="1"/>
  <c r="Q223" i="1"/>
  <c r="O223" i="1"/>
  <c r="K223" i="1"/>
  <c r="Q220" i="1"/>
  <c r="G220" i="1"/>
  <c r="E220" i="1"/>
  <c r="C220" i="1"/>
  <c r="Q219" i="1"/>
  <c r="O219" i="1"/>
  <c r="K219" i="1"/>
  <c r="Q216" i="1"/>
  <c r="G216" i="1"/>
  <c r="E216" i="1"/>
  <c r="C216" i="1"/>
  <c r="Q215" i="1"/>
  <c r="O215" i="1"/>
  <c r="K215" i="1"/>
  <c r="Q211" i="1"/>
  <c r="G211" i="1"/>
  <c r="E211" i="1"/>
  <c r="C211" i="1"/>
  <c r="Q210" i="1"/>
  <c r="O210" i="1"/>
  <c r="K210" i="1"/>
  <c r="Q206" i="1"/>
  <c r="G206" i="1"/>
  <c r="E206" i="1"/>
  <c r="C206" i="1"/>
  <c r="Q205" i="1"/>
  <c r="M205" i="1"/>
  <c r="K205" i="1"/>
  <c r="O204" i="1"/>
  <c r="O206" i="1" s="1"/>
  <c r="K204" i="1"/>
  <c r="G200" i="1"/>
  <c r="E200" i="1"/>
  <c r="C200" i="1"/>
  <c r="Q199" i="1"/>
  <c r="Q200" i="1" s="1"/>
  <c r="K199" i="1"/>
  <c r="M199" i="1" s="1"/>
  <c r="O198" i="1"/>
  <c r="O200" i="1" s="1"/>
  <c r="M198" i="1"/>
  <c r="K198" i="1"/>
  <c r="K194" i="1"/>
  <c r="G194" i="1"/>
  <c r="E194" i="1"/>
  <c r="C194" i="1"/>
  <c r="Q193" i="1"/>
  <c r="Q194" i="1" s="1"/>
  <c r="K193" i="1"/>
  <c r="M193" i="1" s="1"/>
  <c r="O192" i="1"/>
  <c r="M192" i="1"/>
  <c r="M194" i="1" s="1"/>
  <c r="M196" i="1" s="1"/>
  <c r="K192" i="1"/>
  <c r="K188" i="1"/>
  <c r="G188" i="1"/>
  <c r="E188" i="1"/>
  <c r="C188" i="1"/>
  <c r="Q187" i="1"/>
  <c r="Q188" i="1" s="1"/>
  <c r="K187" i="1"/>
  <c r="M187" i="1" s="1"/>
  <c r="O186" i="1"/>
  <c r="M186" i="1"/>
  <c r="M188" i="1" s="1"/>
  <c r="M190" i="1" s="1"/>
  <c r="K186" i="1"/>
  <c r="G182" i="1"/>
  <c r="E182" i="1"/>
  <c r="C182" i="1"/>
  <c r="Q181" i="1"/>
  <c r="Q182" i="1" s="1"/>
  <c r="K181" i="1"/>
  <c r="M181" i="1" s="1"/>
  <c r="O180" i="1"/>
  <c r="M180" i="1"/>
  <c r="K180" i="1"/>
  <c r="G176" i="1"/>
  <c r="E176" i="1"/>
  <c r="C176" i="1"/>
  <c r="Q175" i="1"/>
  <c r="K175" i="1"/>
  <c r="M175" i="1" s="1"/>
  <c r="Q174" i="1"/>
  <c r="Q176" i="1" s="1"/>
  <c r="M174" i="1"/>
  <c r="K174" i="1"/>
  <c r="O173" i="1"/>
  <c r="K173" i="1"/>
  <c r="M173" i="1" s="1"/>
  <c r="M176" i="1" s="1"/>
  <c r="M178" i="1" s="1"/>
  <c r="G169" i="1"/>
  <c r="E169" i="1"/>
  <c r="C169" i="1"/>
  <c r="Q168" i="1"/>
  <c r="M168" i="1"/>
  <c r="K168" i="1"/>
  <c r="Q167" i="1"/>
  <c r="K167" i="1"/>
  <c r="M167" i="1" s="1"/>
  <c r="O166" i="1"/>
  <c r="O169" i="1" s="1"/>
  <c r="K166" i="1"/>
  <c r="K169" i="1" s="1"/>
  <c r="O162" i="1"/>
  <c r="G162" i="1"/>
  <c r="E162" i="1"/>
  <c r="C162" i="1"/>
  <c r="Q161" i="1"/>
  <c r="K161" i="1"/>
  <c r="M161" i="1" s="1"/>
  <c r="Q160" i="1"/>
  <c r="Q162" i="1" s="1"/>
  <c r="M160" i="1"/>
  <c r="K160" i="1"/>
  <c r="O159" i="1"/>
  <c r="K159" i="1"/>
  <c r="Q154" i="1"/>
  <c r="G154" i="1"/>
  <c r="E154" i="1"/>
  <c r="C154" i="1"/>
  <c r="Q153" i="1"/>
  <c r="M153" i="1"/>
  <c r="K153" i="1"/>
  <c r="Q152" i="1"/>
  <c r="K152" i="1"/>
  <c r="M152" i="1" s="1"/>
  <c r="Q151" i="1"/>
  <c r="M151" i="1"/>
  <c r="K151" i="1"/>
  <c r="Q150" i="1"/>
  <c r="K150" i="1"/>
  <c r="M150" i="1" s="1"/>
  <c r="O149" i="1"/>
  <c r="O154" i="1" s="1"/>
  <c r="M149" i="1"/>
  <c r="K149" i="1"/>
  <c r="G145" i="1"/>
  <c r="E145" i="1"/>
  <c r="C145" i="1"/>
  <c r="Q144" i="1"/>
  <c r="K144" i="1"/>
  <c r="M144" i="1" s="1"/>
  <c r="Q143" i="1"/>
  <c r="M143" i="1"/>
  <c r="K143" i="1"/>
  <c r="Q142" i="1"/>
  <c r="K142" i="1"/>
  <c r="M142" i="1" s="1"/>
  <c r="Q141" i="1"/>
  <c r="M141" i="1"/>
  <c r="K141" i="1"/>
  <c r="O140" i="1"/>
  <c r="K140" i="1"/>
  <c r="M140" i="1" s="1"/>
  <c r="M145" i="1" s="1"/>
  <c r="M147" i="1" s="1"/>
  <c r="G136" i="1"/>
  <c r="E136" i="1"/>
  <c r="C136" i="1"/>
  <c r="Q135" i="1"/>
  <c r="M135" i="1"/>
  <c r="K135" i="1"/>
  <c r="Q134" i="1"/>
  <c r="K134" i="1"/>
  <c r="M134" i="1" s="1"/>
  <c r="M136" i="1" s="1"/>
  <c r="M138" i="1" s="1"/>
  <c r="Q133" i="1"/>
  <c r="M133" i="1"/>
  <c r="K133" i="1"/>
  <c r="Q132" i="1"/>
  <c r="Q136" i="1" s="1"/>
  <c r="K132" i="1"/>
  <c r="M132" i="1" s="1"/>
  <c r="O131" i="1"/>
  <c r="M131" i="1"/>
  <c r="K131" i="1"/>
  <c r="K136" i="1" s="1"/>
  <c r="K127" i="1"/>
  <c r="G127" i="1"/>
  <c r="E127" i="1"/>
  <c r="C127" i="1"/>
  <c r="Q126" i="1"/>
  <c r="K126" i="1"/>
  <c r="M126" i="1" s="1"/>
  <c r="Q125" i="1"/>
  <c r="M125" i="1"/>
  <c r="K125" i="1"/>
  <c r="Q124" i="1"/>
  <c r="K124" i="1"/>
  <c r="M124" i="1" s="1"/>
  <c r="Q123" i="1"/>
  <c r="M123" i="1"/>
  <c r="K123" i="1"/>
  <c r="O122" i="1"/>
  <c r="O127" i="1" s="1"/>
  <c r="K122" i="1"/>
  <c r="M122" i="1" s="1"/>
  <c r="G118" i="1"/>
  <c r="E118" i="1"/>
  <c r="C118" i="1"/>
  <c r="Q117" i="1"/>
  <c r="K117" i="1"/>
  <c r="M117" i="1" s="1"/>
  <c r="Q116" i="1"/>
  <c r="K116" i="1"/>
  <c r="M116" i="1" s="1"/>
  <c r="Q115" i="1"/>
  <c r="M115" i="1"/>
  <c r="K115" i="1"/>
  <c r="Q114" i="1"/>
  <c r="K114" i="1"/>
  <c r="M114" i="1" s="1"/>
  <c r="O113" i="1"/>
  <c r="O118" i="1" s="1"/>
  <c r="M113" i="1"/>
  <c r="M118" i="1" s="1"/>
  <c r="M120" i="1" s="1"/>
  <c r="K113" i="1"/>
  <c r="G109" i="1"/>
  <c r="E109" i="1"/>
  <c r="C109" i="1"/>
  <c r="Q108" i="1"/>
  <c r="K108" i="1"/>
  <c r="M108" i="1" s="1"/>
  <c r="Q107" i="1"/>
  <c r="M107" i="1"/>
  <c r="K107" i="1"/>
  <c r="Q106" i="1"/>
  <c r="K106" i="1"/>
  <c r="M106" i="1" s="1"/>
  <c r="Q105" i="1"/>
  <c r="M105" i="1"/>
  <c r="K105" i="1"/>
  <c r="O104" i="1"/>
  <c r="K104" i="1"/>
  <c r="M104" i="1" s="1"/>
  <c r="M109" i="1" s="1"/>
  <c r="M111" i="1" s="1"/>
  <c r="G99" i="1"/>
  <c r="E99" i="1"/>
  <c r="C99" i="1"/>
  <c r="Q98" i="1"/>
  <c r="M98" i="1"/>
  <c r="K98" i="1"/>
  <c r="Q97" i="1"/>
  <c r="K97" i="1"/>
  <c r="M97" i="1" s="1"/>
  <c r="Q96" i="1"/>
  <c r="K96" i="1"/>
  <c r="M96" i="1" s="1"/>
  <c r="Q95" i="1"/>
  <c r="K95" i="1"/>
  <c r="M95" i="1" s="1"/>
  <c r="Q94" i="1"/>
  <c r="M94" i="1"/>
  <c r="K94" i="1"/>
  <c r="O93" i="1"/>
  <c r="K93" i="1"/>
  <c r="G89" i="1"/>
  <c r="E89" i="1"/>
  <c r="C89" i="1"/>
  <c r="Q88" i="1"/>
  <c r="M88" i="1"/>
  <c r="K88" i="1"/>
  <c r="Q87" i="1"/>
  <c r="K87" i="1"/>
  <c r="M87" i="1" s="1"/>
  <c r="Q86" i="1"/>
  <c r="M86" i="1"/>
  <c r="K86" i="1"/>
  <c r="Q85" i="1"/>
  <c r="K85" i="1"/>
  <c r="M85" i="1" s="1"/>
  <c r="Q84" i="1"/>
  <c r="M84" i="1"/>
  <c r="K84" i="1"/>
  <c r="O83" i="1"/>
  <c r="K83" i="1"/>
  <c r="G79" i="1"/>
  <c r="E79" i="1"/>
  <c r="C79" i="1"/>
  <c r="Q78" i="1"/>
  <c r="M78" i="1"/>
  <c r="K78" i="1"/>
  <c r="Q77" i="1"/>
  <c r="K77" i="1"/>
  <c r="M77" i="1" s="1"/>
  <c r="Q76" i="1"/>
  <c r="M76" i="1"/>
  <c r="K76" i="1"/>
  <c r="Q75" i="1"/>
  <c r="K75" i="1"/>
  <c r="M75" i="1" s="1"/>
  <c r="Q74" i="1"/>
  <c r="M74" i="1"/>
  <c r="K74" i="1"/>
  <c r="O73" i="1"/>
  <c r="O79" i="1" s="1"/>
  <c r="K73" i="1"/>
  <c r="G69" i="1"/>
  <c r="E69" i="1"/>
  <c r="C69" i="1"/>
  <c r="Q68" i="1"/>
  <c r="M68" i="1"/>
  <c r="K68" i="1"/>
  <c r="Q67" i="1"/>
  <c r="K67" i="1"/>
  <c r="M67" i="1" s="1"/>
  <c r="Q66" i="1"/>
  <c r="M66" i="1"/>
  <c r="K66" i="1"/>
  <c r="Q65" i="1"/>
  <c r="Q69" i="1" s="1"/>
  <c r="K65" i="1"/>
  <c r="M65" i="1" s="1"/>
  <c r="Q64" i="1"/>
  <c r="M64" i="1"/>
  <c r="K64" i="1"/>
  <c r="O63" i="1"/>
  <c r="O69" i="1" s="1"/>
  <c r="K63" i="1"/>
  <c r="K69" i="1" s="1"/>
  <c r="G59" i="1"/>
  <c r="E59" i="1"/>
  <c r="C59" i="1"/>
  <c r="Q58" i="1"/>
  <c r="M58" i="1"/>
  <c r="K58" i="1"/>
  <c r="Q57" i="1"/>
  <c r="K57" i="1"/>
  <c r="M57" i="1" s="1"/>
  <c r="Q56" i="1"/>
  <c r="M56" i="1"/>
  <c r="K56" i="1"/>
  <c r="Q55" i="1"/>
  <c r="Q59" i="1" s="1"/>
  <c r="K55" i="1"/>
  <c r="M55" i="1" s="1"/>
  <c r="Q54" i="1"/>
  <c r="M54" i="1"/>
  <c r="K54" i="1"/>
  <c r="O53" i="1"/>
  <c r="O59" i="1" s="1"/>
  <c r="K53" i="1"/>
  <c r="K59" i="1" s="1"/>
  <c r="G49" i="1"/>
  <c r="E49" i="1"/>
  <c r="C49" i="1"/>
  <c r="Q48" i="1"/>
  <c r="M48" i="1"/>
  <c r="K48" i="1"/>
  <c r="Q47" i="1"/>
  <c r="K47" i="1"/>
  <c r="M47" i="1" s="1"/>
  <c r="Q46" i="1"/>
  <c r="M46" i="1"/>
  <c r="K46" i="1"/>
  <c r="Q45" i="1"/>
  <c r="Q49" i="1" s="1"/>
  <c r="K45" i="1"/>
  <c r="M45" i="1" s="1"/>
  <c r="Q44" i="1"/>
  <c r="M44" i="1"/>
  <c r="K44" i="1"/>
  <c r="O43" i="1"/>
  <c r="O49" i="1" s="1"/>
  <c r="K43" i="1"/>
  <c r="K49" i="1" s="1"/>
  <c r="G39" i="1"/>
  <c r="E39" i="1"/>
  <c r="C39" i="1"/>
  <c r="Q38" i="1"/>
  <c r="M38" i="1"/>
  <c r="K38" i="1"/>
  <c r="Q37" i="1"/>
  <c r="K37" i="1"/>
  <c r="M37" i="1" s="1"/>
  <c r="Q36" i="1"/>
  <c r="M36" i="1"/>
  <c r="K36" i="1"/>
  <c r="Q35" i="1"/>
  <c r="Q39" i="1" s="1"/>
  <c r="K35" i="1"/>
  <c r="M35" i="1" s="1"/>
  <c r="Q34" i="1"/>
  <c r="M34" i="1"/>
  <c r="K34" i="1"/>
  <c r="O33" i="1"/>
  <c r="O39" i="1" s="1"/>
  <c r="K33" i="1"/>
  <c r="K39" i="1" s="1"/>
  <c r="G29" i="1"/>
  <c r="E29" i="1"/>
  <c r="C29" i="1"/>
  <c r="Q28" i="1"/>
  <c r="M28" i="1"/>
  <c r="K28" i="1"/>
  <c r="Q27" i="1"/>
  <c r="K27" i="1"/>
  <c r="M27" i="1" s="1"/>
  <c r="Q26" i="1"/>
  <c r="M26" i="1"/>
  <c r="K26" i="1"/>
  <c r="Q25" i="1"/>
  <c r="Q29" i="1" s="1"/>
  <c r="K25" i="1"/>
  <c r="M25" i="1" s="1"/>
  <c r="Q24" i="1"/>
  <c r="M24" i="1"/>
  <c r="K24" i="1"/>
  <c r="O23" i="1"/>
  <c r="O29" i="1" s="1"/>
  <c r="K23" i="1"/>
  <c r="K29" i="1" s="1"/>
  <c r="G19" i="1"/>
  <c r="E19" i="1"/>
  <c r="C19" i="1"/>
  <c r="Q18" i="1"/>
  <c r="M18" i="1"/>
  <c r="K18" i="1"/>
  <c r="Q17" i="1"/>
  <c r="K17" i="1"/>
  <c r="M17" i="1" s="1"/>
  <c r="Q16" i="1"/>
  <c r="M16" i="1"/>
  <c r="K16" i="1"/>
  <c r="Q15" i="1"/>
  <c r="Q19" i="1" s="1"/>
  <c r="K15" i="1"/>
  <c r="M15" i="1" s="1"/>
  <c r="Q14" i="1"/>
  <c r="M14" i="1"/>
  <c r="K14" i="1"/>
  <c r="O13" i="1"/>
  <c r="O19" i="1" s="1"/>
  <c r="K13" i="1"/>
  <c r="C9" i="2" s="1"/>
  <c r="K79" i="1" l="1"/>
  <c r="O89" i="1"/>
  <c r="M154" i="1"/>
  <c r="M156" i="1" s="1"/>
  <c r="M182" i="1"/>
  <c r="M184" i="1" s="1"/>
  <c r="K182" i="1"/>
  <c r="O272" i="1"/>
  <c r="U266" i="1"/>
  <c r="U272" i="1" s="1"/>
  <c r="U274" i="1" s="1"/>
  <c r="M127" i="1"/>
  <c r="M129" i="1" s="1"/>
  <c r="M13" i="1"/>
  <c r="M19" i="1" s="1"/>
  <c r="M21" i="1" s="1"/>
  <c r="K19" i="1"/>
  <c r="M23" i="1"/>
  <c r="M29" i="1" s="1"/>
  <c r="M31" i="1" s="1"/>
  <c r="M33" i="1"/>
  <c r="M39" i="1" s="1"/>
  <c r="M41" i="1" s="1"/>
  <c r="M43" i="1"/>
  <c r="M49" i="1" s="1"/>
  <c r="M51" i="1" s="1"/>
  <c r="M53" i="1"/>
  <c r="M59" i="1" s="1"/>
  <c r="M61" i="1" s="1"/>
  <c r="M63" i="1"/>
  <c r="M69" i="1" s="1"/>
  <c r="M71" i="1" s="1"/>
  <c r="M73" i="1"/>
  <c r="M79" i="1" s="1"/>
  <c r="M81" i="1" s="1"/>
  <c r="K99" i="1"/>
  <c r="K118" i="1"/>
  <c r="Q127" i="1"/>
  <c r="O145" i="1"/>
  <c r="Q169" i="1"/>
  <c r="Q232" i="1" s="1"/>
  <c r="K176" i="1"/>
  <c r="M200" i="1"/>
  <c r="M202" i="1" s="1"/>
  <c r="K200" i="1"/>
  <c r="E232" i="1"/>
  <c r="E401" i="1" s="1"/>
  <c r="O252" i="1"/>
  <c r="O99" i="1"/>
  <c r="K206" i="1"/>
  <c r="M204" i="1"/>
  <c r="M206" i="1" s="1"/>
  <c r="M208" i="1" s="1"/>
  <c r="O216" i="1"/>
  <c r="G232" i="1"/>
  <c r="Q79" i="1"/>
  <c r="K89" i="1"/>
  <c r="Q89" i="1"/>
  <c r="O109" i="1"/>
  <c r="Q118" i="1"/>
  <c r="K154" i="1"/>
  <c r="K162" i="1"/>
  <c r="M159" i="1"/>
  <c r="M162" i="1" s="1"/>
  <c r="M164" i="1" s="1"/>
  <c r="O176" i="1"/>
  <c r="O224" i="1"/>
  <c r="Q109" i="1"/>
  <c r="O136" i="1"/>
  <c r="Q145" i="1"/>
  <c r="K211" i="1"/>
  <c r="M210" i="1"/>
  <c r="M211" i="1" s="1"/>
  <c r="M213" i="1" s="1"/>
  <c r="K220" i="1"/>
  <c r="M219" i="1"/>
  <c r="M220" i="1" s="1"/>
  <c r="M222" i="1" s="1"/>
  <c r="K228" i="1"/>
  <c r="M227" i="1"/>
  <c r="M228" i="1" s="1"/>
  <c r="M230" i="1" s="1"/>
  <c r="Q252" i="1"/>
  <c r="Q292" i="1"/>
  <c r="Q322" i="1"/>
  <c r="Q99" i="1"/>
  <c r="K109" i="1"/>
  <c r="K145" i="1"/>
  <c r="M166" i="1"/>
  <c r="M169" i="1" s="1"/>
  <c r="M171" i="1" s="1"/>
  <c r="O182" i="1"/>
  <c r="O188" i="1"/>
  <c r="O194" i="1"/>
  <c r="O211" i="1"/>
  <c r="O220" i="1"/>
  <c r="O228" i="1"/>
  <c r="O242" i="1"/>
  <c r="O262" i="1"/>
  <c r="Q272" i="1"/>
  <c r="M83" i="1"/>
  <c r="M89" i="1" s="1"/>
  <c r="M91" i="1" s="1"/>
  <c r="M93" i="1"/>
  <c r="M99" i="1" s="1"/>
  <c r="M101" i="1" s="1"/>
  <c r="K216" i="1"/>
  <c r="K232" i="1" s="1"/>
  <c r="C11" i="2" s="1"/>
  <c r="H7" i="3" s="1"/>
  <c r="M215" i="1"/>
  <c r="M216" i="1" s="1"/>
  <c r="C232" i="1"/>
  <c r="K224" i="1"/>
  <c r="M223" i="1"/>
  <c r="M224" i="1" s="1"/>
  <c r="M226" i="1" s="1"/>
  <c r="Q242" i="1"/>
  <c r="K252" i="1"/>
  <c r="Q262" i="1"/>
  <c r="M272" i="1"/>
  <c r="M274" i="1" s="1"/>
  <c r="K282" i="1"/>
  <c r="M276" i="1"/>
  <c r="M282" i="1" s="1"/>
  <c r="M284" i="1" s="1"/>
  <c r="K292" i="1"/>
  <c r="M286" i="1"/>
  <c r="M292" i="1" s="1"/>
  <c r="M294" i="1" s="1"/>
  <c r="K322" i="1"/>
  <c r="M316" i="1"/>
  <c r="M322" i="1" s="1"/>
  <c r="M324" i="1" s="1"/>
  <c r="K272" i="1"/>
  <c r="K312" i="1"/>
  <c r="M306" i="1"/>
  <c r="M312" i="1" s="1"/>
  <c r="M314" i="1" s="1"/>
  <c r="K331" i="1"/>
  <c r="K376" i="1"/>
  <c r="G398" i="1"/>
  <c r="G401" i="1" s="1"/>
  <c r="C14" i="2"/>
  <c r="C4" i="2" s="1"/>
  <c r="C398" i="1"/>
  <c r="M236" i="1"/>
  <c r="M242" i="1" s="1"/>
  <c r="M244" i="1" s="1"/>
  <c r="K242" i="1"/>
  <c r="M246" i="1"/>
  <c r="M252" i="1" s="1"/>
  <c r="M254" i="1" s="1"/>
  <c r="M256" i="1"/>
  <c r="M262" i="1" s="1"/>
  <c r="M264" i="1" s="1"/>
  <c r="Q282" i="1"/>
  <c r="K302" i="1"/>
  <c r="M296" i="1"/>
  <c r="M302" i="1" s="1"/>
  <c r="M304" i="1" s="1"/>
  <c r="M331" i="1"/>
  <c r="M333" i="1" s="1"/>
  <c r="K340" i="1"/>
  <c r="Q340" i="1"/>
  <c r="Q398" i="1" s="1"/>
  <c r="Q401" i="1" s="1"/>
  <c r="O358" i="1"/>
  <c r="M398" i="1"/>
  <c r="M393" i="1"/>
  <c r="O340" i="1"/>
  <c r="O398" i="1" s="1"/>
  <c r="Q358" i="1"/>
  <c r="K358" i="1"/>
  <c r="K398" i="1" s="1"/>
  <c r="M347" i="1"/>
  <c r="M349" i="1" s="1"/>
  <c r="M351" i="1" s="1"/>
  <c r="K401" i="1" l="1"/>
  <c r="C16" i="2"/>
  <c r="O401" i="1"/>
  <c r="C10" i="2"/>
  <c r="C401" i="1"/>
  <c r="O232" i="1"/>
  <c r="D9" i="2"/>
  <c r="M232" i="1"/>
  <c r="M401" i="1" s="1"/>
  <c r="M404" i="1" s="1"/>
  <c r="M405" i="1" s="1"/>
  <c r="M218" i="1"/>
  <c r="D10" i="2"/>
  <c r="C15" i="2" l="1"/>
  <c r="D15" i="2" s="1"/>
  <c r="H10" i="3"/>
  <c r="I10" i="3" s="1"/>
  <c r="D14" i="2"/>
  <c r="C6" i="2"/>
  <c r="D11" i="2"/>
  <c r="D16" i="2" l="1"/>
  <c r="D4" i="2"/>
  <c r="H4" i="3"/>
  <c r="C5" i="2"/>
  <c r="D5" i="2" s="1"/>
  <c r="U13" i="1"/>
  <c r="U14" i="1"/>
  <c r="U15" i="1"/>
  <c r="U16" i="1"/>
  <c r="U19" i="1" s="1"/>
  <c r="U21" i="1" s="1"/>
  <c r="U17" i="1"/>
  <c r="U18" i="1"/>
  <c r="U23" i="1"/>
  <c r="U24" i="1"/>
  <c r="U25" i="1"/>
  <c r="U26" i="1"/>
  <c r="U29" i="1" s="1"/>
  <c r="U31" i="1" s="1"/>
  <c r="U27" i="1"/>
  <c r="U28" i="1"/>
  <c r="U33" i="1"/>
  <c r="U34" i="1"/>
  <c r="U35" i="1"/>
  <c r="U36" i="1"/>
  <c r="U39" i="1" s="1"/>
  <c r="U41" i="1" s="1"/>
  <c r="U37" i="1"/>
  <c r="U38" i="1"/>
  <c r="U43" i="1"/>
  <c r="U44" i="1"/>
  <c r="U45" i="1"/>
  <c r="U46" i="1"/>
  <c r="U49" i="1" s="1"/>
  <c r="U51" i="1" s="1"/>
  <c r="U47" i="1"/>
  <c r="U48" i="1"/>
  <c r="U53" i="1"/>
  <c r="U54" i="1"/>
  <c r="U55" i="1"/>
  <c r="U56" i="1"/>
  <c r="U59" i="1" s="1"/>
  <c r="U61" i="1" s="1"/>
  <c r="U57" i="1"/>
  <c r="U58" i="1"/>
  <c r="U63" i="1"/>
  <c r="U64" i="1"/>
  <c r="U65" i="1"/>
  <c r="U66" i="1"/>
  <c r="U69" i="1" s="1"/>
  <c r="U71" i="1" s="1"/>
  <c r="U67" i="1"/>
  <c r="U68" i="1"/>
  <c r="U73" i="1"/>
  <c r="U74" i="1"/>
  <c r="U75" i="1"/>
  <c r="U76" i="1"/>
  <c r="U79" i="1" s="1"/>
  <c r="U81" i="1" s="1"/>
  <c r="U77" i="1"/>
  <c r="U78" i="1"/>
  <c r="U83" i="1"/>
  <c r="U84" i="1"/>
  <c r="U85" i="1"/>
  <c r="U86" i="1"/>
  <c r="U89" i="1" s="1"/>
  <c r="U91" i="1" s="1"/>
  <c r="U87" i="1"/>
  <c r="U88" i="1"/>
  <c r="U93" i="1"/>
  <c r="U94" i="1"/>
  <c r="U95" i="1"/>
  <c r="U96" i="1"/>
  <c r="U99" i="1" s="1"/>
  <c r="U101" i="1" s="1"/>
  <c r="U97" i="1"/>
  <c r="U98" i="1"/>
  <c r="U104" i="1"/>
  <c r="U105" i="1"/>
  <c r="U106" i="1"/>
  <c r="U109" i="1" s="1"/>
  <c r="U111" i="1" s="1"/>
  <c r="U107" i="1"/>
  <c r="U108" i="1"/>
  <c r="U113" i="1"/>
  <c r="U118" i="1" s="1"/>
  <c r="U120" i="1" s="1"/>
  <c r="U114" i="1"/>
  <c r="U115" i="1"/>
  <c r="U116" i="1"/>
  <c r="U117" i="1"/>
  <c r="U122" i="1"/>
  <c r="U123" i="1"/>
  <c r="U124" i="1"/>
  <c r="U125" i="1"/>
  <c r="U126" i="1"/>
  <c r="U127" i="1"/>
  <c r="U129" i="1" s="1"/>
  <c r="U131" i="1"/>
  <c r="U132" i="1"/>
  <c r="U133" i="1"/>
  <c r="U136" i="1" s="1"/>
  <c r="U138" i="1" s="1"/>
  <c r="U134" i="1"/>
  <c r="U135" i="1"/>
  <c r="U140" i="1"/>
  <c r="U141" i="1"/>
  <c r="U142" i="1"/>
  <c r="U145" i="1" s="1"/>
  <c r="U147" i="1" s="1"/>
  <c r="U143" i="1"/>
  <c r="U144" i="1"/>
  <c r="U149" i="1"/>
  <c r="U154" i="1" s="1"/>
  <c r="U156" i="1" s="1"/>
  <c r="U150" i="1"/>
  <c r="U151" i="1"/>
  <c r="U152" i="1"/>
  <c r="U153" i="1"/>
  <c r="U159" i="1"/>
  <c r="U162" i="1" s="1"/>
  <c r="U164" i="1" s="1"/>
  <c r="U160" i="1"/>
  <c r="U161" i="1"/>
  <c r="U166" i="1"/>
  <c r="U169" i="1" s="1"/>
  <c r="U171" i="1" s="1"/>
  <c r="U167" i="1"/>
  <c r="U168" i="1"/>
  <c r="U173" i="1"/>
  <c r="U174" i="1"/>
  <c r="U175" i="1"/>
  <c r="U176" i="1"/>
  <c r="U178" i="1" s="1"/>
  <c r="U180" i="1"/>
  <c r="U181" i="1"/>
  <c r="U182" i="1"/>
  <c r="U184" i="1" s="1"/>
  <c r="U186" i="1"/>
  <c r="U187" i="1"/>
  <c r="U188" i="1"/>
  <c r="U190" i="1" s="1"/>
  <c r="U192" i="1"/>
  <c r="U193" i="1"/>
  <c r="U194" i="1"/>
  <c r="U196" i="1" s="1"/>
  <c r="U198" i="1"/>
  <c r="U199" i="1"/>
  <c r="U200" i="1"/>
  <c r="U202" i="1" s="1"/>
  <c r="U204" i="1"/>
  <c r="U205" i="1"/>
  <c r="U206" i="1"/>
  <c r="U208" i="1" s="1"/>
  <c r="S210" i="1"/>
  <c r="U210" i="1"/>
  <c r="U211" i="1"/>
  <c r="U213" i="1" s="1"/>
  <c r="S215" i="1"/>
  <c r="U215" i="1"/>
  <c r="U216" i="1"/>
  <c r="U218" i="1" s="1"/>
  <c r="S219" i="1"/>
  <c r="U219" i="1"/>
  <c r="U220" i="1"/>
  <c r="U222" i="1" s="1"/>
  <c r="S223" i="1"/>
  <c r="U223" i="1"/>
  <c r="U224" i="1"/>
  <c r="U226" i="1" s="1"/>
  <c r="S227" i="1"/>
  <c r="U227" i="1"/>
  <c r="U228" i="1"/>
  <c r="U230" i="1" s="1"/>
  <c r="U236" i="1"/>
  <c r="U242" i="1" s="1"/>
  <c r="U244" i="1" s="1"/>
  <c r="U237" i="1"/>
  <c r="U238" i="1"/>
  <c r="U239" i="1"/>
  <c r="U240" i="1"/>
  <c r="U241" i="1"/>
  <c r="U246" i="1"/>
  <c r="U252" i="1" s="1"/>
  <c r="U254" i="1" s="1"/>
  <c r="U247" i="1"/>
  <c r="U248" i="1"/>
  <c r="U249" i="1"/>
  <c r="U250" i="1"/>
  <c r="U251" i="1"/>
  <c r="U256" i="1"/>
  <c r="U262" i="1" s="1"/>
  <c r="U264" i="1" s="1"/>
  <c r="U257" i="1"/>
  <c r="U258" i="1"/>
  <c r="U259" i="1"/>
  <c r="U260" i="1"/>
  <c r="U261" i="1"/>
  <c r="U276" i="1"/>
  <c r="U282" i="1" s="1"/>
  <c r="U284" i="1" s="1"/>
  <c r="U277" i="1"/>
  <c r="U278" i="1"/>
  <c r="U279" i="1"/>
  <c r="U280" i="1"/>
  <c r="U281" i="1"/>
  <c r="U286" i="1"/>
  <c r="U292" i="1" s="1"/>
  <c r="U294" i="1" s="1"/>
  <c r="U287" i="1"/>
  <c r="U288" i="1"/>
  <c r="U289" i="1"/>
  <c r="U290" i="1"/>
  <c r="U291" i="1"/>
  <c r="U296" i="1"/>
  <c r="U302" i="1" s="1"/>
  <c r="U304" i="1" s="1"/>
  <c r="U297" i="1"/>
  <c r="U298" i="1"/>
  <c r="U299" i="1"/>
  <c r="U300" i="1"/>
  <c r="U301" i="1"/>
  <c r="U306" i="1"/>
  <c r="U312" i="1" s="1"/>
  <c r="U314" i="1" s="1"/>
  <c r="U307" i="1"/>
  <c r="U308" i="1"/>
  <c r="U309" i="1"/>
  <c r="U310" i="1"/>
  <c r="U311" i="1"/>
  <c r="U316" i="1"/>
  <c r="U322" i="1" s="1"/>
  <c r="U324" i="1" s="1"/>
  <c r="U317" i="1"/>
  <c r="U318" i="1"/>
  <c r="U319" i="1"/>
  <c r="U320" i="1"/>
  <c r="U321" i="1"/>
  <c r="U326" i="1"/>
  <c r="U327" i="1"/>
  <c r="U328" i="1"/>
  <c r="U329" i="1"/>
  <c r="U330" i="1"/>
  <c r="U331" i="1"/>
  <c r="U333" i="1" s="1"/>
  <c r="U335" i="1"/>
  <c r="U336" i="1"/>
  <c r="U337" i="1"/>
  <c r="U340" i="1" s="1"/>
  <c r="U342" i="1" s="1"/>
  <c r="U338" i="1"/>
  <c r="U339" i="1"/>
  <c r="U344" i="1"/>
  <c r="U345" i="1"/>
  <c r="U346" i="1"/>
  <c r="U349" i="1" s="1"/>
  <c r="U351" i="1" s="1"/>
  <c r="U347" i="1"/>
  <c r="U348" i="1"/>
  <c r="U353" i="1"/>
  <c r="U358" i="1" s="1"/>
  <c r="U360" i="1" s="1"/>
  <c r="U354" i="1"/>
  <c r="U355" i="1"/>
  <c r="U356" i="1"/>
  <c r="U357" i="1"/>
  <c r="U362" i="1"/>
  <c r="U363" i="1"/>
  <c r="U364" i="1"/>
  <c r="U365" i="1"/>
  <c r="U366" i="1"/>
  <c r="U367" i="1"/>
  <c r="U369" i="1" s="1"/>
  <c r="U371" i="1"/>
  <c r="U372" i="1"/>
  <c r="U373" i="1"/>
  <c r="U376" i="1" s="1"/>
  <c r="U378" i="1" s="1"/>
  <c r="U374" i="1"/>
  <c r="U375" i="1"/>
  <c r="U380" i="1"/>
  <c r="U381" i="1"/>
  <c r="U382" i="1"/>
  <c r="U384" i="1"/>
  <c r="S386" i="1"/>
  <c r="U386" i="1"/>
  <c r="U387" i="1"/>
  <c r="U389" i="1"/>
  <c r="S390" i="1"/>
  <c r="U390" i="1"/>
  <c r="U391" i="1"/>
  <c r="U393" i="1"/>
  <c r="S394" i="1"/>
  <c r="U394" i="1"/>
  <c r="U395" i="1"/>
  <c r="U397" i="1"/>
  <c r="U398" i="1" l="1"/>
  <c r="U232" i="1"/>
  <c r="D6" i="2"/>
  <c r="U401" i="1" l="1"/>
  <c r="U404" i="1" s="1"/>
  <c r="U405" i="1" s="1"/>
</calcChain>
</file>

<file path=xl/sharedStrings.xml><?xml version="1.0" encoding="utf-8"?>
<sst xmlns="http://schemas.openxmlformats.org/spreadsheetml/2006/main" count="397" uniqueCount="189">
  <si>
    <t>Schedule D</t>
  </si>
  <si>
    <t>Test Year/ Annualized/ Proposed Revenues</t>
  </si>
  <si>
    <t>% Increase</t>
  </si>
  <si>
    <t>in Rates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</si>
  <si>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</si>
  <si>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</si>
  <si>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</si>
  <si>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</si>
  <si>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</si>
  <si>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</si>
  <si>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</si>
  <si>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</si>
  <si>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</si>
  <si>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</si>
  <si>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</si>
  <si>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</si>
  <si>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Line No.</t>
  </si>
  <si>
    <t>Actual Gallons Consumed (000's)</t>
  </si>
  <si>
    <t xml:space="preserve"># of Bills </t>
  </si>
  <si>
    <t xml:space="preserve">Billable Gallons (000's) </t>
  </si>
  <si>
    <t>Rates per 1,000 gal.</t>
  </si>
  <si>
    <t xml:space="preserve">Revenue </t>
  </si>
  <si>
    <t>Test Year Revenue</t>
  </si>
  <si>
    <t>Total # of Bills</t>
  </si>
  <si>
    <t>Total Billable Gallons  (000's)</t>
  </si>
  <si>
    <t>Proposed Rates</t>
  </si>
  <si>
    <t>Proposed Revenues</t>
  </si>
  <si>
    <t>Units</t>
  </si>
  <si>
    <t>MIDDLESBORO</t>
  </si>
  <si>
    <t xml:space="preserve">Residential 5/8" Meter </t>
  </si>
  <si>
    <t>First 1,000</t>
  </si>
  <si>
    <t>Next 9,000</t>
  </si>
  <si>
    <t>Next 15,000</t>
  </si>
  <si>
    <t>Next 25,000</t>
  </si>
  <si>
    <t>Next 50,000</t>
  </si>
  <si>
    <t>Over 100,000</t>
  </si>
  <si>
    <t xml:space="preserve">Total Residential 5/8" Meter </t>
  </si>
  <si>
    <t>Average Residential 5/8" Bill</t>
  </si>
  <si>
    <t xml:space="preserve">Commercial 5/8" Meter </t>
  </si>
  <si>
    <t xml:space="preserve">Total Commercial 5/8" Meter </t>
  </si>
  <si>
    <t>Average Commercial 5/8" Bill</t>
  </si>
  <si>
    <t xml:space="preserve">Governmental 5/8" Meter </t>
  </si>
  <si>
    <t xml:space="preserve">Total Governmental 5/8" Meter </t>
  </si>
  <si>
    <t>Average Governmental 5/8" Bill</t>
  </si>
  <si>
    <t xml:space="preserve">Industrial 5/8" Meter </t>
  </si>
  <si>
    <t xml:space="preserve">Total Industrial 5/8" Meter </t>
  </si>
  <si>
    <t>Average Industrial 5/8" Bill</t>
  </si>
  <si>
    <t xml:space="preserve">Commercial 3/4" Meter </t>
  </si>
  <si>
    <t xml:space="preserve">Total Commercial 3/4" Meter </t>
  </si>
  <si>
    <t>Average Commercial 3/4" Bill</t>
  </si>
  <si>
    <t xml:space="preserve">Commercial 1" Meter </t>
  </si>
  <si>
    <t>First 6,000</t>
  </si>
  <si>
    <t>Next 4,000</t>
  </si>
  <si>
    <t xml:space="preserve">Total Commercial 1" Meter </t>
  </si>
  <si>
    <t>Average Commercial 1" Bill</t>
  </si>
  <si>
    <t xml:space="preserve">Residential 1" Meter </t>
  </si>
  <si>
    <t xml:space="preserve">Total Residential 1" Meter </t>
  </si>
  <si>
    <t>Average Residential 1" Bill</t>
  </si>
  <si>
    <t xml:space="preserve">Governmental 1" Meter </t>
  </si>
  <si>
    <t xml:space="preserve">Total Governmental 1" Meter </t>
  </si>
  <si>
    <t>Average Governmental 1" Bill</t>
  </si>
  <si>
    <t xml:space="preserve">Industrial 1" Meter </t>
  </si>
  <si>
    <t xml:space="preserve">Total Industrial 1" Meter </t>
  </si>
  <si>
    <t>Average Industrial 1" Bill</t>
  </si>
  <si>
    <t xml:space="preserve">Commercial 1.5" Meter </t>
  </si>
  <si>
    <t>First 13,000</t>
  </si>
  <si>
    <t>Next 12,000</t>
  </si>
  <si>
    <t xml:space="preserve">Total Commercial 1.5" Meter </t>
  </si>
  <si>
    <t>Average Commercial 1.5" Bill</t>
  </si>
  <si>
    <t xml:space="preserve">Governmental 1.5" Meter </t>
  </si>
  <si>
    <t xml:space="preserve">Total Governmental 1.5" Meter </t>
  </si>
  <si>
    <t>Average Governmental 1.5" Bill</t>
  </si>
  <si>
    <t xml:space="preserve">Industrial 1.5" Meter </t>
  </si>
  <si>
    <t xml:space="preserve">Total Industrial 1.5" Meter </t>
  </si>
  <si>
    <t>Average Industrial 1.5" Bill</t>
  </si>
  <si>
    <t xml:space="preserve">Commercial 2" Meter </t>
  </si>
  <si>
    <t>First 21,400</t>
  </si>
  <si>
    <t>Next 3,600</t>
  </si>
  <si>
    <t xml:space="preserve">Total Commercial 2" Meter </t>
  </si>
  <si>
    <t>Average Commercial 2" Bill</t>
  </si>
  <si>
    <t xml:space="preserve">Industrial 2" Meter </t>
  </si>
  <si>
    <t xml:space="preserve">Total Industrial 2" Meter </t>
  </si>
  <si>
    <t>Average Industrial 2" Bill</t>
  </si>
  <si>
    <t xml:space="preserve">Governmental 2" Meter </t>
  </si>
  <si>
    <t xml:space="preserve">Total Governmental 2" Meter </t>
  </si>
  <si>
    <t>Average Governmental 2" Bill</t>
  </si>
  <si>
    <t xml:space="preserve">Commercial 3" Meter </t>
  </si>
  <si>
    <t>First 68,400</t>
  </si>
  <si>
    <t>Next 31,600</t>
  </si>
  <si>
    <t xml:space="preserve">Total Commercial 3" Meter </t>
  </si>
  <si>
    <t>Average Commercial 3" Bill</t>
  </si>
  <si>
    <t xml:space="preserve">Governmental 3" Meter </t>
  </si>
  <si>
    <t xml:space="preserve">Total Governmental 3" Meter </t>
  </si>
  <si>
    <t>Average Governmental 3" Bill</t>
  </si>
  <si>
    <t xml:space="preserve">Industrial 3" Meter </t>
  </si>
  <si>
    <t xml:space="preserve">Total Industrial 3" Meter </t>
  </si>
  <si>
    <t>Average Industrial 3" Bill</t>
  </si>
  <si>
    <t xml:space="preserve">Commercial 4" Meter </t>
  </si>
  <si>
    <t>First 127,500</t>
  </si>
  <si>
    <t>Over 127,500</t>
  </si>
  <si>
    <t xml:space="preserve">Total Commercial 4" Meter </t>
  </si>
  <si>
    <t>Average Commercial 4" Bill</t>
  </si>
  <si>
    <t xml:space="preserve">Governmental 4" Meter </t>
  </si>
  <si>
    <t xml:space="preserve">Total Governmental 4" Meter </t>
  </si>
  <si>
    <t>Average Governmental 4" Bill</t>
  </si>
  <si>
    <t xml:space="preserve">Industrial 4" Meter </t>
  </si>
  <si>
    <t xml:space="preserve">Total Industrial 4" Meter </t>
  </si>
  <si>
    <t>Average Industrial 4" Bill</t>
  </si>
  <si>
    <t xml:space="preserve">Commercial 6" Meter </t>
  </si>
  <si>
    <t>First 281,500</t>
  </si>
  <si>
    <t>Over 281,500</t>
  </si>
  <si>
    <t xml:space="preserve">Total Commercial 6" Meter </t>
  </si>
  <si>
    <t>Average Commercial 6" Bill</t>
  </si>
  <si>
    <t xml:space="preserve">Industrial 6" Meter </t>
  </si>
  <si>
    <t xml:space="preserve">Total Industrial 6" Meter </t>
  </si>
  <si>
    <t>Average Industrial 6" Bill</t>
  </si>
  <si>
    <t>Middlesboro Municipal Fire Protection Hydrant</t>
  </si>
  <si>
    <t>Total Middlesboro Municiple Fire Protection Hydrant</t>
  </si>
  <si>
    <t>Average Middlesboro Municiple Fire Protection Hydrant</t>
  </si>
  <si>
    <t>Middlesboro Municipal Fire Protection Sprinkler</t>
  </si>
  <si>
    <t>Total Middlesboro  Municipal Fire Protection Sprinkler</t>
  </si>
  <si>
    <t>Average Middlesboro  Municipal Fire Protection Sprinkler</t>
  </si>
  <si>
    <t>Middlesboro Municipal Fire Protection WIND</t>
  </si>
  <si>
    <t>Total Middlesboro Middlesboro Municipal Fire Protection WIND</t>
  </si>
  <si>
    <t>Average Middlesboro Municipal Fire Protection WIND</t>
  </si>
  <si>
    <t>Middlesboro City/County Special Hydrant</t>
  </si>
  <si>
    <t>Total Middlesboro City/County Special Hydrant</t>
  </si>
  <si>
    <t>Average Middlesboro City/County Special Hydrant</t>
  </si>
  <si>
    <t>Middlesboro Govt Water Fire Protection</t>
  </si>
  <si>
    <t>Total Middlesboro Govt Water Fire Protection</t>
  </si>
  <si>
    <t>Average Middlesboro Govt Water Fire Protection</t>
  </si>
  <si>
    <t>TOTAL MIDDLESBORO</t>
  </si>
  <si>
    <t>CLINTON</t>
  </si>
  <si>
    <t xml:space="preserve">Governmental  5/8" Meter </t>
  </si>
  <si>
    <t xml:space="preserve">Total Governmental  5/8" Meter </t>
  </si>
  <si>
    <t>Average Governmental  5/8" Bill</t>
  </si>
  <si>
    <t xml:space="preserve">Residential 3/4" Meter </t>
  </si>
  <si>
    <t xml:space="preserve">Total Residential 3/4" Meter </t>
  </si>
  <si>
    <t>Average Residential 3/4" Bill</t>
  </si>
  <si>
    <t xml:space="preserve">Governmental  3/4" Meter </t>
  </si>
  <si>
    <t xml:space="preserve">Total Governmental 3/4" Meter </t>
  </si>
  <si>
    <t>Average Governmental 3/4" Bill</t>
  </si>
  <si>
    <t xml:space="preserve">Total Commersial 1" Meter </t>
  </si>
  <si>
    <t xml:space="preserve">Average Commercial 1" Bill </t>
  </si>
  <si>
    <t xml:space="preserve">Multi Residential  1" Meter </t>
  </si>
  <si>
    <t xml:space="preserve">Total Multi Residential  1" Meter </t>
  </si>
  <si>
    <t>Average Multi Residential  1" Bill</t>
  </si>
  <si>
    <t xml:space="preserve">Residential 2" Meter </t>
  </si>
  <si>
    <t xml:space="preserve">Total Residential 2" Meter </t>
  </si>
  <si>
    <t>Average Residential 2" Bill</t>
  </si>
  <si>
    <t xml:space="preserve">Governmental  2" Meter </t>
  </si>
  <si>
    <t xml:space="preserve">Total Governmental  2" Meter </t>
  </si>
  <si>
    <t>Average Governmental  2" Bill</t>
  </si>
  <si>
    <t xml:space="preserve">Multi Residential  2" Meter </t>
  </si>
  <si>
    <t xml:space="preserve">Total Multi Residential  2" Meter </t>
  </si>
  <si>
    <t>Average Multi Residential  2" Bill</t>
  </si>
  <si>
    <t xml:space="preserve">Commercial  6" Meter </t>
  </si>
  <si>
    <t>First 250,000</t>
  </si>
  <si>
    <t>Next 250,000</t>
  </si>
  <si>
    <t xml:space="preserve">Total Commercial  6" Meter </t>
  </si>
  <si>
    <t>Clinton Hydrant Private</t>
  </si>
  <si>
    <t>Total Clinton Hydrant Private</t>
  </si>
  <si>
    <t>Average Clinton Hydrant Private</t>
  </si>
  <si>
    <t>Clinton Sprinkler Private</t>
  </si>
  <si>
    <t xml:space="preserve">Total Clinton  Sprinkler Private </t>
  </si>
  <si>
    <t xml:space="preserve">Average Clinton Sprinkler Private </t>
  </si>
  <si>
    <t xml:space="preserve">  Clinton Municipal Hydrant</t>
  </si>
  <si>
    <t>Total Clinton Municiple Hydrant</t>
  </si>
  <si>
    <t xml:space="preserve">Average Clinton Municiple Hydrant </t>
  </si>
  <si>
    <t>TOTAL CLINTON</t>
  </si>
  <si>
    <t>Total WSC KY</t>
  </si>
  <si>
    <t>Middlesboro</t>
  </si>
  <si>
    <t>Fixed</t>
  </si>
  <si>
    <t>Variable</t>
  </si>
  <si>
    <t>Total</t>
  </si>
  <si>
    <t>Clinton</t>
  </si>
  <si>
    <t>WSKY</t>
  </si>
  <si>
    <t>$</t>
  </si>
  <si>
    <t>%</t>
  </si>
  <si>
    <t>Test Year (Usage Adjusted)</t>
  </si>
  <si>
    <t>WATER SERVICE CORPORATION OF KENTUCKY</t>
  </si>
  <si>
    <t>Case No. 2015 - 00382</t>
  </si>
  <si>
    <t>Test Year Ended 6/30/2015</t>
  </si>
  <si>
    <t>Metered Revenue</t>
  </si>
  <si>
    <t>Gallons (1,000's)</t>
  </si>
  <si>
    <t>Cost per Kgal for Clinton is 72.64% higher than cost per Kgal for Middlesboro.</t>
  </si>
  <si>
    <t>Cost per 1,000 Gallons (Kgal)</t>
  </si>
  <si>
    <t xml:space="preserve">Although Clinton accounts for roughly 7% of WSKY's water usage, they account for 12% of all metered revenues. </t>
  </si>
  <si>
    <t>WSCK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</si>
</sst>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&quot;$&quot;#,##0.00"/>
    <numFmt numFmtId="167" formatCode="_(&quot;$&quot;* #,##0_);_(&quot;$&quot;* \(#,##0\);_(&quot;$&quot;* &quot;-&quot;??_);_(@_)"/>
    <numFmt numFmtId="168" formatCode="mmmm\ d\,\ yyyy"/>
    <numFmt numFmtId="169" formatCode="0.000%"/>
    <numFmt numFmtId="170" formatCode="_(&quot;$&quot;* #,##0.000_);_(&quot;$&quot;* \(#,##0.000\);_(&quot;$&quot;* &quot;-&quot;??_);_(@_)"/>
    <numFmt numFmtId="171" formatCode="_(* #,##0.000_);_(* \(#,##0.000\);_(* &quot;-&quot;??_);_(@_)"/>
    <numFmt numFmtId="172" formatCode="0.000000000000000%"/>
  </numFmts>
  <fonts count="15">
    <font>
      <sz val="10"/>
      <name val="Courie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9"/>
      <name val="Times New Roman"/>
      <family val="1"/>
    </font>
    <font>
      <sz val="11"/>
      <color theme="1"/>
      <name val="Georgia"/>
      <family val="2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name val="Courier"/>
    </font>
    <font>
      <b/>
      <sz val="9"/>
      <color theme="1"/>
      <name val="Times New Roman"/>
      <family val="1"/>
    </font>
    <font>
      <sz val="9"/>
      <name val="Geneva"/>
    </font>
    <font>
      <sz val="10"/>
      <name val="Arial"/>
      <family val="2"/>
    </font>
    <font>
      <b/>
      <sz val="9"/>
      <color rgb="FFFF0000"/>
      <name val="Times New Roman"/>
      <family val="1"/>
    </font>
    <font>
      <sz val="10"/>
      <color indexed="8"/>
      <name val="Arial"/>
      <family val="2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/>
    <xf numFmtId="164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9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10" fillId="0" borderId="0"/>
    <xf numFmtId="0" fontId="12" fillId="0" borderId="0">
      <alignment vertical="top"/>
    </xf>
  </cellStyleXfs>
  <cellXfs count="153">
    <xf numFmtId="0" fontId="0" fillId="0" borderId="0" xfId="0"/>
    <xf numFmtId="37" fontId="3" fillId="0" borderId="0" xfId="4" applyNumberFormat="1" applyFont="1" applyFill="1"/>
    <xf numFmtId="164" fontId="5" fillId="0" borderId="0" xfId="5" applyFont="1" applyFill="1"/>
    <xf numFmtId="165" fontId="6" fillId="0" borderId="0" xfId="6" applyNumberFormat="1" applyFont="1" applyFill="1"/>
    <xf numFmtId="164" fontId="6" fillId="0" borderId="0" xfId="4" applyFont="1" applyFill="1"/>
    <xf numFmtId="166" fontId="6" fillId="0" borderId="0" xfId="6" applyNumberFormat="1" applyFont="1" applyFill="1"/>
    <xf numFmtId="167" fontId="6" fillId="0" borderId="0" xfId="6" applyNumberFormat="1" applyFont="1" applyFill="1"/>
    <xf numFmtId="165" fontId="6" fillId="0" borderId="0" xfId="1" applyNumberFormat="1" applyFont="1" applyFill="1"/>
    <xf numFmtId="165" fontId="5" fillId="0" borderId="0" xfId="1" applyNumberFormat="1" applyFont="1" applyFill="1"/>
    <xf numFmtId="166" fontId="3" fillId="0" borderId="0" xfId="4" applyNumberFormat="1" applyFont="1" applyFill="1" applyBorder="1" applyAlignment="1">
      <alignment horizontal="right"/>
    </xf>
    <xf numFmtId="167" fontId="3" fillId="0" borderId="0" xfId="4" applyNumberFormat="1" applyFont="1" applyFill="1" applyAlignment="1">
      <alignment horizontal="right"/>
    </xf>
    <xf numFmtId="0" fontId="3" fillId="0" borderId="0" xfId="4" applyNumberFormat="1" applyFont="1" applyFill="1" applyAlignment="1">
      <alignment horizontal="center"/>
    </xf>
    <xf numFmtId="164" fontId="3" fillId="0" borderId="0" xfId="4" applyFont="1" applyFill="1"/>
    <xf numFmtId="166" fontId="6" fillId="0" borderId="0" xfId="6" applyNumberFormat="1" applyFont="1" applyFill="1" applyBorder="1"/>
    <xf numFmtId="167" fontId="6" fillId="0" borderId="0" xfId="4" applyNumberFormat="1" applyFont="1" applyFill="1"/>
    <xf numFmtId="0" fontId="6" fillId="0" borderId="0" xfId="4" applyNumberFormat="1" applyFont="1" applyFill="1" applyAlignment="1">
      <alignment horizontal="center"/>
    </xf>
    <xf numFmtId="164" fontId="3" fillId="0" borderId="0" xfId="4" applyFont="1" applyFill="1" applyAlignment="1">
      <alignment horizontal="center"/>
    </xf>
    <xf numFmtId="168" fontId="3" fillId="0" borderId="0" xfId="4" applyNumberFormat="1" applyFont="1" applyFill="1" applyAlignment="1">
      <alignment horizontal="left"/>
    </xf>
    <xf numFmtId="43" fontId="6" fillId="0" borderId="0" xfId="7" applyFont="1" applyFill="1"/>
    <xf numFmtId="164" fontId="6" fillId="0" borderId="0" xfId="4" applyFont="1" applyFill="1" applyAlignment="1">
      <alignment horizontal="left"/>
    </xf>
    <xf numFmtId="169" fontId="3" fillId="0" borderId="1" xfId="8" applyNumberFormat="1" applyFont="1" applyFill="1" applyBorder="1" applyAlignment="1">
      <alignment horizontal="center"/>
    </xf>
    <xf numFmtId="164" fontId="8" fillId="0" borderId="0" xfId="5" applyFont="1" applyFill="1" applyAlignment="1">
      <alignment horizontal="center"/>
    </xf>
    <xf numFmtId="37" fontId="3" fillId="0" borderId="0" xfId="9" applyNumberFormat="1" applyFont="1" applyFill="1" applyAlignment="1">
      <alignment horizontal="center"/>
    </xf>
    <xf numFmtId="165" fontId="3" fillId="0" borderId="0" xfId="6" applyNumberFormat="1" applyFont="1" applyFill="1" applyAlignment="1">
      <alignment horizontal="center"/>
    </xf>
    <xf numFmtId="166" fontId="3" fillId="0" borderId="0" xfId="6" applyNumberFormat="1" applyFont="1" applyFill="1" applyAlignment="1">
      <alignment horizontal="center"/>
    </xf>
    <xf numFmtId="167" fontId="3" fillId="0" borderId="0" xfId="6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6" fontId="3" fillId="0" borderId="0" xfId="6" applyNumberFormat="1" applyFont="1" applyFill="1" applyBorder="1" applyAlignment="1">
      <alignment horizontal="center"/>
    </xf>
    <xf numFmtId="167" fontId="3" fillId="0" borderId="0" xfId="9" applyNumberFormat="1" applyFont="1" applyFill="1" applyAlignment="1">
      <alignment horizontal="center"/>
    </xf>
    <xf numFmtId="0" fontId="3" fillId="0" borderId="0" xfId="9" applyNumberFormat="1" applyFont="1" applyFill="1" applyAlignment="1">
      <alignment horizontal="center"/>
    </xf>
    <xf numFmtId="164" fontId="5" fillId="0" borderId="2" xfId="5" applyFont="1" applyFill="1" applyBorder="1" applyAlignment="1">
      <alignment horizontal="center"/>
    </xf>
    <xf numFmtId="37" fontId="6" fillId="0" borderId="2" xfId="9" applyNumberFormat="1" applyFont="1" applyFill="1" applyBorder="1" applyAlignment="1">
      <alignment horizontal="center"/>
    </xf>
    <xf numFmtId="165" fontId="6" fillId="0" borderId="2" xfId="6" applyNumberFormat="1" applyFont="1" applyFill="1" applyBorder="1" applyAlignment="1">
      <alignment horizontal="center" wrapText="1"/>
    </xf>
    <xf numFmtId="37" fontId="6" fillId="0" borderId="2" xfId="9" applyNumberFormat="1" applyFont="1" applyFill="1" applyBorder="1" applyAlignment="1">
      <alignment horizontal="center" wrapText="1"/>
    </xf>
    <xf numFmtId="166" fontId="6" fillId="0" borderId="2" xfId="6" applyNumberFormat="1" applyFont="1" applyFill="1" applyBorder="1" applyAlignment="1">
      <alignment horizontal="center" wrapText="1"/>
    </xf>
    <xf numFmtId="167" fontId="6" fillId="0" borderId="2" xfId="6" applyNumberFormat="1" applyFont="1" applyFill="1" applyBorder="1" applyAlignment="1">
      <alignment horizontal="center" wrapText="1"/>
    </xf>
    <xf numFmtId="165" fontId="6" fillId="0" borderId="2" xfId="1" applyNumberFormat="1" applyFont="1" applyFill="1" applyBorder="1" applyAlignment="1">
      <alignment horizontal="center" wrapText="1"/>
    </xf>
    <xf numFmtId="167" fontId="6" fillId="0" borderId="2" xfId="9" applyNumberFormat="1" applyFont="1" applyFill="1" applyBorder="1" applyAlignment="1">
      <alignment horizontal="center" wrapText="1"/>
    </xf>
    <xf numFmtId="0" fontId="6" fillId="0" borderId="0" xfId="9" applyNumberFormat="1" applyFont="1" applyFill="1" applyBorder="1" applyAlignment="1">
      <alignment horizontal="center" wrapText="1"/>
    </xf>
    <xf numFmtId="37" fontId="6" fillId="0" borderId="0" xfId="9" applyNumberFormat="1" applyFont="1" applyFill="1" applyAlignment="1">
      <alignment horizontal="center"/>
    </xf>
    <xf numFmtId="165" fontId="6" fillId="0" borderId="0" xfId="6" applyNumberFormat="1" applyFont="1" applyFill="1" applyBorder="1" applyAlignment="1">
      <alignment horizontal="center" wrapText="1"/>
    </xf>
    <xf numFmtId="37" fontId="6" fillId="0" borderId="0" xfId="9" applyNumberFormat="1" applyFont="1" applyFill="1" applyBorder="1" applyAlignment="1">
      <alignment horizontal="center" wrapText="1"/>
    </xf>
    <xf numFmtId="166" fontId="6" fillId="2" borderId="0" xfId="6" applyNumberFormat="1" applyFont="1" applyFill="1" applyBorder="1" applyAlignment="1">
      <alignment horizontal="center" wrapText="1"/>
    </xf>
    <xf numFmtId="167" fontId="6" fillId="0" borderId="0" xfId="6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center" wrapText="1"/>
    </xf>
    <xf numFmtId="166" fontId="6" fillId="0" borderId="0" xfId="6" applyNumberFormat="1" applyFont="1" applyFill="1" applyBorder="1" applyAlignment="1">
      <alignment horizontal="center" wrapText="1"/>
    </xf>
    <xf numFmtId="167" fontId="6" fillId="0" borderId="0" xfId="9" applyNumberFormat="1" applyFont="1" applyFill="1" applyBorder="1" applyAlignment="1">
      <alignment horizontal="center" wrapText="1"/>
    </xf>
    <xf numFmtId="39" fontId="3" fillId="0" borderId="0" xfId="9" applyNumberFormat="1" applyFont="1" applyFill="1" applyAlignment="1">
      <alignment horizontal="center"/>
    </xf>
    <xf numFmtId="165" fontId="3" fillId="0" borderId="0" xfId="6" applyNumberFormat="1" applyFont="1" applyFill="1" applyAlignment="1"/>
    <xf numFmtId="39" fontId="3" fillId="0" borderId="0" xfId="9" applyNumberFormat="1" applyFont="1" applyFill="1" applyAlignment="1"/>
    <xf numFmtId="166" fontId="3" fillId="2" borderId="0" xfId="6" applyNumberFormat="1" applyFont="1" applyFill="1" applyAlignment="1"/>
    <xf numFmtId="167" fontId="3" fillId="0" borderId="0" xfId="6" applyNumberFormat="1" applyFont="1" applyFill="1" applyAlignment="1"/>
    <xf numFmtId="165" fontId="3" fillId="0" borderId="0" xfId="10" applyNumberFormat="1" applyFont="1" applyFill="1" applyAlignment="1"/>
    <xf numFmtId="166" fontId="3" fillId="0" borderId="0" xfId="6" applyNumberFormat="1" applyFont="1" applyFill="1" applyBorder="1" applyAlignment="1"/>
    <xf numFmtId="167" fontId="3" fillId="0" borderId="0" xfId="9" applyNumberFormat="1" applyFont="1" applyFill="1" applyAlignment="1"/>
    <xf numFmtId="39" fontId="3" fillId="0" borderId="0" xfId="9" applyNumberFormat="1" applyFont="1" applyFill="1"/>
    <xf numFmtId="165" fontId="3" fillId="0" borderId="0" xfId="6" quotePrefix="1" applyNumberFormat="1" applyFont="1" applyFill="1" applyAlignment="1"/>
    <xf numFmtId="44" fontId="3" fillId="0" borderId="0" xfId="11" quotePrefix="1" applyFont="1" applyFill="1" applyAlignment="1"/>
    <xf numFmtId="39" fontId="6" fillId="0" borderId="0" xfId="9" applyNumberFormat="1" applyFont="1" applyFill="1"/>
    <xf numFmtId="165" fontId="6" fillId="0" borderId="0" xfId="6" applyNumberFormat="1" applyFont="1" applyFill="1" applyAlignment="1"/>
    <xf numFmtId="165" fontId="6" fillId="0" borderId="0" xfId="7" applyNumberFormat="1" applyFont="1" applyFill="1" applyAlignment="1"/>
    <xf numFmtId="166" fontId="6" fillId="2" borderId="0" xfId="6" applyNumberFormat="1" applyFont="1" applyFill="1" applyAlignment="1"/>
    <xf numFmtId="167" fontId="6" fillId="0" borderId="0" xfId="6" applyNumberFormat="1" applyFont="1" applyFill="1" applyAlignment="1"/>
    <xf numFmtId="165" fontId="6" fillId="0" borderId="0" xfId="10" applyNumberFormat="1" applyFont="1" applyFill="1" applyAlignment="1"/>
    <xf numFmtId="166" fontId="6" fillId="0" borderId="0" xfId="6" applyNumberFormat="1" applyFont="1" applyFill="1" applyBorder="1" applyAlignment="1"/>
    <xf numFmtId="167" fontId="6" fillId="0" borderId="0" xfId="7" applyNumberFormat="1" applyFont="1" applyFill="1" applyAlignment="1"/>
    <xf numFmtId="0" fontId="6" fillId="0" borderId="0" xfId="7" applyNumberFormat="1" applyFont="1" applyFill="1" applyAlignment="1">
      <alignment horizontal="center"/>
    </xf>
    <xf numFmtId="164" fontId="6" fillId="0" borderId="0" xfId="9" applyNumberFormat="1" applyFont="1" applyFill="1" applyAlignment="1">
      <alignment horizontal="left" indent="1"/>
    </xf>
    <xf numFmtId="165" fontId="6" fillId="0" borderId="0" xfId="7" quotePrefix="1" applyNumberFormat="1" applyFont="1" applyFill="1" applyAlignment="1"/>
    <xf numFmtId="165" fontId="5" fillId="0" borderId="0" xfId="6" applyNumberFormat="1" applyFont="1" applyFill="1"/>
    <xf numFmtId="44" fontId="6" fillId="2" borderId="0" xfId="11" applyNumberFormat="1" applyFont="1" applyFill="1" applyAlignment="1"/>
    <xf numFmtId="44" fontId="6" fillId="0" borderId="0" xfId="11" applyFont="1" applyFill="1" applyBorder="1" applyAlignment="1"/>
    <xf numFmtId="167" fontId="6" fillId="0" borderId="0" xfId="12" applyNumberFormat="1" applyFont="1" applyFill="1" applyAlignment="1"/>
    <xf numFmtId="0" fontId="6" fillId="0" borderId="0" xfId="12" applyNumberFormat="1" applyFont="1" applyFill="1" applyAlignment="1">
      <alignment horizontal="center"/>
    </xf>
    <xf numFmtId="44" fontId="0" fillId="0" borderId="0" xfId="0" applyNumberFormat="1"/>
    <xf numFmtId="170" fontId="6" fillId="0" borderId="0" xfId="11" applyNumberFormat="1" applyFont="1" applyFill="1" applyBorder="1" applyAlignment="1"/>
    <xf numFmtId="10" fontId="0" fillId="0" borderId="0" xfId="3" applyNumberFormat="1" applyFont="1"/>
    <xf numFmtId="167" fontId="0" fillId="0" borderId="0" xfId="0" applyNumberFormat="1"/>
    <xf numFmtId="164" fontId="3" fillId="0" borderId="0" xfId="9" applyNumberFormat="1" applyFont="1" applyFill="1" applyAlignment="1">
      <alignment horizontal="left" indent="2"/>
    </xf>
    <xf numFmtId="37" fontId="3" fillId="0" borderId="3" xfId="6" applyNumberFormat="1" applyFont="1" applyFill="1" applyBorder="1" applyAlignment="1"/>
    <xf numFmtId="165" fontId="3" fillId="0" borderId="0" xfId="7" applyNumberFormat="1" applyFont="1" applyFill="1" applyAlignment="1"/>
    <xf numFmtId="167" fontId="3" fillId="0" borderId="3" xfId="6" applyNumberFormat="1" applyFont="1" applyFill="1" applyBorder="1" applyAlignment="1"/>
    <xf numFmtId="0" fontId="3" fillId="0" borderId="0" xfId="6" applyNumberFormat="1" applyFont="1" applyFill="1" applyBorder="1" applyAlignment="1">
      <alignment horizontal="center"/>
    </xf>
    <xf numFmtId="165" fontId="6" fillId="0" borderId="0" xfId="6" quotePrefix="1" applyNumberFormat="1" applyFont="1" applyFill="1" applyAlignment="1"/>
    <xf numFmtId="167" fontId="6" fillId="0" borderId="0" xfId="9" applyNumberFormat="1" applyFont="1" applyFill="1" applyAlignment="1"/>
    <xf numFmtId="0" fontId="6" fillId="0" borderId="0" xfId="9" applyNumberFormat="1" applyFont="1" applyFill="1" applyAlignment="1">
      <alignment horizontal="center"/>
    </xf>
    <xf numFmtId="164" fontId="3" fillId="0" borderId="0" xfId="9" applyNumberFormat="1" applyFont="1" applyFill="1" applyAlignment="1">
      <alignment horizontal="left" indent="3"/>
    </xf>
    <xf numFmtId="44" fontId="3" fillId="0" borderId="3" xfId="12" applyNumberFormat="1" applyFont="1" applyFill="1" applyBorder="1" applyAlignment="1"/>
    <xf numFmtId="0" fontId="3" fillId="0" borderId="0" xfId="12" applyNumberFormat="1" applyFont="1" applyFill="1" applyBorder="1" applyAlignment="1">
      <alignment horizontal="center"/>
    </xf>
    <xf numFmtId="44" fontId="6" fillId="0" borderId="0" xfId="6" applyNumberFormat="1" applyFont="1" applyFill="1" applyAlignment="1"/>
    <xf numFmtId="165" fontId="3" fillId="0" borderId="3" xfId="6" applyNumberFormat="1" applyFont="1" applyFill="1" applyBorder="1" applyAlignment="1"/>
    <xf numFmtId="42" fontId="3" fillId="0" borderId="3" xfId="6" applyNumberFormat="1" applyFont="1" applyFill="1" applyBorder="1" applyAlignment="1"/>
    <xf numFmtId="166" fontId="6" fillId="2" borderId="0" xfId="5" applyNumberFormat="1" applyFont="1" applyFill="1"/>
    <xf numFmtId="167" fontId="3" fillId="0" borderId="0" xfId="12" applyNumberFormat="1" applyFont="1" applyFill="1" applyBorder="1" applyAlignment="1"/>
    <xf numFmtId="165" fontId="6" fillId="0" borderId="3" xfId="10" applyNumberFormat="1" applyFont="1" applyFill="1" applyBorder="1" applyAlignment="1"/>
    <xf numFmtId="0" fontId="6" fillId="0" borderId="0" xfId="10" applyNumberFormat="1" applyFont="1" applyFill="1" applyBorder="1" applyAlignment="1">
      <alignment horizontal="center"/>
    </xf>
    <xf numFmtId="165" fontId="3" fillId="0" borderId="3" xfId="10" applyNumberFormat="1" applyFont="1" applyFill="1" applyBorder="1" applyAlignment="1"/>
    <xf numFmtId="39" fontId="6" fillId="0" borderId="0" xfId="9" applyNumberFormat="1" applyFont="1" applyFill="1" applyAlignment="1">
      <alignment horizontal="left" indent="1"/>
    </xf>
    <xf numFmtId="0" fontId="6" fillId="0" borderId="0" xfId="13" applyNumberFormat="1" applyFont="1" applyFill="1"/>
    <xf numFmtId="44" fontId="3" fillId="0" borderId="0" xfId="11" applyFont="1" applyFill="1" applyBorder="1" applyAlignment="1"/>
    <xf numFmtId="0" fontId="3" fillId="0" borderId="0" xfId="11" applyNumberFormat="1" applyFont="1" applyFill="1" applyBorder="1" applyAlignment="1">
      <alignment horizontal="center"/>
    </xf>
    <xf numFmtId="44" fontId="3" fillId="0" borderId="0" xfId="12" applyNumberFormat="1" applyFont="1" applyFill="1" applyBorder="1" applyAlignment="1"/>
    <xf numFmtId="165" fontId="3" fillId="0" borderId="3" xfId="6" quotePrefix="1" applyNumberFormat="1" applyFont="1" applyFill="1" applyBorder="1" applyAlignment="1"/>
    <xf numFmtId="42" fontId="3" fillId="0" borderId="3" xfId="6" quotePrefix="1" applyNumberFormat="1" applyFont="1" applyFill="1" applyBorder="1" applyAlignment="1"/>
    <xf numFmtId="0" fontId="3" fillId="0" borderId="0" xfId="6" quotePrefix="1" applyNumberFormat="1" applyFont="1" applyFill="1" applyBorder="1" applyAlignment="1">
      <alignment horizontal="center"/>
    </xf>
    <xf numFmtId="164" fontId="11" fillId="0" borderId="0" xfId="9" applyNumberFormat="1" applyFont="1" applyFill="1" applyBorder="1" applyAlignment="1">
      <alignment horizontal="center"/>
    </xf>
    <xf numFmtId="165" fontId="6" fillId="0" borderId="0" xfId="6" quotePrefix="1" applyNumberFormat="1" applyFont="1" applyFill="1" applyBorder="1" applyAlignment="1"/>
    <xf numFmtId="165" fontId="6" fillId="0" borderId="0" xfId="6" applyNumberFormat="1" applyFont="1" applyFill="1" applyBorder="1" applyAlignment="1"/>
    <xf numFmtId="166" fontId="6" fillId="2" borderId="0" xfId="6" applyNumberFormat="1" applyFont="1" applyFill="1" applyBorder="1" applyAlignment="1"/>
    <xf numFmtId="167" fontId="6" fillId="0" borderId="0" xfId="6" applyNumberFormat="1" applyFont="1" applyFill="1" applyBorder="1" applyAlignment="1"/>
    <xf numFmtId="43" fontId="6" fillId="0" borderId="0" xfId="10" applyNumberFormat="1" applyFont="1" applyFill="1" applyAlignment="1"/>
    <xf numFmtId="165" fontId="6" fillId="0" borderId="0" xfId="10" applyNumberFormat="1" applyFont="1" applyFill="1" applyBorder="1" applyAlignment="1"/>
    <xf numFmtId="167" fontId="6" fillId="0" borderId="0" xfId="7" applyNumberFormat="1" applyFont="1" applyFill="1" applyBorder="1" applyAlignment="1"/>
    <xf numFmtId="0" fontId="6" fillId="0" borderId="0" xfId="7" applyNumberFormat="1" applyFont="1" applyFill="1" applyBorder="1" applyAlignment="1">
      <alignment horizontal="center"/>
    </xf>
    <xf numFmtId="167" fontId="5" fillId="0" borderId="0" xfId="6" applyNumberFormat="1" applyFont="1" applyFill="1"/>
    <xf numFmtId="165" fontId="5" fillId="0" borderId="0" xfId="10" applyNumberFormat="1" applyFont="1" applyFill="1"/>
    <xf numFmtId="166" fontId="5" fillId="0" borderId="0" xfId="6" applyNumberFormat="1" applyFont="1" applyFill="1" applyBorder="1"/>
    <xf numFmtId="44" fontId="6" fillId="2" borderId="0" xfId="11" applyNumberFormat="1" applyFont="1" applyFill="1"/>
    <xf numFmtId="165" fontId="6" fillId="0" borderId="0" xfId="7" quotePrefix="1" applyNumberFormat="1" applyFont="1" applyFill="1" applyBorder="1" applyAlignment="1"/>
    <xf numFmtId="39" fontId="3" fillId="0" borderId="0" xfId="9" applyNumberFormat="1" applyFont="1" applyFill="1" applyAlignment="1">
      <alignment horizontal="left" indent="2"/>
    </xf>
    <xf numFmtId="39" fontId="3" fillId="0" borderId="0" xfId="9" applyNumberFormat="1" applyFont="1" applyFill="1" applyAlignment="1">
      <alignment horizontal="left" indent="3"/>
    </xf>
    <xf numFmtId="166" fontId="6" fillId="2" borderId="0" xfId="6" applyNumberFormat="1" applyFont="1" applyFill="1"/>
    <xf numFmtId="39" fontId="3" fillId="0" borderId="0" xfId="9" applyNumberFormat="1" applyFont="1" applyFill="1" applyAlignment="1">
      <alignment horizontal="left" indent="4"/>
    </xf>
    <xf numFmtId="39" fontId="3" fillId="0" borderId="0" xfId="9" applyNumberFormat="1" applyFont="1" applyFill="1" applyBorder="1" applyAlignment="1">
      <alignment horizontal="left" indent="3"/>
    </xf>
    <xf numFmtId="8" fontId="6" fillId="2" borderId="0" xfId="11" applyNumberFormat="1" applyFont="1" applyFill="1" applyAlignment="1"/>
    <xf numFmtId="8" fontId="6" fillId="2" borderId="0" xfId="10" applyNumberFormat="1" applyFont="1" applyFill="1" applyAlignment="1"/>
    <xf numFmtId="165" fontId="6" fillId="0" borderId="0" xfId="7" applyNumberFormat="1" applyFont="1" applyFill="1" applyBorder="1" applyAlignment="1"/>
    <xf numFmtId="0" fontId="12" fillId="0" borderId="0" xfId="14" applyFill="1">
      <alignment vertical="top"/>
    </xf>
    <xf numFmtId="164" fontId="8" fillId="0" borderId="0" xfId="5" applyFont="1" applyFill="1"/>
    <xf numFmtId="165" fontId="8" fillId="0" borderId="3" xfId="6" applyNumberFormat="1" applyFont="1" applyFill="1" applyBorder="1"/>
    <xf numFmtId="166" fontId="3" fillId="2" borderId="0" xfId="6" applyNumberFormat="1" applyFont="1" applyFill="1"/>
    <xf numFmtId="42" fontId="8" fillId="0" borderId="3" xfId="6" applyNumberFormat="1" applyFont="1" applyFill="1" applyBorder="1"/>
    <xf numFmtId="166" fontId="8" fillId="0" borderId="0" xfId="6" applyNumberFormat="1" applyFont="1" applyFill="1" applyBorder="1"/>
    <xf numFmtId="0" fontId="8" fillId="0" borderId="0" xfId="6" applyNumberFormat="1" applyFont="1" applyFill="1" applyBorder="1" applyAlignment="1">
      <alignment horizontal="center"/>
    </xf>
    <xf numFmtId="0" fontId="10" fillId="2" borderId="0" xfId="14" applyFont="1" applyFill="1">
      <alignment vertical="top"/>
    </xf>
    <xf numFmtId="0" fontId="12" fillId="0" borderId="0" xfId="14" applyNumberFormat="1" applyFill="1" applyAlignment="1">
      <alignment horizontal="center" vertical="top"/>
    </xf>
    <xf numFmtId="171" fontId="8" fillId="0" borderId="3" xfId="6" applyNumberFormat="1" applyFont="1" applyFill="1" applyBorder="1"/>
    <xf numFmtId="167" fontId="8" fillId="0" borderId="3" xfId="11" applyNumberFormat="1" applyFont="1" applyFill="1" applyBorder="1"/>
    <xf numFmtId="0" fontId="7" fillId="0" borderId="0" xfId="0" applyFont="1"/>
    <xf numFmtId="0" fontId="5" fillId="0" borderId="0" xfId="5" applyNumberFormat="1" applyFont="1" applyFill="1" applyAlignment="1">
      <alignment horizontal="center"/>
    </xf>
    <xf numFmtId="10" fontId="5" fillId="0" borderId="0" xfId="3" applyNumberFormat="1" applyFont="1" applyFill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167" fontId="13" fillId="0" borderId="0" xfId="2" applyNumberFormat="1" applyFont="1"/>
    <xf numFmtId="165" fontId="13" fillId="0" borderId="0" xfId="1" applyNumberFormat="1" applyFont="1"/>
    <xf numFmtId="44" fontId="13" fillId="0" borderId="0" xfId="2" applyFont="1"/>
    <xf numFmtId="42" fontId="13" fillId="0" borderId="0" xfId="0" applyNumberFormat="1" applyFont="1"/>
    <xf numFmtId="10" fontId="13" fillId="0" borderId="0" xfId="3" applyNumberFormat="1" applyFont="1"/>
    <xf numFmtId="165" fontId="13" fillId="0" borderId="0" xfId="3" applyNumberFormat="1" applyFont="1"/>
    <xf numFmtId="0" fontId="14" fillId="0" borderId="0" xfId="0" applyFont="1" applyAlignment="1">
      <alignment horizontal="left"/>
    </xf>
    <xf numFmtId="172" fontId="13" fillId="0" borderId="0" xfId="0" applyNumberFormat="1" applyFont="1"/>
    <xf numFmtId="0" fontId="13" fillId="0" borderId="0" xfId="0" applyFont="1" applyAlignment="1">
      <alignment horizontal="center"/>
    </xf>
  </cellXfs>
  <cellStyles count="15">
    <cellStyle name="Comma" xfId="1" builtinId="3"/>
    <cellStyle name="Comma 2" xfId="10"/>
    <cellStyle name="Comma 4" xfId="6"/>
    <cellStyle name="Comma 4 2" xfId="7"/>
    <cellStyle name="Currency" xfId="2" builtinId="4"/>
    <cellStyle name="Currency 2 2" xfId="11"/>
    <cellStyle name="Currency 3 2" xfId="12"/>
    <cellStyle name="Normal" xfId="0" builtinId="0"/>
    <cellStyle name="Normal 2 2 2 2" xfId="13"/>
    <cellStyle name="Normal 5" xfId="5"/>
    <cellStyle name="Normal 5 2" xfId="4"/>
    <cellStyle name="Normal 9" xfId="14"/>
    <cellStyle name="Normal_075-Consumption-tye-12/00 2" xfId="9"/>
    <cellStyle name="Percent" xfId="3" builtinId="5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showGridLines="0" tabSelected="1" workbookViewId="0"/>
  </sheetViews>
  <sheetFormatPr defaultRowHeight="12.75"/>
  <cols>
    <col min="1" max="1" width="9" style="141"/>
    <col min="2" max="2" width="13.75" style="141" bestFit="1" customWidth="1"/>
    <col min="3" max="3" width="15.75" style="141" customWidth="1"/>
    <col min="4" max="4" width="12.875" style="141" customWidth="1"/>
    <col min="5" max="5" width="9" style="141"/>
    <col min="6" max="6" width="16.375" style="141" customWidth="1"/>
    <col min="7" max="7" width="12.125" style="141" customWidth="1"/>
    <col min="8" max="16384" width="9" style="141"/>
  </cols>
  <sheetData>
    <row r="2" spans="2:7">
      <c r="C2" s="152" t="s">
        <v>179</v>
      </c>
      <c r="D2" s="152"/>
      <c r="F2" s="152"/>
      <c r="G2" s="152"/>
    </row>
    <row r="3" spans="2:7">
      <c r="B3" s="143" t="s">
        <v>188</v>
      </c>
      <c r="C3" s="142" t="s">
        <v>177</v>
      </c>
      <c r="D3" s="142" t="s">
        <v>178</v>
      </c>
    </row>
    <row r="4" spans="2:7">
      <c r="B4" s="141" t="s">
        <v>172</v>
      </c>
      <c r="C4" s="144">
        <f>C9+C14</f>
        <v>929405.11</v>
      </c>
      <c r="D4" s="148">
        <f>C4/C6</f>
        <v>0.44251874213117143</v>
      </c>
    </row>
    <row r="5" spans="2:7">
      <c r="B5" s="141" t="s">
        <v>173</v>
      </c>
      <c r="C5" s="144">
        <f>C10+C15</f>
        <v>1170856.4642871874</v>
      </c>
      <c r="D5" s="148">
        <f>C5/C6</f>
        <v>0.55748125786882863</v>
      </c>
    </row>
    <row r="6" spans="2:7">
      <c r="B6" s="141" t="s">
        <v>174</v>
      </c>
      <c r="C6" s="144">
        <f>C11+C16</f>
        <v>2100261.5742871873</v>
      </c>
      <c r="D6" s="148">
        <f>D4+D5</f>
        <v>1</v>
      </c>
    </row>
    <row r="7" spans="2:7">
      <c r="C7" s="144"/>
      <c r="D7" s="148"/>
    </row>
    <row r="8" spans="2:7">
      <c r="B8" s="150" t="s">
        <v>171</v>
      </c>
      <c r="C8" s="142" t="s">
        <v>177</v>
      </c>
      <c r="D8" s="142" t="s">
        <v>178</v>
      </c>
    </row>
    <row r="9" spans="2:7">
      <c r="B9" s="141" t="s">
        <v>172</v>
      </c>
      <c r="C9" s="144">
        <f>SUM('Sch.D-Revenue'!K13+'Sch.D-Revenue'!K23+'Sch.D-Revenue'!K33+'Sch.D-Revenue'!K43+'Sch.D-Revenue'!K53+'Sch.D-Revenue'!K63+'Sch.D-Revenue'!K73+'Sch.D-Revenue'!K83+'Sch.D-Revenue'!K93+'Sch.D-Revenue'!K104+'Sch.D-Revenue'!K113+'Sch.D-Revenue'!K122+'Sch.D-Revenue'!K131+'Sch.D-Revenue'!K140+'Sch.D-Revenue'!K149+'Sch.D-Revenue'!K159+'Sch.D-Revenue'!K166+'Sch.D-Revenue'!K173+'Sch.D-Revenue'!K180+'Sch.D-Revenue'!K186+'Sch.D-Revenue'!K192+'Sch.D-Revenue'!K198+'Sch.D-Revenue'!K204)+SUM('Sch.D-Revenue'!K210+'Sch.D-Revenue'!K215+'Sch.D-Revenue'!K219+'Sch.D-Revenue'!K223+'Sch.D-Revenue'!K227)</f>
        <v>821294.94</v>
      </c>
      <c r="D9" s="148">
        <f>C9/C11</f>
        <v>0.44450768787428652</v>
      </c>
    </row>
    <row r="10" spans="2:7">
      <c r="B10" s="141" t="s">
        <v>173</v>
      </c>
      <c r="C10" s="144">
        <f>C11-C9</f>
        <v>1026355.7585235194</v>
      </c>
      <c r="D10" s="148">
        <f>C10/C11</f>
        <v>0.55549231212571348</v>
      </c>
    </row>
    <row r="11" spans="2:7">
      <c r="B11" s="141" t="s">
        <v>174</v>
      </c>
      <c r="C11" s="144">
        <f>'Sch.D-Revenue'!K232</f>
        <v>1847650.6985235193</v>
      </c>
      <c r="D11" s="148">
        <f>D9+D10</f>
        <v>1</v>
      </c>
    </row>
    <row r="13" spans="2:7">
      <c r="B13" s="143" t="s">
        <v>175</v>
      </c>
      <c r="C13" s="142" t="s">
        <v>177</v>
      </c>
      <c r="D13" s="142" t="s">
        <v>178</v>
      </c>
    </row>
    <row r="14" spans="2:7">
      <c r="B14" s="141" t="s">
        <v>172</v>
      </c>
      <c r="C14" s="144">
        <f>SUM('Sch.D-Revenue'!K236+'Sch.D-Revenue'!K246+'Sch.D-Revenue'!K256+'Sch.D-Revenue'!K266+'Sch.D-Revenue'!K276+'Sch.D-Revenue'!K286+'Sch.D-Revenue'!K296+'Sch.D-Revenue'!K306+'Sch.D-Revenue'!K316+'Sch.D-Revenue'!K326+'Sch.D-Revenue'!K335+'Sch.D-Revenue'!K353+'Sch.D-Revenue'!K362+'Sch.D-Revenue'!K371+'Sch.D-Revenue'!K386+'Sch.D-Revenue'!K390+'Sch.D-Revenue'!K394)</f>
        <v>108110.17000000003</v>
      </c>
      <c r="D14" s="148">
        <f>C14/C16</f>
        <v>0.42797116186376427</v>
      </c>
    </row>
    <row r="15" spans="2:7">
      <c r="B15" s="141" t="s">
        <v>173</v>
      </c>
      <c r="C15" s="144">
        <f>C16-C14</f>
        <v>144500.705763668</v>
      </c>
      <c r="D15" s="148">
        <f>C15/C16</f>
        <v>0.57202883813623562</v>
      </c>
    </row>
    <row r="16" spans="2:7">
      <c r="B16" s="141" t="s">
        <v>174</v>
      </c>
      <c r="C16" s="147">
        <f>'Sch.D-Revenue'!K398</f>
        <v>252610.87576366804</v>
      </c>
      <c r="D16" s="148">
        <f>D14+D15</f>
        <v>0.99999999999999989</v>
      </c>
    </row>
    <row r="17" spans="3:4">
      <c r="C17" s="142"/>
      <c r="D17" s="142"/>
    </row>
  </sheetData>
  <mergeCells count="2">
    <mergeCell ref="C2:D2"/>
    <mergeCell ref="F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showGridLines="0" workbookViewId="0">
      <selection activeCell="B17" sqref="B17"/>
    </sheetView>
  </sheetViews>
  <sheetFormatPr defaultRowHeight="12.75"/>
  <cols>
    <col min="1" max="1" width="9" style="141"/>
    <col min="2" max="2" width="13.75" style="141" bestFit="1" customWidth="1"/>
    <col min="3" max="3" width="3.625" style="141" customWidth="1"/>
    <col min="4" max="4" width="17.5" style="141" customWidth="1"/>
    <col min="5" max="5" width="3.625" style="141" customWidth="1"/>
    <col min="6" max="6" width="20.125" style="141" customWidth="1"/>
    <col min="7" max="7" width="3.625" style="141" customWidth="1"/>
    <col min="8" max="8" width="17.5" style="141" bestFit="1" customWidth="1"/>
    <col min="9" max="16384" width="9" style="141"/>
  </cols>
  <sheetData>
    <row r="2" spans="2:9">
      <c r="D2" s="152" t="s">
        <v>179</v>
      </c>
      <c r="E2" s="152"/>
      <c r="F2" s="152"/>
    </row>
    <row r="3" spans="2:9">
      <c r="B3" s="150" t="s">
        <v>176</v>
      </c>
      <c r="C3" s="142"/>
      <c r="D3" s="142" t="s">
        <v>183</v>
      </c>
      <c r="E3" s="142"/>
      <c r="F3" s="142" t="s">
        <v>184</v>
      </c>
      <c r="H3" s="143" t="s">
        <v>186</v>
      </c>
    </row>
    <row r="4" spans="2:9">
      <c r="B4" s="141" t="s">
        <v>174</v>
      </c>
      <c r="D4" s="144">
        <f>D7+D10</f>
        <v>2060324.7342871875</v>
      </c>
      <c r="E4" s="144"/>
      <c r="F4" s="149">
        <f>F7+F10</f>
        <v>410060.99258780497</v>
      </c>
      <c r="H4" s="146">
        <f>D4/F4</f>
        <v>5.0244348317183984</v>
      </c>
    </row>
    <row r="6" spans="2:9">
      <c r="B6" s="150" t="s">
        <v>171</v>
      </c>
      <c r="C6" s="143"/>
      <c r="D6" s="142"/>
      <c r="E6" s="142"/>
      <c r="F6" s="142"/>
    </row>
    <row r="7" spans="2:9">
      <c r="B7" s="141" t="s">
        <v>174</v>
      </c>
      <c r="D7" s="144">
        <f>'Sch.D-Revenue'!M232-SUM('Sch.D-Revenue'!M228+'Sch.D-Revenue'!M224+'Sch.D-Revenue'!M220+'Sch.D-Revenue'!M216+'Sch.D-Revenue'!M211)</f>
        <v>1812442.4585235193</v>
      </c>
      <c r="E7" s="144"/>
      <c r="F7" s="145">
        <f>'Sch.D-Revenue'!C232</f>
        <v>379959.65014406509</v>
      </c>
      <c r="H7" s="146">
        <f>D7/F7</f>
        <v>4.7700919238037924</v>
      </c>
    </row>
    <row r="8" spans="2:9">
      <c r="D8" s="144"/>
      <c r="E8" s="144"/>
      <c r="F8" s="145"/>
      <c r="H8" s="146"/>
    </row>
    <row r="9" spans="2:9">
      <c r="B9" s="143" t="s">
        <v>175</v>
      </c>
      <c r="C9" s="143"/>
      <c r="D9" s="142"/>
      <c r="E9" s="142"/>
      <c r="F9" s="142"/>
    </row>
    <row r="10" spans="2:9">
      <c r="B10" s="141" t="s">
        <v>174</v>
      </c>
      <c r="D10" s="147">
        <f>'Sch.D-Revenue'!M398-SUM('Sch.D-Revenue'!M395+'Sch.D-Revenue'!M391)</f>
        <v>247882.27576366803</v>
      </c>
      <c r="E10" s="147"/>
      <c r="F10" s="145">
        <f>'Sch.D-Revenue'!C398</f>
        <v>30101.342443739893</v>
      </c>
      <c r="H10" s="146">
        <f>D10/F10</f>
        <v>8.2349242804358553</v>
      </c>
      <c r="I10" s="148">
        <f>H10/H7-1</f>
        <v>0.72636595100857471</v>
      </c>
    </row>
    <row r="11" spans="2:9">
      <c r="D11" s="142"/>
      <c r="E11" s="142"/>
      <c r="F11" s="142"/>
    </row>
    <row r="12" spans="2:9">
      <c r="D12" s="148">
        <f>D10/D4</f>
        <v>0.12031223604633767</v>
      </c>
      <c r="E12" s="148"/>
      <c r="F12" s="148">
        <f>F10/F4</f>
        <v>7.3406988198943104E-2</v>
      </c>
      <c r="H12" s="151"/>
    </row>
    <row r="15" spans="2:9">
      <c r="B15" s="141" t="s">
        <v>185</v>
      </c>
    </row>
    <row r="16" spans="2:9">
      <c r="B16" s="141" t="s">
        <v>187</v>
      </c>
    </row>
  </sheetData>
  <mergeCells count="1">
    <mergeCell ref="D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5"/>
  <sheetViews>
    <sheetView view="pageBreakPreview" topLeftCell="A7" zoomScaleNormal="100" zoomScaleSheetLayoutView="100" workbookViewId="0">
      <selection activeCell="B386" sqref="B386:B397"/>
    </sheetView>
  </sheetViews>
  <sheetFormatPr defaultRowHeight="12.75"/>
  <cols>
    <col min="2" max="2" width="50.5" bestFit="1" customWidth="1"/>
    <col min="3" max="3" width="10.375" bestFit="1" customWidth="1"/>
    <col min="4" max="4" width="0.625" style="2" customWidth="1"/>
    <col min="5" max="5" width="7.25" bestFit="1" customWidth="1"/>
    <col min="6" max="6" width="0.625" style="2" customWidth="1"/>
    <col min="7" max="7" width="7.5" bestFit="1" customWidth="1"/>
    <col min="8" max="8" width="0.625" style="2" customWidth="1"/>
    <col min="9" max="9" width="7.5" style="138" bestFit="1" customWidth="1"/>
    <col min="10" max="10" width="0.625" style="2" customWidth="1"/>
    <col min="11" max="11" width="9.625" bestFit="1" customWidth="1"/>
    <col min="12" max="12" width="0.625" style="2" customWidth="1"/>
    <col min="13" max="13" width="9.625" bestFit="1" customWidth="1"/>
    <col min="14" max="14" width="0.625" style="2" customWidth="1"/>
    <col min="15" max="15" width="8" bestFit="1" customWidth="1"/>
    <col min="16" max="16" width="0.625" style="2" customWidth="1"/>
    <col min="17" max="17" width="7.5" bestFit="1" customWidth="1"/>
    <col min="18" max="18" width="0.625" style="2" customWidth="1"/>
    <col min="19" max="19" width="8.75" bestFit="1" customWidth="1"/>
    <col min="20" max="20" width="0.625" style="2" customWidth="1"/>
    <col min="21" max="21" width="10.25" bestFit="1" customWidth="1"/>
    <col min="22" max="22" width="8.75" style="139" customWidth="1"/>
    <col min="23" max="24" width="14" bestFit="1" customWidth="1"/>
  </cols>
  <sheetData>
    <row r="1" spans="1:24">
      <c r="A1" s="1" t="s">
        <v>180</v>
      </c>
      <c r="B1" s="2"/>
      <c r="C1" s="3"/>
      <c r="D1" s="4"/>
      <c r="E1" s="3"/>
      <c r="F1" s="4"/>
      <c r="G1" s="3"/>
      <c r="H1" s="4"/>
      <c r="I1" s="5"/>
      <c r="J1" s="4"/>
      <c r="K1" s="6"/>
      <c r="L1" s="4"/>
      <c r="M1" s="2"/>
      <c r="N1" s="4"/>
      <c r="O1" s="7"/>
      <c r="P1" s="4"/>
      <c r="Q1" s="8"/>
      <c r="R1" s="4"/>
      <c r="S1" s="9"/>
      <c r="T1" s="4"/>
      <c r="U1" s="10" t="s">
        <v>0</v>
      </c>
      <c r="V1" s="11"/>
    </row>
    <row r="2" spans="1:24">
      <c r="A2" s="1" t="s">
        <v>181</v>
      </c>
      <c r="B2" s="2"/>
      <c r="C2" s="3"/>
      <c r="D2" s="4"/>
      <c r="E2" s="3"/>
      <c r="F2" s="4"/>
      <c r="G2" s="3"/>
      <c r="H2" s="4"/>
      <c r="I2" s="5"/>
      <c r="J2" s="4"/>
      <c r="K2" s="6"/>
      <c r="L2" s="4"/>
      <c r="M2" s="2"/>
      <c r="N2" s="4"/>
      <c r="O2" s="7"/>
      <c r="P2" s="4"/>
      <c r="Q2" s="8"/>
      <c r="R2" s="4"/>
      <c r="S2" s="9"/>
      <c r="T2" s="4"/>
      <c r="U2" s="10"/>
      <c r="V2" s="11"/>
    </row>
    <row r="3" spans="1:24">
      <c r="A3" s="12" t="s">
        <v>1</v>
      </c>
      <c r="B3" s="2"/>
      <c r="C3" s="3"/>
      <c r="D3" s="4"/>
      <c r="E3" s="3"/>
      <c r="F3" s="4"/>
      <c r="G3" s="3"/>
      <c r="H3" s="4"/>
      <c r="I3" s="5"/>
      <c r="J3" s="4"/>
      <c r="K3" s="6"/>
      <c r="L3" s="4"/>
      <c r="M3" s="6"/>
      <c r="N3" s="4"/>
      <c r="O3" s="7"/>
      <c r="P3" s="4"/>
      <c r="Q3" s="7"/>
      <c r="R3" s="4"/>
      <c r="S3" s="13"/>
      <c r="T3" s="4"/>
      <c r="U3" s="14"/>
      <c r="V3" s="15"/>
      <c r="X3" s="16" t="s">
        <v>2</v>
      </c>
    </row>
    <row r="4" spans="1:24" ht="13.5" thickBot="1">
      <c r="A4" s="17" t="s">
        <v>182</v>
      </c>
      <c r="B4" s="2"/>
      <c r="C4" s="3"/>
      <c r="D4" s="18"/>
      <c r="E4" s="3"/>
      <c r="F4" s="18"/>
      <c r="G4" s="3"/>
      <c r="H4" s="18"/>
      <c r="I4" s="5"/>
      <c r="J4" s="18"/>
      <c r="K4" s="6"/>
      <c r="L4" s="18"/>
      <c r="M4" s="6"/>
      <c r="N4" s="18"/>
      <c r="O4" s="7"/>
      <c r="P4" s="18"/>
      <c r="Q4" s="7"/>
      <c r="R4" s="18"/>
      <c r="S4" s="13"/>
      <c r="T4" s="18"/>
      <c r="U4" s="14"/>
      <c r="V4" s="15"/>
      <c r="X4" s="16" t="s">
        <v>3</v>
      </c>
    </row>
    <row r="5" spans="1:24" ht="13.5" thickBot="1">
      <c r="A5" s="2"/>
      <c r="B5" s="19"/>
      <c r="C5" s="3"/>
      <c r="D5" s="18"/>
      <c r="E5" s="3"/>
      <c r="F5" s="18"/>
      <c r="G5" s="3"/>
      <c r="H5" s="18"/>
      <c r="I5" s="5"/>
      <c r="J5" s="18"/>
      <c r="K5" s="6"/>
      <c r="L5" s="18"/>
      <c r="M5" s="6"/>
      <c r="N5" s="18"/>
      <c r="O5" s="7"/>
      <c r="P5" s="18"/>
      <c r="Q5" s="7"/>
      <c r="R5" s="18"/>
      <c r="S5" s="13"/>
      <c r="T5" s="18"/>
      <c r="U5" s="14"/>
      <c r="V5" s="15"/>
      <c r="X5" s="20">
        <v>0.24615466546056028</v>
      </c>
    </row>
    <row r="6" spans="1:24">
      <c r="A6" s="21"/>
      <c r="B6" s="22" t="s">
        <v>4</v>
      </c>
      <c r="C6" s="23" t="s">
        <v>5</v>
      </c>
      <c r="D6" s="22"/>
      <c r="E6" s="23" t="s">
        <v>6</v>
      </c>
      <c r="F6" s="22"/>
      <c r="G6" s="23" t="s">
        <v>7</v>
      </c>
      <c r="H6" s="22"/>
      <c r="I6" s="24" t="s">
        <v>8</v>
      </c>
      <c r="J6" s="22"/>
      <c r="K6" s="25" t="s">
        <v>9</v>
      </c>
      <c r="L6" s="22"/>
      <c r="M6" s="25" t="s">
        <v>10</v>
      </c>
      <c r="N6" s="22"/>
      <c r="O6" s="26" t="s">
        <v>11</v>
      </c>
      <c r="P6" s="22"/>
      <c r="Q6" s="26" t="s">
        <v>12</v>
      </c>
      <c r="R6" s="22"/>
      <c r="S6" s="27" t="s">
        <v>13</v>
      </c>
      <c r="T6" s="22"/>
      <c r="U6" s="28" t="s">
        <v>14</v>
      </c>
      <c r="V6" s="29" t="s">
        <v>15</v>
      </c>
    </row>
    <row r="8" spans="1:24" ht="48">
      <c r="A8" s="30" t="s">
        <v>16</v>
      </c>
      <c r="B8" s="31"/>
      <c r="C8" s="32" t="s">
        <v>17</v>
      </c>
      <c r="D8" s="33"/>
      <c r="E8" s="32" t="s">
        <v>18</v>
      </c>
      <c r="F8" s="33"/>
      <c r="G8" s="32" t="s">
        <v>19</v>
      </c>
      <c r="H8" s="33"/>
      <c r="I8" s="34" t="s">
        <v>20</v>
      </c>
      <c r="J8" s="33"/>
      <c r="K8" s="35" t="s">
        <v>21</v>
      </c>
      <c r="L8" s="33"/>
      <c r="M8" s="35" t="s">
        <v>22</v>
      </c>
      <c r="N8" s="33"/>
      <c r="O8" s="36" t="s">
        <v>23</v>
      </c>
      <c r="P8" s="33"/>
      <c r="Q8" s="36" t="s">
        <v>24</v>
      </c>
      <c r="R8" s="33"/>
      <c r="S8" s="34" t="s">
        <v>25</v>
      </c>
      <c r="T8" s="33"/>
      <c r="U8" s="37" t="s">
        <v>26</v>
      </c>
      <c r="V8" s="38" t="s">
        <v>27</v>
      </c>
    </row>
    <row r="9" spans="1:24">
      <c r="B9" s="39"/>
      <c r="C9" s="40"/>
      <c r="D9" s="41"/>
      <c r="E9" s="40"/>
      <c r="F9" s="41"/>
      <c r="G9" s="40"/>
      <c r="H9" s="41"/>
      <c r="I9" s="42"/>
      <c r="J9" s="41"/>
      <c r="K9" s="43"/>
      <c r="L9" s="41"/>
      <c r="M9" s="43"/>
      <c r="N9" s="41"/>
      <c r="O9" s="44"/>
      <c r="P9" s="41"/>
      <c r="Q9" s="44"/>
      <c r="R9" s="41"/>
      <c r="S9" s="45"/>
      <c r="T9" s="41"/>
      <c r="U9" s="46"/>
      <c r="V9" s="38"/>
    </row>
    <row r="10" spans="1:24">
      <c r="B10" s="47" t="s">
        <v>28</v>
      </c>
      <c r="C10" s="48"/>
      <c r="D10" s="49"/>
      <c r="E10" s="48"/>
      <c r="F10" s="49"/>
      <c r="G10" s="48"/>
      <c r="H10" s="49"/>
      <c r="I10" s="50"/>
      <c r="J10" s="49"/>
      <c r="K10" s="51"/>
      <c r="L10" s="49"/>
      <c r="M10" s="51"/>
      <c r="N10" s="49"/>
      <c r="O10" s="52"/>
      <c r="P10" s="49"/>
      <c r="Q10" s="52"/>
      <c r="R10" s="49"/>
      <c r="S10" s="53"/>
      <c r="T10" s="49"/>
      <c r="U10" s="54"/>
      <c r="V10" s="29"/>
    </row>
    <row r="11" spans="1:24">
      <c r="B11" s="55"/>
      <c r="C11" s="56"/>
      <c r="D11" s="57"/>
      <c r="E11" s="56"/>
      <c r="F11" s="57"/>
      <c r="G11" s="48"/>
      <c r="H11" s="57"/>
      <c r="I11" s="50"/>
      <c r="J11" s="57"/>
      <c r="K11" s="51"/>
      <c r="L11" s="57"/>
      <c r="M11" s="51"/>
      <c r="N11" s="57"/>
      <c r="O11" s="52"/>
      <c r="P11" s="57"/>
      <c r="Q11" s="52"/>
      <c r="R11" s="57"/>
      <c r="S11" s="53"/>
      <c r="T11" s="57"/>
      <c r="U11" s="54"/>
      <c r="V11" s="29"/>
    </row>
    <row r="12" spans="1:24">
      <c r="B12" s="58" t="s">
        <v>29</v>
      </c>
      <c r="C12" s="59">
        <v>224676.36699020994</v>
      </c>
      <c r="D12" s="60"/>
      <c r="E12" s="59"/>
      <c r="F12" s="60"/>
      <c r="G12" s="59"/>
      <c r="H12" s="60"/>
      <c r="I12" s="61"/>
      <c r="J12" s="60"/>
      <c r="K12" s="62"/>
      <c r="L12" s="60"/>
      <c r="M12" s="62"/>
      <c r="N12" s="60"/>
      <c r="O12" s="63"/>
      <c r="P12" s="60"/>
      <c r="Q12" s="63"/>
      <c r="R12" s="60"/>
      <c r="S12" s="64"/>
      <c r="T12" s="60"/>
      <c r="U12" s="65"/>
      <c r="V12" s="66"/>
    </row>
    <row r="13" spans="1:24">
      <c r="B13" s="67" t="s">
        <v>30</v>
      </c>
      <c r="C13" s="59"/>
      <c r="D13" s="68"/>
      <c r="E13" s="59">
        <v>59288</v>
      </c>
      <c r="F13" s="68"/>
      <c r="G13" s="69"/>
      <c r="H13" s="68"/>
      <c r="I13" s="70">
        <v>9.42</v>
      </c>
      <c r="J13" s="68"/>
      <c r="K13" s="62">
        <f>+E13*I13</f>
        <v>558492.96</v>
      </c>
      <c r="L13" s="68"/>
      <c r="M13" s="62">
        <f>+K13</f>
        <v>558492.96</v>
      </c>
      <c r="N13" s="68"/>
      <c r="O13" s="63">
        <f>+E13</f>
        <v>59288</v>
      </c>
      <c r="P13" s="68"/>
      <c r="Q13" s="63"/>
      <c r="R13" s="68"/>
      <c r="S13" s="71">
        <v>15.53</v>
      </c>
      <c r="T13" s="68"/>
      <c r="U13" s="72">
        <f>+O13*S13</f>
        <v>920742.64</v>
      </c>
      <c r="V13" s="73"/>
      <c r="W13" s="74"/>
      <c r="X13" s="74"/>
    </row>
    <row r="14" spans="1:24">
      <c r="B14" s="67" t="s">
        <v>31</v>
      </c>
      <c r="C14" s="59"/>
      <c r="D14" s="68"/>
      <c r="E14" s="59"/>
      <c r="F14" s="68"/>
      <c r="G14" s="59">
        <v>152544.95638038244</v>
      </c>
      <c r="H14" s="68"/>
      <c r="I14" s="70">
        <v>3.86</v>
      </c>
      <c r="J14" s="68"/>
      <c r="K14" s="63">
        <f>+G14*I14</f>
        <v>588823.53162827622</v>
      </c>
      <c r="L14" s="68"/>
      <c r="M14" s="62">
        <f t="shared" ref="M14:M18" si="0">+K14</f>
        <v>588823.53162827622</v>
      </c>
      <c r="N14" s="68"/>
      <c r="O14" s="63"/>
      <c r="P14" s="68"/>
      <c r="Q14" s="63">
        <f>+G14</f>
        <v>152544.95638038244</v>
      </c>
      <c r="R14" s="68"/>
      <c r="S14" s="75">
        <v>3.8170000000000002</v>
      </c>
      <c r="T14" s="68"/>
      <c r="U14" s="72">
        <f>+Q14*S14</f>
        <v>582264.09850391978</v>
      </c>
      <c r="V14" s="73"/>
      <c r="X14" s="76"/>
    </row>
    <row r="15" spans="1:24">
      <c r="B15" s="67" t="s">
        <v>32</v>
      </c>
      <c r="C15" s="59"/>
      <c r="D15" s="68"/>
      <c r="E15" s="59"/>
      <c r="F15" s="68"/>
      <c r="G15" s="59">
        <v>12302.360176060358</v>
      </c>
      <c r="H15" s="68"/>
      <c r="I15" s="70">
        <v>3.53</v>
      </c>
      <c r="J15" s="68"/>
      <c r="K15" s="63">
        <f t="shared" ref="K15:K18" si="1">+G15*I15</f>
        <v>43427.331421493058</v>
      </c>
      <c r="L15" s="68"/>
      <c r="M15" s="62">
        <f t="shared" si="0"/>
        <v>43427.331421493058</v>
      </c>
      <c r="N15" s="68"/>
      <c r="O15" s="63"/>
      <c r="P15" s="68"/>
      <c r="Q15" s="63">
        <f t="shared" ref="Q15:Q18" si="2">+G15</f>
        <v>12302.360176060358</v>
      </c>
      <c r="R15" s="68"/>
      <c r="S15" s="75">
        <v>3.8170000000000002</v>
      </c>
      <c r="T15" s="68"/>
      <c r="U15" s="72">
        <f t="shared" ref="U15:U18" si="3">+Q15*S15</f>
        <v>46958.108792022387</v>
      </c>
      <c r="V15" s="73"/>
    </row>
    <row r="16" spans="1:24">
      <c r="B16" s="67" t="s">
        <v>33</v>
      </c>
      <c r="C16" s="59"/>
      <c r="D16" s="68"/>
      <c r="E16" s="59"/>
      <c r="F16" s="68"/>
      <c r="G16" s="59">
        <v>2871.4615011417027</v>
      </c>
      <c r="H16" s="68"/>
      <c r="I16" s="70">
        <v>3.35</v>
      </c>
      <c r="J16" s="68"/>
      <c r="K16" s="63">
        <f t="shared" si="1"/>
        <v>9619.3960288247035</v>
      </c>
      <c r="L16" s="68"/>
      <c r="M16" s="62">
        <f t="shared" si="0"/>
        <v>9619.3960288247035</v>
      </c>
      <c r="N16" s="68"/>
      <c r="O16" s="63"/>
      <c r="P16" s="68"/>
      <c r="Q16" s="63">
        <f t="shared" si="2"/>
        <v>2871.4615011417027</v>
      </c>
      <c r="R16" s="68"/>
      <c r="S16" s="75">
        <v>3.8170000000000002</v>
      </c>
      <c r="T16" s="68"/>
      <c r="U16" s="72">
        <f t="shared" si="3"/>
        <v>10960.36854985788</v>
      </c>
      <c r="V16" s="73"/>
      <c r="W16" s="77"/>
    </row>
    <row r="17" spans="2:22">
      <c r="B17" s="67" t="s">
        <v>34</v>
      </c>
      <c r="C17" s="59"/>
      <c r="D17" s="68"/>
      <c r="E17" s="59"/>
      <c r="F17" s="68"/>
      <c r="G17" s="59">
        <v>1572.4667435812987</v>
      </c>
      <c r="H17" s="68"/>
      <c r="I17" s="70">
        <v>3.01</v>
      </c>
      <c r="J17" s="68"/>
      <c r="K17" s="63">
        <f t="shared" si="1"/>
        <v>4733.1248981797089</v>
      </c>
      <c r="L17" s="68"/>
      <c r="M17" s="62">
        <f t="shared" si="0"/>
        <v>4733.1248981797089</v>
      </c>
      <c r="N17" s="68"/>
      <c r="O17" s="63"/>
      <c r="P17" s="68"/>
      <c r="Q17" s="63">
        <f t="shared" si="2"/>
        <v>1572.4667435812987</v>
      </c>
      <c r="R17" s="68"/>
      <c r="S17" s="75">
        <v>3.8170000000000002</v>
      </c>
      <c r="T17" s="68"/>
      <c r="U17" s="72">
        <f t="shared" si="3"/>
        <v>6002.1055602498172</v>
      </c>
      <c r="V17" s="73"/>
    </row>
    <row r="18" spans="2:22">
      <c r="B18" s="67" t="s">
        <v>35</v>
      </c>
      <c r="C18" s="59"/>
      <c r="D18" s="68"/>
      <c r="E18" s="59"/>
      <c r="F18" s="68"/>
      <c r="G18" s="59">
        <v>1538.1607899594428</v>
      </c>
      <c r="H18" s="68"/>
      <c r="I18" s="70">
        <v>2.76</v>
      </c>
      <c r="J18" s="68"/>
      <c r="K18" s="63">
        <f t="shared" si="1"/>
        <v>4245.3237802880622</v>
      </c>
      <c r="L18" s="68"/>
      <c r="M18" s="62">
        <f t="shared" si="0"/>
        <v>4245.3237802880622</v>
      </c>
      <c r="N18" s="68"/>
      <c r="O18" s="63"/>
      <c r="P18" s="68"/>
      <c r="Q18" s="63">
        <f t="shared" si="2"/>
        <v>1538.1607899594428</v>
      </c>
      <c r="R18" s="68"/>
      <c r="S18" s="75">
        <v>3.8170000000000002</v>
      </c>
      <c r="T18" s="68"/>
      <c r="U18" s="72">
        <f t="shared" si="3"/>
        <v>5871.1597352751933</v>
      </c>
      <c r="V18" s="73"/>
    </row>
    <row r="19" spans="2:22" ht="13.5" thickBot="1">
      <c r="B19" s="78" t="s">
        <v>36</v>
      </c>
      <c r="C19" s="79">
        <f>SUM(C12:C18)</f>
        <v>224676.36699020994</v>
      </c>
      <c r="D19" s="80"/>
      <c r="E19" s="79">
        <f>SUM(E12:E18)</f>
        <v>59288</v>
      </c>
      <c r="F19" s="80"/>
      <c r="G19" s="79">
        <f>SUM(G12:G18)</f>
        <v>170829.40559112522</v>
      </c>
      <c r="H19" s="80"/>
      <c r="I19" s="50"/>
      <c r="J19" s="80"/>
      <c r="K19" s="81">
        <f>SUM(K12:K18)</f>
        <v>1209341.6677570615</v>
      </c>
      <c r="L19" s="80"/>
      <c r="M19" s="81">
        <f>SUM(M12:M18)</f>
        <v>1209341.6677570615</v>
      </c>
      <c r="N19" s="80"/>
      <c r="O19" s="79">
        <f>SUM(O12:O18)</f>
        <v>59288</v>
      </c>
      <c r="P19" s="80"/>
      <c r="Q19" s="79">
        <f>SUM(Q12:Q18)</f>
        <v>170829.40559112522</v>
      </c>
      <c r="R19" s="80"/>
      <c r="S19" s="64"/>
      <c r="T19" s="80"/>
      <c r="U19" s="81">
        <f>SUM(U12:U18)</f>
        <v>1572798.4811413253</v>
      </c>
      <c r="V19" s="82"/>
    </row>
    <row r="20" spans="2:22" ht="13.5" thickTop="1">
      <c r="B20" s="78"/>
      <c r="C20" s="83"/>
      <c r="D20" s="68"/>
      <c r="E20" s="83"/>
      <c r="F20" s="68"/>
      <c r="G20" s="59"/>
      <c r="H20" s="68"/>
      <c r="I20" s="61"/>
      <c r="J20" s="68"/>
      <c r="K20" s="62"/>
      <c r="L20" s="68"/>
      <c r="M20" s="62"/>
      <c r="N20" s="68"/>
      <c r="O20" s="63"/>
      <c r="P20" s="68"/>
      <c r="Q20" s="63"/>
      <c r="R20" s="68"/>
      <c r="S20" s="64"/>
      <c r="T20" s="68"/>
      <c r="U20" s="84"/>
      <c r="V20" s="85"/>
    </row>
    <row r="21" spans="2:22" ht="13.5" thickBot="1">
      <c r="B21" s="86" t="s">
        <v>37</v>
      </c>
      <c r="C21" s="83"/>
      <c r="D21" s="68"/>
      <c r="E21" s="83"/>
      <c r="F21" s="68"/>
      <c r="G21" s="59"/>
      <c r="H21" s="68"/>
      <c r="I21" s="61"/>
      <c r="J21" s="68"/>
      <c r="K21" s="62"/>
      <c r="L21" s="68"/>
      <c r="M21" s="87">
        <f>+M19/$E19</f>
        <v>20.397747735748574</v>
      </c>
      <c r="N21" s="68"/>
      <c r="O21" s="63"/>
      <c r="P21" s="68"/>
      <c r="Q21" s="63"/>
      <c r="R21" s="68"/>
      <c r="S21" s="64"/>
      <c r="T21" s="68"/>
      <c r="U21" s="87">
        <f>+U19/$E19</f>
        <v>26.528108236765032</v>
      </c>
      <c r="V21" s="88"/>
    </row>
    <row r="22" spans="2:22" ht="13.5" thickTop="1">
      <c r="B22" s="58" t="s">
        <v>38</v>
      </c>
      <c r="C22" s="59">
        <v>26729.581974321747</v>
      </c>
      <c r="D22" s="60"/>
      <c r="E22" s="59"/>
      <c r="F22" s="60"/>
      <c r="G22" s="59"/>
      <c r="H22" s="60"/>
      <c r="I22" s="61"/>
      <c r="J22" s="60"/>
      <c r="K22" s="62"/>
      <c r="L22" s="60"/>
      <c r="M22" s="62"/>
      <c r="N22" s="60"/>
      <c r="O22" s="63"/>
      <c r="P22" s="60"/>
      <c r="Q22" s="63"/>
      <c r="R22" s="60"/>
      <c r="S22" s="64"/>
      <c r="T22" s="60"/>
      <c r="U22" s="65"/>
      <c r="V22" s="66"/>
    </row>
    <row r="23" spans="2:22">
      <c r="B23" s="67" t="s">
        <v>30</v>
      </c>
      <c r="C23" s="59"/>
      <c r="D23" s="68"/>
      <c r="E23" s="59">
        <v>6405</v>
      </c>
      <c r="F23" s="68"/>
      <c r="G23" s="69"/>
      <c r="H23" s="68"/>
      <c r="I23" s="70">
        <v>9.42</v>
      </c>
      <c r="J23" s="68"/>
      <c r="K23" s="62">
        <f>+E23*I23</f>
        <v>60335.1</v>
      </c>
      <c r="L23" s="68"/>
      <c r="M23" s="62">
        <f>+K23</f>
        <v>60335.1</v>
      </c>
      <c r="N23" s="68"/>
      <c r="O23" s="63">
        <f>+E23</f>
        <v>6405</v>
      </c>
      <c r="P23" s="68"/>
      <c r="Q23" s="63"/>
      <c r="R23" s="68"/>
      <c r="S23" s="71">
        <v>15.53</v>
      </c>
      <c r="T23" s="68"/>
      <c r="U23" s="72">
        <f>+O23*S23</f>
        <v>99469.65</v>
      </c>
      <c r="V23" s="73"/>
    </row>
    <row r="24" spans="2:22">
      <c r="B24" s="67" t="s">
        <v>31</v>
      </c>
      <c r="C24" s="59"/>
      <c r="D24" s="68"/>
      <c r="E24" s="59"/>
      <c r="F24" s="68"/>
      <c r="G24" s="59">
        <v>12687.03933221144</v>
      </c>
      <c r="H24" s="68"/>
      <c r="I24" s="70">
        <v>3.86</v>
      </c>
      <c r="J24" s="68"/>
      <c r="K24" s="63">
        <f>+G24*I24</f>
        <v>48971.971822336156</v>
      </c>
      <c r="L24" s="68"/>
      <c r="M24" s="62">
        <f t="shared" ref="M24:M28" si="4">+K24</f>
        <v>48971.971822336156</v>
      </c>
      <c r="N24" s="68"/>
      <c r="O24" s="63"/>
      <c r="P24" s="68"/>
      <c r="Q24" s="63">
        <f>+G24</f>
        <v>12687.03933221144</v>
      </c>
      <c r="R24" s="68"/>
      <c r="S24" s="75">
        <v>3.8170000000000002</v>
      </c>
      <c r="T24" s="68"/>
      <c r="U24" s="72">
        <f>+Q24*S24</f>
        <v>48426.429131051067</v>
      </c>
      <c r="V24" s="73"/>
    </row>
    <row r="25" spans="2:22">
      <c r="B25" s="67" t="s">
        <v>32</v>
      </c>
      <c r="C25" s="59"/>
      <c r="D25" s="68"/>
      <c r="E25" s="59"/>
      <c r="F25" s="68"/>
      <c r="G25" s="59">
        <v>4094.1361448208281</v>
      </c>
      <c r="H25" s="68"/>
      <c r="I25" s="70">
        <v>3.53</v>
      </c>
      <c r="J25" s="68"/>
      <c r="K25" s="63">
        <f t="shared" ref="K25:K28" si="5">+G25*I25</f>
        <v>14452.300591217523</v>
      </c>
      <c r="L25" s="68"/>
      <c r="M25" s="62">
        <f t="shared" si="4"/>
        <v>14452.300591217523</v>
      </c>
      <c r="N25" s="68"/>
      <c r="O25" s="63"/>
      <c r="P25" s="68"/>
      <c r="Q25" s="63">
        <f t="shared" ref="Q25:Q28" si="6">+G25</f>
        <v>4094.1361448208281</v>
      </c>
      <c r="R25" s="68"/>
      <c r="S25" s="75">
        <v>3.8170000000000002</v>
      </c>
      <c r="T25" s="68"/>
      <c r="U25" s="72">
        <f t="shared" ref="U25:U28" si="7">+Q25*S25</f>
        <v>15627.317664781101</v>
      </c>
      <c r="V25" s="73"/>
    </row>
    <row r="26" spans="2:22">
      <c r="B26" s="67" t="s">
        <v>33</v>
      </c>
      <c r="C26" s="59"/>
      <c r="D26" s="68"/>
      <c r="E26" s="59"/>
      <c r="F26" s="68"/>
      <c r="G26" s="59">
        <v>2538.2945251225233</v>
      </c>
      <c r="H26" s="68"/>
      <c r="I26" s="70">
        <v>3.35</v>
      </c>
      <c r="J26" s="68"/>
      <c r="K26" s="63">
        <f t="shared" si="5"/>
        <v>8503.2866591604525</v>
      </c>
      <c r="L26" s="68"/>
      <c r="M26" s="62">
        <f t="shared" si="4"/>
        <v>8503.2866591604525</v>
      </c>
      <c r="N26" s="68"/>
      <c r="O26" s="63"/>
      <c r="P26" s="68"/>
      <c r="Q26" s="63">
        <f t="shared" si="6"/>
        <v>2538.2945251225233</v>
      </c>
      <c r="R26" s="68"/>
      <c r="S26" s="75">
        <v>3.8170000000000002</v>
      </c>
      <c r="T26" s="68"/>
      <c r="U26" s="72">
        <f t="shared" si="7"/>
        <v>9688.6702023926719</v>
      </c>
      <c r="V26" s="73"/>
    </row>
    <row r="27" spans="2:22">
      <c r="B27" s="67" t="s">
        <v>34</v>
      </c>
      <c r="C27" s="59"/>
      <c r="D27" s="68"/>
      <c r="E27" s="59"/>
      <c r="F27" s="68"/>
      <c r="G27" s="59">
        <v>1911.3236225002629</v>
      </c>
      <c r="H27" s="68"/>
      <c r="I27" s="70">
        <v>3.01</v>
      </c>
      <c r="J27" s="68"/>
      <c r="K27" s="63">
        <f t="shared" si="5"/>
        <v>5753.0841037257906</v>
      </c>
      <c r="L27" s="68"/>
      <c r="M27" s="62">
        <f t="shared" si="4"/>
        <v>5753.0841037257906</v>
      </c>
      <c r="N27" s="68"/>
      <c r="O27" s="63"/>
      <c r="P27" s="68"/>
      <c r="Q27" s="63">
        <f t="shared" si="6"/>
        <v>1911.3236225002629</v>
      </c>
      <c r="R27" s="68"/>
      <c r="S27" s="75">
        <v>3.8170000000000002</v>
      </c>
      <c r="T27" s="68"/>
      <c r="U27" s="72">
        <f t="shared" si="7"/>
        <v>7295.5222670835037</v>
      </c>
      <c r="V27" s="73"/>
    </row>
    <row r="28" spans="2:22">
      <c r="B28" s="67" t="s">
        <v>35</v>
      </c>
      <c r="C28" s="59"/>
      <c r="D28" s="68"/>
      <c r="E28" s="59"/>
      <c r="F28" s="68"/>
      <c r="G28" s="59">
        <v>930.72362761325996</v>
      </c>
      <c r="H28" s="68"/>
      <c r="I28" s="70">
        <v>2.76</v>
      </c>
      <c r="J28" s="68"/>
      <c r="K28" s="63">
        <f t="shared" si="5"/>
        <v>2568.7972122125975</v>
      </c>
      <c r="L28" s="68"/>
      <c r="M28" s="62">
        <f t="shared" si="4"/>
        <v>2568.7972122125975</v>
      </c>
      <c r="N28" s="68"/>
      <c r="O28" s="63"/>
      <c r="P28" s="68"/>
      <c r="Q28" s="63">
        <f t="shared" si="6"/>
        <v>930.72362761325996</v>
      </c>
      <c r="R28" s="68"/>
      <c r="S28" s="75">
        <v>3.8170000000000002</v>
      </c>
      <c r="T28" s="68"/>
      <c r="U28" s="72">
        <f t="shared" si="7"/>
        <v>3552.5720865998132</v>
      </c>
      <c r="V28" s="73"/>
    </row>
    <row r="29" spans="2:22" ht="13.5" thickBot="1">
      <c r="B29" s="78" t="s">
        <v>39</v>
      </c>
      <c r="C29" s="79">
        <f>SUM(C22:C28)</f>
        <v>26729.581974321747</v>
      </c>
      <c r="D29" s="80"/>
      <c r="E29" s="79">
        <f>SUM(E22:E28)</f>
        <v>6405</v>
      </c>
      <c r="F29" s="80"/>
      <c r="G29" s="79">
        <f>SUM(G22:G28)</f>
        <v>22161.517252268313</v>
      </c>
      <c r="H29" s="80"/>
      <c r="I29" s="50"/>
      <c r="J29" s="80"/>
      <c r="K29" s="81">
        <f>SUM(K22:K28)</f>
        <v>140584.54038865253</v>
      </c>
      <c r="L29" s="80"/>
      <c r="M29" s="81">
        <f>SUM(M22:M28)</f>
        <v>140584.54038865253</v>
      </c>
      <c r="N29" s="80"/>
      <c r="O29" s="79">
        <f>SUM(O22:O28)</f>
        <v>6405</v>
      </c>
      <c r="P29" s="80"/>
      <c r="Q29" s="79">
        <f>SUM(Q22:Q28)</f>
        <v>22161.517252268313</v>
      </c>
      <c r="R29" s="80"/>
      <c r="S29" s="64"/>
      <c r="T29" s="80"/>
      <c r="U29" s="81">
        <f>SUM(U22:U28)</f>
        <v>184060.16135190811</v>
      </c>
      <c r="V29" s="82"/>
    </row>
    <row r="30" spans="2:22" ht="13.5" thickTop="1">
      <c r="B30" s="78"/>
      <c r="C30" s="83"/>
      <c r="D30" s="68"/>
      <c r="E30" s="83"/>
      <c r="F30" s="68"/>
      <c r="G30" s="59"/>
      <c r="H30" s="68"/>
      <c r="I30" s="61"/>
      <c r="J30" s="68"/>
      <c r="K30" s="62"/>
      <c r="L30" s="68"/>
      <c r="M30" s="62"/>
      <c r="N30" s="68"/>
      <c r="O30" s="63"/>
      <c r="P30" s="68"/>
      <c r="Q30" s="63"/>
      <c r="R30" s="68"/>
      <c r="S30" s="64"/>
      <c r="T30" s="68"/>
      <c r="U30" s="84"/>
      <c r="V30" s="85"/>
    </row>
    <row r="31" spans="2:22" ht="13.5" thickBot="1">
      <c r="B31" s="86" t="s">
        <v>40</v>
      </c>
      <c r="C31" s="83"/>
      <c r="D31" s="68"/>
      <c r="E31" s="83"/>
      <c r="F31" s="68"/>
      <c r="G31" s="59"/>
      <c r="H31" s="68"/>
      <c r="I31" s="61"/>
      <c r="J31" s="68"/>
      <c r="K31" s="62"/>
      <c r="L31" s="68"/>
      <c r="M31" s="87">
        <f>+M29/$E29</f>
        <v>21.949186633669402</v>
      </c>
      <c r="N31" s="68"/>
      <c r="O31" s="63"/>
      <c r="P31" s="68"/>
      <c r="Q31" s="63"/>
      <c r="R31" s="68"/>
      <c r="S31" s="64"/>
      <c r="T31" s="68"/>
      <c r="U31" s="87">
        <f>+U29/$E29</f>
        <v>28.736949469462626</v>
      </c>
      <c r="V31" s="88"/>
    </row>
    <row r="32" spans="2:22" ht="13.5" thickTop="1">
      <c r="B32" s="58" t="s">
        <v>41</v>
      </c>
      <c r="C32" s="59">
        <v>1987.598511953732</v>
      </c>
      <c r="D32" s="60"/>
      <c r="E32" s="59"/>
      <c r="F32" s="60"/>
      <c r="G32" s="59"/>
      <c r="H32" s="60"/>
      <c r="I32" s="61"/>
      <c r="J32" s="60"/>
      <c r="K32" s="62"/>
      <c r="L32" s="60"/>
      <c r="M32" s="62"/>
      <c r="N32" s="60"/>
      <c r="O32" s="63"/>
      <c r="P32" s="60"/>
      <c r="Q32" s="63"/>
      <c r="R32" s="60"/>
      <c r="S32" s="64"/>
      <c r="T32" s="60"/>
      <c r="U32" s="65"/>
      <c r="V32" s="66"/>
    </row>
    <row r="33" spans="2:22">
      <c r="B33" s="67" t="s">
        <v>30</v>
      </c>
      <c r="C33" s="59"/>
      <c r="D33" s="68"/>
      <c r="E33" s="59">
        <v>156</v>
      </c>
      <c r="F33" s="68"/>
      <c r="G33" s="69"/>
      <c r="H33" s="68"/>
      <c r="I33" s="70">
        <v>9.42</v>
      </c>
      <c r="J33" s="68"/>
      <c r="K33" s="62">
        <f>+E33*I33</f>
        <v>1469.52</v>
      </c>
      <c r="L33" s="68"/>
      <c r="M33" s="62">
        <f>+K33</f>
        <v>1469.52</v>
      </c>
      <c r="N33" s="68"/>
      <c r="O33" s="63">
        <f>+E33</f>
        <v>156</v>
      </c>
      <c r="P33" s="68"/>
      <c r="Q33" s="63"/>
      <c r="R33" s="68"/>
      <c r="S33" s="71">
        <v>15.53</v>
      </c>
      <c r="T33" s="68"/>
      <c r="U33" s="72">
        <f>+O33*S33</f>
        <v>2422.6799999999998</v>
      </c>
      <c r="V33" s="73"/>
    </row>
    <row r="34" spans="2:22">
      <c r="B34" s="67" t="s">
        <v>31</v>
      </c>
      <c r="C34" s="59"/>
      <c r="D34" s="68"/>
      <c r="E34" s="59"/>
      <c r="F34" s="68"/>
      <c r="G34" s="59">
        <v>369.41873957341329</v>
      </c>
      <c r="H34" s="68"/>
      <c r="I34" s="70">
        <v>3.86</v>
      </c>
      <c r="J34" s="68"/>
      <c r="K34" s="63">
        <f>+G34*I34</f>
        <v>1425.9563347533754</v>
      </c>
      <c r="L34" s="68"/>
      <c r="M34" s="62">
        <f t="shared" ref="M34:M38" si="8">+K34</f>
        <v>1425.9563347533754</v>
      </c>
      <c r="N34" s="68"/>
      <c r="O34" s="63"/>
      <c r="P34" s="68"/>
      <c r="Q34" s="63">
        <f>+G34</f>
        <v>369.41873957341329</v>
      </c>
      <c r="R34" s="68"/>
      <c r="S34" s="75">
        <v>3.8170000000000002</v>
      </c>
      <c r="T34" s="68"/>
      <c r="U34" s="72">
        <f>+Q34*S34</f>
        <v>1410.0713289517187</v>
      </c>
      <c r="V34" s="73"/>
    </row>
    <row r="35" spans="2:22">
      <c r="B35" s="67" t="s">
        <v>32</v>
      </c>
      <c r="C35" s="59"/>
      <c r="D35" s="68"/>
      <c r="E35" s="59"/>
      <c r="F35" s="68"/>
      <c r="G35" s="59">
        <v>297.93430464407322</v>
      </c>
      <c r="H35" s="68"/>
      <c r="I35" s="70">
        <v>3.53</v>
      </c>
      <c r="J35" s="68"/>
      <c r="K35" s="63">
        <f t="shared" ref="K35:K38" si="9">+G35*I35</f>
        <v>1051.7080953935783</v>
      </c>
      <c r="L35" s="68"/>
      <c r="M35" s="62">
        <f t="shared" si="8"/>
        <v>1051.7080953935783</v>
      </c>
      <c r="N35" s="68"/>
      <c r="O35" s="63"/>
      <c r="P35" s="68"/>
      <c r="Q35" s="63">
        <f t="shared" ref="Q35:Q38" si="10">+G35</f>
        <v>297.93430464407322</v>
      </c>
      <c r="R35" s="68"/>
      <c r="S35" s="75">
        <v>3.8170000000000002</v>
      </c>
      <c r="T35" s="68"/>
      <c r="U35" s="72">
        <f t="shared" ref="U35:U38" si="11">+Q35*S35</f>
        <v>1137.2152408264276</v>
      </c>
      <c r="V35" s="73"/>
    </row>
    <row r="36" spans="2:22">
      <c r="B36" s="67" t="s">
        <v>33</v>
      </c>
      <c r="C36" s="59"/>
      <c r="D36" s="68"/>
      <c r="E36" s="59"/>
      <c r="F36" s="68"/>
      <c r="G36" s="59">
        <v>377.86193570355482</v>
      </c>
      <c r="H36" s="68"/>
      <c r="I36" s="70">
        <v>3.35</v>
      </c>
      <c r="J36" s="68"/>
      <c r="K36" s="63">
        <f t="shared" si="9"/>
        <v>1265.8374846069087</v>
      </c>
      <c r="L36" s="68"/>
      <c r="M36" s="62">
        <f t="shared" si="8"/>
        <v>1265.8374846069087</v>
      </c>
      <c r="N36" s="68"/>
      <c r="O36" s="63"/>
      <c r="P36" s="68"/>
      <c r="Q36" s="63">
        <f t="shared" si="10"/>
        <v>377.86193570355482</v>
      </c>
      <c r="R36" s="68"/>
      <c r="S36" s="75">
        <v>3.8170000000000002</v>
      </c>
      <c r="T36" s="68"/>
      <c r="U36" s="72">
        <f t="shared" si="11"/>
        <v>1442.2990085804688</v>
      </c>
      <c r="V36" s="73"/>
    </row>
    <row r="37" spans="2:22">
      <c r="B37" s="67" t="s">
        <v>34</v>
      </c>
      <c r="C37" s="59"/>
      <c r="D37" s="68"/>
      <c r="E37" s="59"/>
      <c r="F37" s="68"/>
      <c r="G37" s="59">
        <v>578.08830389480056</v>
      </c>
      <c r="H37" s="68"/>
      <c r="I37" s="70">
        <v>3.01</v>
      </c>
      <c r="J37" s="68"/>
      <c r="K37" s="63">
        <f t="shared" si="9"/>
        <v>1740.0457947233497</v>
      </c>
      <c r="L37" s="68"/>
      <c r="M37" s="62">
        <f t="shared" si="8"/>
        <v>1740.0457947233497</v>
      </c>
      <c r="N37" s="68"/>
      <c r="O37" s="63"/>
      <c r="P37" s="68"/>
      <c r="Q37" s="63">
        <f t="shared" si="10"/>
        <v>578.08830389480056</v>
      </c>
      <c r="R37" s="68"/>
      <c r="S37" s="75">
        <v>3.8170000000000002</v>
      </c>
      <c r="T37" s="68"/>
      <c r="U37" s="72">
        <f t="shared" si="11"/>
        <v>2206.5630559664537</v>
      </c>
      <c r="V37" s="73"/>
    </row>
    <row r="38" spans="2:22">
      <c r="B38" s="67" t="s">
        <v>35</v>
      </c>
      <c r="C38" s="59"/>
      <c r="D38" s="68"/>
      <c r="E38" s="59"/>
      <c r="F38" s="68"/>
      <c r="G38" s="59">
        <v>256.723705085544</v>
      </c>
      <c r="H38" s="68"/>
      <c r="I38" s="70">
        <v>2.76</v>
      </c>
      <c r="J38" s="68"/>
      <c r="K38" s="63">
        <f t="shared" si="9"/>
        <v>708.55742603610133</v>
      </c>
      <c r="L38" s="68"/>
      <c r="M38" s="62">
        <f t="shared" si="8"/>
        <v>708.55742603610133</v>
      </c>
      <c r="N38" s="68"/>
      <c r="O38" s="63"/>
      <c r="P38" s="68"/>
      <c r="Q38" s="63">
        <f t="shared" si="10"/>
        <v>256.723705085544</v>
      </c>
      <c r="R38" s="68"/>
      <c r="S38" s="75">
        <v>3.8170000000000002</v>
      </c>
      <c r="T38" s="68"/>
      <c r="U38" s="72">
        <f t="shared" si="11"/>
        <v>979.91438231152154</v>
      </c>
      <c r="V38" s="73"/>
    </row>
    <row r="39" spans="2:22" ht="13.5" thickBot="1">
      <c r="B39" s="78" t="s">
        <v>42</v>
      </c>
      <c r="C39" s="79">
        <f>SUM(C32:C38)</f>
        <v>1987.598511953732</v>
      </c>
      <c r="D39" s="80"/>
      <c r="E39" s="79">
        <f>SUM(E32:E38)</f>
        <v>156</v>
      </c>
      <c r="F39" s="80"/>
      <c r="G39" s="79">
        <f>SUM(G32:G38)</f>
        <v>1880.0269889013859</v>
      </c>
      <c r="H39" s="80"/>
      <c r="I39" s="50"/>
      <c r="J39" s="80"/>
      <c r="K39" s="81">
        <f>SUM(K32:K38)</f>
        <v>7661.6251355133136</v>
      </c>
      <c r="L39" s="80"/>
      <c r="M39" s="81">
        <f>SUM(M32:M38)</f>
        <v>7661.6251355133136</v>
      </c>
      <c r="N39" s="80"/>
      <c r="O39" s="79">
        <f>SUM(O32:O38)</f>
        <v>156</v>
      </c>
      <c r="P39" s="80"/>
      <c r="Q39" s="79">
        <f>SUM(Q32:Q38)</f>
        <v>1880.0269889013859</v>
      </c>
      <c r="R39" s="80"/>
      <c r="S39" s="64"/>
      <c r="T39" s="80"/>
      <c r="U39" s="81">
        <f>SUM(U32:U38)</f>
        <v>9598.7430166365884</v>
      </c>
      <c r="V39" s="82"/>
    </row>
    <row r="40" spans="2:22" ht="13.5" thickTop="1">
      <c r="B40" s="78"/>
      <c r="C40" s="83"/>
      <c r="D40" s="68"/>
      <c r="E40" s="83"/>
      <c r="F40" s="68"/>
      <c r="G40" s="59"/>
      <c r="H40" s="68"/>
      <c r="I40" s="61"/>
      <c r="J40" s="68"/>
      <c r="K40" s="62"/>
      <c r="L40" s="68"/>
      <c r="M40" s="62"/>
      <c r="N40" s="68"/>
      <c r="O40" s="63"/>
      <c r="P40" s="68"/>
      <c r="Q40" s="63"/>
      <c r="R40" s="68"/>
      <c r="S40" s="64"/>
      <c r="T40" s="68"/>
      <c r="U40" s="84"/>
      <c r="V40" s="85"/>
    </row>
    <row r="41" spans="2:22" ht="13.5" thickBot="1">
      <c r="B41" s="86" t="s">
        <v>43</v>
      </c>
      <c r="C41" s="83"/>
      <c r="D41" s="68"/>
      <c r="E41" s="83"/>
      <c r="F41" s="68"/>
      <c r="G41" s="59"/>
      <c r="H41" s="68"/>
      <c r="I41" s="61"/>
      <c r="J41" s="68"/>
      <c r="K41" s="62"/>
      <c r="L41" s="68"/>
      <c r="M41" s="87">
        <f>+M39/$E39</f>
        <v>49.112981637905854</v>
      </c>
      <c r="N41" s="68"/>
      <c r="O41" s="63"/>
      <c r="P41" s="68"/>
      <c r="Q41" s="63"/>
      <c r="R41" s="68"/>
      <c r="S41" s="64"/>
      <c r="T41" s="68"/>
      <c r="U41" s="87">
        <f>+U39/$E39</f>
        <v>61.530403952798643</v>
      </c>
      <c r="V41" s="88"/>
    </row>
    <row r="42" spans="2:22" ht="13.5" thickTop="1">
      <c r="B42" s="58" t="s">
        <v>44</v>
      </c>
      <c r="C42" s="59">
        <v>691.54978422987779</v>
      </c>
      <c r="D42" s="60"/>
      <c r="E42" s="59"/>
      <c r="F42" s="60"/>
      <c r="G42" s="59"/>
      <c r="H42" s="60"/>
      <c r="I42" s="61"/>
      <c r="J42" s="60"/>
      <c r="K42" s="62"/>
      <c r="L42" s="60"/>
      <c r="M42" s="62"/>
      <c r="N42" s="60"/>
      <c r="O42" s="63"/>
      <c r="P42" s="60"/>
      <c r="Q42" s="63"/>
      <c r="R42" s="60"/>
      <c r="S42" s="64"/>
      <c r="T42" s="60"/>
      <c r="U42" s="65"/>
      <c r="V42" s="66"/>
    </row>
    <row r="43" spans="2:22">
      <c r="B43" s="67" t="s">
        <v>30</v>
      </c>
      <c r="C43" s="59"/>
      <c r="D43" s="68"/>
      <c r="E43" s="59">
        <v>95</v>
      </c>
      <c r="F43" s="68"/>
      <c r="G43" s="69"/>
      <c r="H43" s="68"/>
      <c r="I43" s="70">
        <v>9.42</v>
      </c>
      <c r="J43" s="68"/>
      <c r="K43" s="62">
        <f>+E43*I43</f>
        <v>894.9</v>
      </c>
      <c r="L43" s="68"/>
      <c r="M43" s="62">
        <f>+K43</f>
        <v>894.9</v>
      </c>
      <c r="N43" s="68"/>
      <c r="O43" s="63">
        <f>+E43</f>
        <v>95</v>
      </c>
      <c r="P43" s="68"/>
      <c r="Q43" s="63"/>
      <c r="R43" s="68"/>
      <c r="S43" s="71">
        <v>15.53</v>
      </c>
      <c r="T43" s="68"/>
      <c r="U43" s="72">
        <f>+O43*S43</f>
        <v>1475.35</v>
      </c>
      <c r="V43" s="73"/>
    </row>
    <row r="44" spans="2:22">
      <c r="B44" s="67" t="s">
        <v>31</v>
      </c>
      <c r="C44" s="59"/>
      <c r="D44" s="68"/>
      <c r="E44" s="59"/>
      <c r="F44" s="68"/>
      <c r="G44" s="59">
        <v>311.97773439665684</v>
      </c>
      <c r="H44" s="68"/>
      <c r="I44" s="70">
        <v>3.86</v>
      </c>
      <c r="J44" s="68"/>
      <c r="K44" s="63">
        <f>+G44*I44</f>
        <v>1204.2340547710953</v>
      </c>
      <c r="L44" s="68"/>
      <c r="M44" s="62">
        <f t="shared" ref="M44:M48" si="12">+K44</f>
        <v>1204.2340547710953</v>
      </c>
      <c r="N44" s="68"/>
      <c r="O44" s="63"/>
      <c r="P44" s="68"/>
      <c r="Q44" s="63">
        <f>+G44</f>
        <v>311.97773439665684</v>
      </c>
      <c r="R44" s="68"/>
      <c r="S44" s="75">
        <v>3.8170000000000002</v>
      </c>
      <c r="T44" s="68"/>
      <c r="U44" s="72">
        <f>+Q44*S44</f>
        <v>1190.8190121920393</v>
      </c>
      <c r="V44" s="73"/>
    </row>
    <row r="45" spans="2:22">
      <c r="B45" s="67" t="s">
        <v>32</v>
      </c>
      <c r="C45" s="59"/>
      <c r="D45" s="68"/>
      <c r="E45" s="59"/>
      <c r="F45" s="68"/>
      <c r="G45" s="59">
        <v>232.83469465512084</v>
      </c>
      <c r="H45" s="68"/>
      <c r="I45" s="70">
        <v>3.53</v>
      </c>
      <c r="J45" s="68"/>
      <c r="K45" s="63">
        <f t="shared" ref="K45:K48" si="13">+G45*I45</f>
        <v>821.90647213257648</v>
      </c>
      <c r="L45" s="68"/>
      <c r="M45" s="62">
        <f t="shared" si="12"/>
        <v>821.90647213257648</v>
      </c>
      <c r="N45" s="68"/>
      <c r="O45" s="63"/>
      <c r="P45" s="68"/>
      <c r="Q45" s="63">
        <f t="shared" ref="Q45:Q48" si="14">+G45</f>
        <v>232.83469465512084</v>
      </c>
      <c r="R45" s="68"/>
      <c r="S45" s="75">
        <v>3.8170000000000002</v>
      </c>
      <c r="T45" s="68"/>
      <c r="U45" s="72">
        <f t="shared" ref="U45:U48" si="15">+Q45*S45</f>
        <v>888.73002949859631</v>
      </c>
      <c r="V45" s="73"/>
    </row>
    <row r="46" spans="2:22">
      <c r="B46" s="67" t="s">
        <v>33</v>
      </c>
      <c r="C46" s="59"/>
      <c r="D46" s="68"/>
      <c r="E46" s="59"/>
      <c r="F46" s="68"/>
      <c r="G46" s="59">
        <v>48.698596428810134</v>
      </c>
      <c r="H46" s="68"/>
      <c r="I46" s="70">
        <v>3.35</v>
      </c>
      <c r="J46" s="68"/>
      <c r="K46" s="63">
        <f t="shared" si="13"/>
        <v>163.14029803651397</v>
      </c>
      <c r="L46" s="68"/>
      <c r="M46" s="62">
        <f t="shared" si="12"/>
        <v>163.14029803651397</v>
      </c>
      <c r="N46" s="68"/>
      <c r="O46" s="63"/>
      <c r="P46" s="68"/>
      <c r="Q46" s="63">
        <f t="shared" si="14"/>
        <v>48.698596428810134</v>
      </c>
      <c r="R46" s="68"/>
      <c r="S46" s="75">
        <v>3.8170000000000002</v>
      </c>
      <c r="T46" s="68"/>
      <c r="U46" s="72">
        <f t="shared" si="15"/>
        <v>185.88254256876829</v>
      </c>
      <c r="V46" s="73"/>
    </row>
    <row r="47" spans="2:22">
      <c r="B47" s="67" t="s">
        <v>34</v>
      </c>
      <c r="C47" s="59"/>
      <c r="D47" s="68"/>
      <c r="E47" s="59"/>
      <c r="F47" s="68"/>
      <c r="G47" s="59">
        <v>16.677772568695147</v>
      </c>
      <c r="H47" s="68"/>
      <c r="I47" s="70">
        <v>3.01</v>
      </c>
      <c r="J47" s="68"/>
      <c r="K47" s="63">
        <f t="shared" si="13"/>
        <v>50.20009543177239</v>
      </c>
      <c r="L47" s="68"/>
      <c r="M47" s="62">
        <f t="shared" si="12"/>
        <v>50.20009543177239</v>
      </c>
      <c r="N47" s="68"/>
      <c r="O47" s="63"/>
      <c r="P47" s="68"/>
      <c r="Q47" s="63">
        <f t="shared" si="14"/>
        <v>16.677772568695147</v>
      </c>
      <c r="R47" s="68"/>
      <c r="S47" s="75">
        <v>3.8170000000000002</v>
      </c>
      <c r="T47" s="68"/>
      <c r="U47" s="72">
        <f t="shared" si="15"/>
        <v>63.659057894709377</v>
      </c>
      <c r="V47" s="73"/>
    </row>
    <row r="48" spans="2:22">
      <c r="B48" s="67" t="s">
        <v>35</v>
      </c>
      <c r="C48" s="59"/>
      <c r="D48" s="68"/>
      <c r="E48" s="59"/>
      <c r="F48" s="68"/>
      <c r="G48" s="59">
        <v>0</v>
      </c>
      <c r="H48" s="68"/>
      <c r="I48" s="70">
        <v>2.76</v>
      </c>
      <c r="J48" s="68"/>
      <c r="K48" s="63">
        <f t="shared" si="13"/>
        <v>0</v>
      </c>
      <c r="L48" s="68"/>
      <c r="M48" s="62">
        <f t="shared" si="12"/>
        <v>0</v>
      </c>
      <c r="N48" s="68"/>
      <c r="O48" s="63"/>
      <c r="P48" s="68"/>
      <c r="Q48" s="63">
        <f t="shared" si="14"/>
        <v>0</v>
      </c>
      <c r="R48" s="68"/>
      <c r="S48" s="75">
        <v>3.8170000000000002</v>
      </c>
      <c r="T48" s="68"/>
      <c r="U48" s="72">
        <f t="shared" si="15"/>
        <v>0</v>
      </c>
      <c r="V48" s="73"/>
    </row>
    <row r="49" spans="2:22" ht="13.5" thickBot="1">
      <c r="B49" s="78" t="s">
        <v>45</v>
      </c>
      <c r="C49" s="79">
        <f>SUM(C42:C48)</f>
        <v>691.54978422987779</v>
      </c>
      <c r="D49" s="80"/>
      <c r="E49" s="79">
        <f>SUM(E42:E48)</f>
        <v>95</v>
      </c>
      <c r="F49" s="80"/>
      <c r="G49" s="79">
        <f>SUM(G42:G48)</f>
        <v>610.18879804928292</v>
      </c>
      <c r="H49" s="80"/>
      <c r="I49" s="50"/>
      <c r="J49" s="80"/>
      <c r="K49" s="81">
        <f>SUM(K42:K48)</f>
        <v>3134.3809203719579</v>
      </c>
      <c r="L49" s="80"/>
      <c r="M49" s="81">
        <f>SUM(M42:M48)</f>
        <v>3134.3809203719579</v>
      </c>
      <c r="N49" s="80"/>
      <c r="O49" s="79">
        <f>SUM(O42:O48)</f>
        <v>95</v>
      </c>
      <c r="P49" s="80"/>
      <c r="Q49" s="79">
        <f>SUM(Q42:Q48)</f>
        <v>610.18879804928292</v>
      </c>
      <c r="R49" s="80"/>
      <c r="S49" s="64"/>
      <c r="T49" s="80"/>
      <c r="U49" s="81">
        <f>SUM(U42:U48)</f>
        <v>3804.440642154113</v>
      </c>
      <c r="V49" s="82"/>
    </row>
    <row r="50" spans="2:22" ht="13.5" thickTop="1">
      <c r="B50" s="78"/>
      <c r="C50" s="83"/>
      <c r="D50" s="68"/>
      <c r="E50" s="83"/>
      <c r="F50" s="68"/>
      <c r="G50" s="59"/>
      <c r="H50" s="68"/>
      <c r="I50" s="61"/>
      <c r="J50" s="68"/>
      <c r="K50" s="62"/>
      <c r="L50" s="68"/>
      <c r="M50" s="62"/>
      <c r="N50" s="68"/>
      <c r="O50" s="63"/>
      <c r="P50" s="68"/>
      <c r="Q50" s="63"/>
      <c r="R50" s="68"/>
      <c r="S50" s="64"/>
      <c r="T50" s="68"/>
      <c r="U50" s="84"/>
      <c r="V50" s="85"/>
    </row>
    <row r="51" spans="2:22" ht="13.5" thickBot="1">
      <c r="B51" s="86" t="s">
        <v>46</v>
      </c>
      <c r="C51" s="83"/>
      <c r="D51" s="68"/>
      <c r="E51" s="83"/>
      <c r="F51" s="68"/>
      <c r="G51" s="59"/>
      <c r="H51" s="68"/>
      <c r="I51" s="61"/>
      <c r="J51" s="68"/>
      <c r="K51" s="62"/>
      <c r="L51" s="68"/>
      <c r="M51" s="87">
        <f>+M49/$E49</f>
        <v>32.993483372336399</v>
      </c>
      <c r="N51" s="68"/>
      <c r="O51" s="63"/>
      <c r="P51" s="68"/>
      <c r="Q51" s="63"/>
      <c r="R51" s="68"/>
      <c r="S51" s="64"/>
      <c r="T51" s="68"/>
      <c r="U51" s="87">
        <f>+U49/$E49</f>
        <v>40.046743601622239</v>
      </c>
      <c r="V51" s="88"/>
    </row>
    <row r="52" spans="2:22" ht="13.5" thickTop="1">
      <c r="B52" s="58" t="s">
        <v>47</v>
      </c>
      <c r="C52" s="59">
        <v>11.83510818548233</v>
      </c>
      <c r="D52" s="60"/>
      <c r="E52" s="59"/>
      <c r="F52" s="60"/>
      <c r="G52" s="59"/>
      <c r="H52" s="60"/>
      <c r="I52" s="61"/>
      <c r="J52" s="60"/>
      <c r="K52" s="62"/>
      <c r="L52" s="60"/>
      <c r="M52" s="62"/>
      <c r="N52" s="60"/>
      <c r="O52" s="63"/>
      <c r="P52" s="60"/>
      <c r="Q52" s="63"/>
      <c r="R52" s="60"/>
      <c r="S52" s="64"/>
      <c r="T52" s="60"/>
      <c r="U52" s="65"/>
      <c r="V52" s="66"/>
    </row>
    <row r="53" spans="2:22">
      <c r="B53" s="67" t="s">
        <v>30</v>
      </c>
      <c r="C53" s="59"/>
      <c r="D53" s="68"/>
      <c r="E53" s="59">
        <v>24</v>
      </c>
      <c r="F53" s="68"/>
      <c r="G53" s="59"/>
      <c r="H53" s="68"/>
      <c r="I53" s="70">
        <v>9.42</v>
      </c>
      <c r="J53" s="68"/>
      <c r="K53" s="89">
        <f>+E53*I53</f>
        <v>226.07999999999998</v>
      </c>
      <c r="L53" s="68"/>
      <c r="M53" s="62">
        <f>+K53</f>
        <v>226.07999999999998</v>
      </c>
      <c r="N53" s="68"/>
      <c r="O53" s="63">
        <f>+E53</f>
        <v>24</v>
      </c>
      <c r="P53" s="68"/>
      <c r="Q53" s="63"/>
      <c r="R53" s="68"/>
      <c r="S53" s="71">
        <v>15.53</v>
      </c>
      <c r="T53" s="68"/>
      <c r="U53" s="72">
        <f>+O53*S53</f>
        <v>372.71999999999997</v>
      </c>
      <c r="V53" s="73"/>
    </row>
    <row r="54" spans="2:22">
      <c r="B54" s="67" t="s">
        <v>31</v>
      </c>
      <c r="C54" s="59"/>
      <c r="D54" s="68"/>
      <c r="E54" s="59"/>
      <c r="F54" s="68"/>
      <c r="G54" s="59">
        <v>0</v>
      </c>
      <c r="H54" s="68"/>
      <c r="I54" s="70">
        <v>3.86</v>
      </c>
      <c r="J54" s="68"/>
      <c r="K54" s="63">
        <f>+G54*I54</f>
        <v>0</v>
      </c>
      <c r="L54" s="68"/>
      <c r="M54" s="62">
        <f t="shared" ref="M54:M58" si="16">+K54</f>
        <v>0</v>
      </c>
      <c r="N54" s="68"/>
      <c r="O54" s="63"/>
      <c r="P54" s="68"/>
      <c r="Q54" s="63">
        <f>+G54</f>
        <v>0</v>
      </c>
      <c r="R54" s="68"/>
      <c r="S54" s="75">
        <v>3.8170000000000002</v>
      </c>
      <c r="T54" s="68"/>
      <c r="U54" s="72">
        <f>+Q54*S54</f>
        <v>0</v>
      </c>
      <c r="V54" s="73"/>
    </row>
    <row r="55" spans="2:22">
      <c r="B55" s="67" t="s">
        <v>32</v>
      </c>
      <c r="C55" s="59"/>
      <c r="D55" s="68"/>
      <c r="E55" s="59"/>
      <c r="F55" s="68"/>
      <c r="G55" s="59">
        <v>0</v>
      </c>
      <c r="H55" s="68"/>
      <c r="I55" s="70">
        <v>3.53</v>
      </c>
      <c r="J55" s="68"/>
      <c r="K55" s="63">
        <f t="shared" ref="K55:K58" si="17">+G55*I55</f>
        <v>0</v>
      </c>
      <c r="L55" s="68"/>
      <c r="M55" s="62">
        <f t="shared" si="16"/>
        <v>0</v>
      </c>
      <c r="N55" s="68"/>
      <c r="O55" s="63"/>
      <c r="P55" s="68"/>
      <c r="Q55" s="63">
        <f t="shared" ref="Q55:Q58" si="18">+G55</f>
        <v>0</v>
      </c>
      <c r="R55" s="68"/>
      <c r="S55" s="75">
        <v>3.8170000000000002</v>
      </c>
      <c r="T55" s="68"/>
      <c r="U55" s="72">
        <f t="shared" ref="U55:U58" si="19">+Q55*S55</f>
        <v>0</v>
      </c>
      <c r="V55" s="73"/>
    </row>
    <row r="56" spans="2:22">
      <c r="B56" s="67" t="s">
        <v>33</v>
      </c>
      <c r="C56" s="59"/>
      <c r="D56" s="68"/>
      <c r="E56" s="59"/>
      <c r="F56" s="68"/>
      <c r="G56" s="59">
        <v>0</v>
      </c>
      <c r="H56" s="68"/>
      <c r="I56" s="70">
        <v>3.35</v>
      </c>
      <c r="J56" s="68"/>
      <c r="K56" s="63">
        <f t="shared" si="17"/>
        <v>0</v>
      </c>
      <c r="L56" s="68"/>
      <c r="M56" s="62">
        <f t="shared" si="16"/>
        <v>0</v>
      </c>
      <c r="N56" s="68"/>
      <c r="O56" s="63"/>
      <c r="P56" s="68"/>
      <c r="Q56" s="63">
        <f t="shared" si="18"/>
        <v>0</v>
      </c>
      <c r="R56" s="68"/>
      <c r="S56" s="75">
        <v>3.8170000000000002</v>
      </c>
      <c r="T56" s="68"/>
      <c r="U56" s="72">
        <f t="shared" si="19"/>
        <v>0</v>
      </c>
      <c r="V56" s="73"/>
    </row>
    <row r="57" spans="2:22">
      <c r="B57" s="67" t="s">
        <v>34</v>
      </c>
      <c r="C57" s="59"/>
      <c r="D57" s="68"/>
      <c r="E57" s="59"/>
      <c r="F57" s="68"/>
      <c r="G57" s="59">
        <v>0</v>
      </c>
      <c r="H57" s="68"/>
      <c r="I57" s="70">
        <v>3.01</v>
      </c>
      <c r="J57" s="68"/>
      <c r="K57" s="63">
        <f t="shared" si="17"/>
        <v>0</v>
      </c>
      <c r="L57" s="68"/>
      <c r="M57" s="62">
        <f t="shared" si="16"/>
        <v>0</v>
      </c>
      <c r="N57" s="68"/>
      <c r="O57" s="63"/>
      <c r="P57" s="68"/>
      <c r="Q57" s="63">
        <f t="shared" si="18"/>
        <v>0</v>
      </c>
      <c r="R57" s="68"/>
      <c r="S57" s="75">
        <v>3.8170000000000002</v>
      </c>
      <c r="T57" s="68"/>
      <c r="U57" s="72">
        <f t="shared" si="19"/>
        <v>0</v>
      </c>
      <c r="V57" s="73"/>
    </row>
    <row r="58" spans="2:22">
      <c r="B58" s="67" t="s">
        <v>35</v>
      </c>
      <c r="C58" s="59"/>
      <c r="D58" s="68"/>
      <c r="E58" s="59"/>
      <c r="F58" s="68"/>
      <c r="G58" s="59">
        <v>0</v>
      </c>
      <c r="H58" s="68"/>
      <c r="I58" s="70">
        <v>2.76</v>
      </c>
      <c r="J58" s="68"/>
      <c r="K58" s="63">
        <f t="shared" si="17"/>
        <v>0</v>
      </c>
      <c r="L58" s="68"/>
      <c r="M58" s="62">
        <f t="shared" si="16"/>
        <v>0</v>
      </c>
      <c r="N58" s="68"/>
      <c r="O58" s="63"/>
      <c r="P58" s="68"/>
      <c r="Q58" s="63">
        <f t="shared" si="18"/>
        <v>0</v>
      </c>
      <c r="R58" s="68"/>
      <c r="S58" s="75">
        <v>3.8170000000000002</v>
      </c>
      <c r="T58" s="68"/>
      <c r="U58" s="72">
        <f t="shared" si="19"/>
        <v>0</v>
      </c>
      <c r="V58" s="73"/>
    </row>
    <row r="59" spans="2:22" ht="13.5" thickBot="1">
      <c r="B59" s="78" t="s">
        <v>48</v>
      </c>
      <c r="C59" s="79">
        <f>SUM(C52:C58)</f>
        <v>11.83510818548233</v>
      </c>
      <c r="D59" s="80"/>
      <c r="E59" s="79">
        <f>SUM(E52:E58)</f>
        <v>24</v>
      </c>
      <c r="F59" s="80"/>
      <c r="G59" s="79">
        <f>SUM(G52:G58)</f>
        <v>0</v>
      </c>
      <c r="H59" s="80"/>
      <c r="I59" s="50"/>
      <c r="J59" s="80"/>
      <c r="K59" s="81">
        <f>SUM(K52:K58)</f>
        <v>226.07999999999998</v>
      </c>
      <c r="L59" s="80"/>
      <c r="M59" s="81">
        <f>SUM(M52:M58)</f>
        <v>226.07999999999998</v>
      </c>
      <c r="N59" s="80"/>
      <c r="O59" s="79">
        <f>SUM(O52:O58)</f>
        <v>24</v>
      </c>
      <c r="P59" s="80"/>
      <c r="Q59" s="79">
        <f>SUM(Q52:Q58)</f>
        <v>0</v>
      </c>
      <c r="R59" s="80"/>
      <c r="S59" s="64"/>
      <c r="T59" s="80"/>
      <c r="U59" s="81">
        <f>SUM(U52:U58)</f>
        <v>372.71999999999997</v>
      </c>
      <c r="V59" s="82"/>
    </row>
    <row r="60" spans="2:22" ht="13.5" thickTop="1">
      <c r="B60" s="78"/>
      <c r="C60" s="83"/>
      <c r="D60" s="68"/>
      <c r="E60" s="83"/>
      <c r="F60" s="68"/>
      <c r="G60" s="59"/>
      <c r="H60" s="68"/>
      <c r="I60" s="61"/>
      <c r="J60" s="68"/>
      <c r="K60" s="62"/>
      <c r="L60" s="68"/>
      <c r="M60" s="62"/>
      <c r="N60" s="68"/>
      <c r="O60" s="63"/>
      <c r="P60" s="68"/>
      <c r="Q60" s="63"/>
      <c r="R60" s="68"/>
      <c r="S60" s="64"/>
      <c r="T60" s="68"/>
      <c r="U60" s="84"/>
      <c r="V60" s="85"/>
    </row>
    <row r="61" spans="2:22" ht="13.5" thickBot="1">
      <c r="B61" s="86" t="s">
        <v>49</v>
      </c>
      <c r="C61" s="83"/>
      <c r="D61" s="68"/>
      <c r="E61" s="83"/>
      <c r="F61" s="68"/>
      <c r="G61" s="59"/>
      <c r="H61" s="68"/>
      <c r="I61" s="61"/>
      <c r="J61" s="68"/>
      <c r="K61" s="62"/>
      <c r="L61" s="68"/>
      <c r="M61" s="87">
        <f>+M59/$E59</f>
        <v>9.42</v>
      </c>
      <c r="N61" s="68"/>
      <c r="O61" s="63"/>
      <c r="P61" s="68"/>
      <c r="Q61" s="63"/>
      <c r="R61" s="68"/>
      <c r="S61" s="64"/>
      <c r="T61" s="68"/>
      <c r="U61" s="87">
        <f>+U59/$E59</f>
        <v>15.53</v>
      </c>
      <c r="V61" s="88"/>
    </row>
    <row r="62" spans="2:22" ht="13.5" thickTop="1">
      <c r="B62" s="58" t="s">
        <v>50</v>
      </c>
      <c r="C62" s="59">
        <v>12177.586628599722</v>
      </c>
      <c r="D62" s="60"/>
      <c r="E62" s="59"/>
      <c r="F62" s="60"/>
      <c r="G62" s="59"/>
      <c r="H62" s="60"/>
      <c r="I62" s="61"/>
      <c r="J62" s="60"/>
      <c r="K62" s="62"/>
      <c r="L62" s="60"/>
      <c r="M62" s="62"/>
      <c r="N62" s="60"/>
      <c r="O62" s="63"/>
      <c r="P62" s="60"/>
      <c r="Q62" s="63"/>
      <c r="R62" s="60"/>
      <c r="S62" s="64"/>
      <c r="T62" s="60"/>
      <c r="U62" s="65"/>
      <c r="V62" s="66"/>
    </row>
    <row r="63" spans="2:22">
      <c r="B63" s="67" t="s">
        <v>51</v>
      </c>
      <c r="C63" s="59"/>
      <c r="D63" s="68"/>
      <c r="E63" s="59">
        <v>800</v>
      </c>
      <c r="F63" s="68"/>
      <c r="G63" s="59"/>
      <c r="H63" s="68"/>
      <c r="I63" s="70">
        <v>28.67</v>
      </c>
      <c r="J63" s="68"/>
      <c r="K63" s="62">
        <f>+E63*I63</f>
        <v>22936</v>
      </c>
      <c r="L63" s="68"/>
      <c r="M63" s="62">
        <f>+K63</f>
        <v>22936</v>
      </c>
      <c r="N63" s="68"/>
      <c r="O63" s="63">
        <f>+E63</f>
        <v>800</v>
      </c>
      <c r="P63" s="68"/>
      <c r="Q63" s="63"/>
      <c r="R63" s="68"/>
      <c r="S63" s="71">
        <v>40.229999999999997</v>
      </c>
      <c r="T63" s="68"/>
      <c r="U63" s="72">
        <f>+O63*S63</f>
        <v>32183.999999999996</v>
      </c>
      <c r="V63" s="73"/>
    </row>
    <row r="64" spans="2:22">
      <c r="B64" s="67" t="s">
        <v>52</v>
      </c>
      <c r="C64" s="59"/>
      <c r="D64" s="68"/>
      <c r="E64" s="59"/>
      <c r="F64" s="68"/>
      <c r="G64" s="59">
        <v>1491.1664535700945</v>
      </c>
      <c r="H64" s="68"/>
      <c r="I64" s="70">
        <v>3.86</v>
      </c>
      <c r="J64" s="68"/>
      <c r="K64" s="63">
        <f>+G64*I64</f>
        <v>5755.9025107805646</v>
      </c>
      <c r="L64" s="68"/>
      <c r="M64" s="62">
        <f t="shared" ref="M64:M68" si="20">+K64</f>
        <v>5755.9025107805646</v>
      </c>
      <c r="N64" s="68"/>
      <c r="O64" s="63"/>
      <c r="P64" s="68"/>
      <c r="Q64" s="63">
        <f>+G64</f>
        <v>1491.1664535700945</v>
      </c>
      <c r="R64" s="68"/>
      <c r="S64" s="75">
        <v>3.8170000000000002</v>
      </c>
      <c r="T64" s="68"/>
      <c r="U64" s="72">
        <f>+Q64*S64</f>
        <v>5691.7823532770508</v>
      </c>
      <c r="V64" s="73"/>
    </row>
    <row r="65" spans="2:22">
      <c r="B65" s="67" t="s">
        <v>32</v>
      </c>
      <c r="C65" s="59"/>
      <c r="D65" s="68"/>
      <c r="E65" s="59"/>
      <c r="F65" s="68"/>
      <c r="G65" s="59">
        <v>3455.8482552460218</v>
      </c>
      <c r="H65" s="68"/>
      <c r="I65" s="70">
        <v>3.53</v>
      </c>
      <c r="J65" s="68"/>
      <c r="K65" s="63">
        <f t="shared" ref="K65:K68" si="21">+G65*I65</f>
        <v>12199.144341018457</v>
      </c>
      <c r="L65" s="68"/>
      <c r="M65" s="62">
        <f t="shared" si="20"/>
        <v>12199.144341018457</v>
      </c>
      <c r="N65" s="68"/>
      <c r="O65" s="63"/>
      <c r="P65" s="68"/>
      <c r="Q65" s="63">
        <f t="shared" ref="Q65:Q68" si="22">+G65</f>
        <v>3455.8482552460218</v>
      </c>
      <c r="R65" s="68"/>
      <c r="S65" s="75">
        <v>3.8170000000000002</v>
      </c>
      <c r="T65" s="68"/>
      <c r="U65" s="72">
        <f t="shared" ref="U65:U68" si="23">+Q65*S65</f>
        <v>13190.972790274065</v>
      </c>
      <c r="V65" s="73"/>
    </row>
    <row r="66" spans="2:22">
      <c r="B66" s="67" t="s">
        <v>33</v>
      </c>
      <c r="C66" s="59"/>
      <c r="D66" s="68"/>
      <c r="E66" s="59"/>
      <c r="F66" s="68"/>
      <c r="G66" s="59">
        <v>2424.901505717829</v>
      </c>
      <c r="H66" s="68"/>
      <c r="I66" s="70">
        <v>3.35</v>
      </c>
      <c r="J66" s="68"/>
      <c r="K66" s="63">
        <f t="shared" si="21"/>
        <v>8123.4200441547273</v>
      </c>
      <c r="L66" s="68"/>
      <c r="M66" s="62">
        <f t="shared" si="20"/>
        <v>8123.4200441547273</v>
      </c>
      <c r="N66" s="68"/>
      <c r="O66" s="63"/>
      <c r="P66" s="68"/>
      <c r="Q66" s="63">
        <f t="shared" si="22"/>
        <v>2424.901505717829</v>
      </c>
      <c r="R66" s="68"/>
      <c r="S66" s="75">
        <v>3.8170000000000002</v>
      </c>
      <c r="T66" s="68"/>
      <c r="U66" s="72">
        <f t="shared" si="23"/>
        <v>9255.8490473249531</v>
      </c>
      <c r="V66" s="73"/>
    </row>
    <row r="67" spans="2:22">
      <c r="B67" s="67" t="s">
        <v>34</v>
      </c>
      <c r="C67" s="59"/>
      <c r="D67" s="68"/>
      <c r="E67" s="59"/>
      <c r="F67" s="68"/>
      <c r="G67" s="59">
        <v>1051.5711706819873</v>
      </c>
      <c r="H67" s="68"/>
      <c r="I67" s="70">
        <v>3.01</v>
      </c>
      <c r="J67" s="68"/>
      <c r="K67" s="63">
        <f t="shared" si="21"/>
        <v>3165.2292237527813</v>
      </c>
      <c r="L67" s="68"/>
      <c r="M67" s="62">
        <f t="shared" si="20"/>
        <v>3165.2292237527813</v>
      </c>
      <c r="N67" s="68"/>
      <c r="O67" s="63"/>
      <c r="P67" s="68"/>
      <c r="Q67" s="63">
        <f t="shared" si="22"/>
        <v>1051.5711706819873</v>
      </c>
      <c r="R67" s="68"/>
      <c r="S67" s="75">
        <v>3.8170000000000002</v>
      </c>
      <c r="T67" s="68"/>
      <c r="U67" s="72">
        <f t="shared" si="23"/>
        <v>4013.8471584931458</v>
      </c>
      <c r="V67" s="73"/>
    </row>
    <row r="68" spans="2:22">
      <c r="B68" s="67" t="s">
        <v>35</v>
      </c>
      <c r="C68" s="59"/>
      <c r="D68" s="68"/>
      <c r="E68" s="59"/>
      <c r="F68" s="68"/>
      <c r="G68" s="59">
        <v>134.01439592262963</v>
      </c>
      <c r="H68" s="68"/>
      <c r="I68" s="70">
        <v>2.76</v>
      </c>
      <c r="J68" s="68"/>
      <c r="K68" s="63">
        <f t="shared" si="21"/>
        <v>369.87973274645776</v>
      </c>
      <c r="L68" s="68"/>
      <c r="M68" s="62">
        <f t="shared" si="20"/>
        <v>369.87973274645776</v>
      </c>
      <c r="N68" s="68"/>
      <c r="O68" s="63"/>
      <c r="P68" s="68"/>
      <c r="Q68" s="63">
        <f t="shared" si="22"/>
        <v>134.01439592262963</v>
      </c>
      <c r="R68" s="68"/>
      <c r="S68" s="75">
        <v>3.8170000000000002</v>
      </c>
      <c r="T68" s="68"/>
      <c r="U68" s="72">
        <f t="shared" si="23"/>
        <v>511.53294923667733</v>
      </c>
      <c r="V68" s="73"/>
    </row>
    <row r="69" spans="2:22" ht="13.5" thickBot="1">
      <c r="B69" s="78" t="s">
        <v>53</v>
      </c>
      <c r="C69" s="79">
        <f>SUM(C62:C68)</f>
        <v>12177.586628599722</v>
      </c>
      <c r="D69" s="80"/>
      <c r="E69" s="79">
        <f>SUM(E62:E68)</f>
        <v>800</v>
      </c>
      <c r="F69" s="80"/>
      <c r="G69" s="79">
        <f>SUM(G62:G68)</f>
        <v>8557.5017811385624</v>
      </c>
      <c r="H69" s="80"/>
      <c r="I69" s="50"/>
      <c r="J69" s="80"/>
      <c r="K69" s="81">
        <f>SUM(K62:K68)</f>
        <v>52549.575852452988</v>
      </c>
      <c r="L69" s="80"/>
      <c r="M69" s="81">
        <f>SUM(M62:M68)</f>
        <v>52549.575852452988</v>
      </c>
      <c r="N69" s="80"/>
      <c r="O69" s="79">
        <f>SUM(O62:O68)</f>
        <v>800</v>
      </c>
      <c r="P69" s="80"/>
      <c r="Q69" s="79">
        <f>SUM(Q62:Q68)</f>
        <v>8557.5017811385624</v>
      </c>
      <c r="R69" s="80"/>
      <c r="S69" s="64"/>
      <c r="T69" s="80"/>
      <c r="U69" s="81">
        <f>SUM(U62:U68)</f>
        <v>64847.984298605894</v>
      </c>
      <c r="V69" s="82"/>
    </row>
    <row r="70" spans="2:22" ht="13.5" thickTop="1">
      <c r="B70" s="78"/>
      <c r="C70" s="83"/>
      <c r="D70" s="68"/>
      <c r="E70" s="83"/>
      <c r="F70" s="68"/>
      <c r="G70" s="59"/>
      <c r="H70" s="68"/>
      <c r="I70" s="61"/>
      <c r="J70" s="68"/>
      <c r="K70" s="62"/>
      <c r="L70" s="68"/>
      <c r="M70" s="62"/>
      <c r="N70" s="68"/>
      <c r="O70" s="63"/>
      <c r="P70" s="68"/>
      <c r="Q70" s="63"/>
      <c r="R70" s="68"/>
      <c r="S70" s="64"/>
      <c r="T70" s="68"/>
      <c r="U70" s="84"/>
      <c r="V70" s="85"/>
    </row>
    <row r="71" spans="2:22" ht="13.5" thickBot="1">
      <c r="B71" s="86" t="s">
        <v>54</v>
      </c>
      <c r="C71" s="83"/>
      <c r="D71" s="68"/>
      <c r="E71" s="83"/>
      <c r="F71" s="68"/>
      <c r="G71" s="59"/>
      <c r="H71" s="68"/>
      <c r="I71" s="61"/>
      <c r="J71" s="68"/>
      <c r="K71" s="62"/>
      <c r="L71" s="68"/>
      <c r="M71" s="87">
        <f>+M69/$E69</f>
        <v>65.686969815566229</v>
      </c>
      <c r="N71" s="68"/>
      <c r="O71" s="63"/>
      <c r="P71" s="68"/>
      <c r="Q71" s="63"/>
      <c r="R71" s="68"/>
      <c r="S71" s="64"/>
      <c r="T71" s="68"/>
      <c r="U71" s="87">
        <f>+U69/$E69</f>
        <v>81.05998037325736</v>
      </c>
      <c r="V71" s="88"/>
    </row>
    <row r="72" spans="2:22" ht="13.5" thickTop="1">
      <c r="B72" s="58" t="s">
        <v>55</v>
      </c>
      <c r="C72" s="59">
        <v>1766.884641617748</v>
      </c>
      <c r="D72" s="60"/>
      <c r="E72" s="59"/>
      <c r="F72" s="60"/>
      <c r="G72" s="59"/>
      <c r="H72" s="60"/>
      <c r="I72" s="61"/>
      <c r="J72" s="60"/>
      <c r="K72" s="62"/>
      <c r="L72" s="60"/>
      <c r="M72" s="62"/>
      <c r="N72" s="60"/>
      <c r="O72" s="63"/>
      <c r="P72" s="60"/>
      <c r="Q72" s="63"/>
      <c r="R72" s="60"/>
      <c r="S72" s="64"/>
      <c r="T72" s="60"/>
      <c r="U72" s="65"/>
      <c r="V72" s="66"/>
    </row>
    <row r="73" spans="2:22">
      <c r="B73" s="67" t="s">
        <v>51</v>
      </c>
      <c r="C73" s="59"/>
      <c r="D73" s="68"/>
      <c r="E73" s="59">
        <v>288</v>
      </c>
      <c r="F73" s="68"/>
      <c r="G73" s="59"/>
      <c r="H73" s="68"/>
      <c r="I73" s="70">
        <v>28.67</v>
      </c>
      <c r="J73" s="68"/>
      <c r="K73" s="62">
        <f>+E73*I73</f>
        <v>8256.9600000000009</v>
      </c>
      <c r="L73" s="68"/>
      <c r="M73" s="62">
        <f>+K73</f>
        <v>8256.9600000000009</v>
      </c>
      <c r="N73" s="68"/>
      <c r="O73" s="63">
        <f>+E73</f>
        <v>288</v>
      </c>
      <c r="P73" s="68"/>
      <c r="Q73" s="63"/>
      <c r="R73" s="68"/>
      <c r="S73" s="71">
        <v>40.229999999999997</v>
      </c>
      <c r="T73" s="68"/>
      <c r="U73" s="72">
        <f>+O73*S73</f>
        <v>11586.24</v>
      </c>
      <c r="V73" s="73"/>
    </row>
    <row r="74" spans="2:22">
      <c r="B74" s="67" t="s">
        <v>52</v>
      </c>
      <c r="C74" s="59"/>
      <c r="D74" s="68"/>
      <c r="E74" s="59"/>
      <c r="F74" s="68"/>
      <c r="G74" s="59">
        <v>282.89883583800111</v>
      </c>
      <c r="H74" s="68"/>
      <c r="I74" s="70">
        <v>3.86</v>
      </c>
      <c r="J74" s="68"/>
      <c r="K74" s="63">
        <f>+G74*I74</f>
        <v>1091.9895063346842</v>
      </c>
      <c r="L74" s="68"/>
      <c r="M74" s="62">
        <f t="shared" ref="M74:M78" si="24">+K74</f>
        <v>1091.9895063346842</v>
      </c>
      <c r="N74" s="68"/>
      <c r="O74" s="63"/>
      <c r="P74" s="68"/>
      <c r="Q74" s="63">
        <f>+G74</f>
        <v>282.89883583800111</v>
      </c>
      <c r="R74" s="68"/>
      <c r="S74" s="75">
        <v>3.8170000000000002</v>
      </c>
      <c r="T74" s="68"/>
      <c r="U74" s="72">
        <f>+Q74*S74</f>
        <v>1079.8248563936502</v>
      </c>
      <c r="V74" s="73"/>
    </row>
    <row r="75" spans="2:22">
      <c r="B75" s="67" t="s">
        <v>32</v>
      </c>
      <c r="C75" s="59"/>
      <c r="D75" s="68"/>
      <c r="E75" s="59"/>
      <c r="F75" s="68"/>
      <c r="G75" s="59">
        <v>165.3775643948612</v>
      </c>
      <c r="H75" s="68"/>
      <c r="I75" s="70">
        <v>3.53</v>
      </c>
      <c r="J75" s="68"/>
      <c r="K75" s="63">
        <f t="shared" ref="K75:K78" si="25">+G75*I75</f>
        <v>583.78280231385997</v>
      </c>
      <c r="L75" s="68"/>
      <c r="M75" s="62">
        <f t="shared" si="24"/>
        <v>583.78280231385997</v>
      </c>
      <c r="N75" s="68"/>
      <c r="O75" s="63"/>
      <c r="P75" s="68"/>
      <c r="Q75" s="63">
        <f t="shared" ref="Q75:Q78" si="26">+G75</f>
        <v>165.3775643948612</v>
      </c>
      <c r="R75" s="68"/>
      <c r="S75" s="75">
        <v>3.8170000000000002</v>
      </c>
      <c r="T75" s="68"/>
      <c r="U75" s="72">
        <f t="shared" ref="U75:U78" si="27">+Q75*S75</f>
        <v>631.24616329518517</v>
      </c>
      <c r="V75" s="73"/>
    </row>
    <row r="76" spans="2:22">
      <c r="B76" s="67" t="s">
        <v>33</v>
      </c>
      <c r="C76" s="59"/>
      <c r="D76" s="68"/>
      <c r="E76" s="59"/>
      <c r="F76" s="68"/>
      <c r="G76" s="59">
        <v>41.138178257567368</v>
      </c>
      <c r="H76" s="68"/>
      <c r="I76" s="70">
        <v>3.35</v>
      </c>
      <c r="J76" s="68"/>
      <c r="K76" s="63">
        <f t="shared" si="25"/>
        <v>137.81289716285067</v>
      </c>
      <c r="L76" s="68"/>
      <c r="M76" s="62">
        <f t="shared" si="24"/>
        <v>137.81289716285067</v>
      </c>
      <c r="N76" s="68"/>
      <c r="O76" s="63"/>
      <c r="P76" s="68"/>
      <c r="Q76" s="63">
        <f t="shared" si="26"/>
        <v>41.138178257567368</v>
      </c>
      <c r="R76" s="68"/>
      <c r="S76" s="75">
        <v>3.8170000000000002</v>
      </c>
      <c r="T76" s="68"/>
      <c r="U76" s="72">
        <f t="shared" si="27"/>
        <v>157.02442640913466</v>
      </c>
      <c r="V76" s="73"/>
    </row>
    <row r="77" spans="2:22">
      <c r="B77" s="67" t="s">
        <v>34</v>
      </c>
      <c r="C77" s="59"/>
      <c r="D77" s="68"/>
      <c r="E77" s="59"/>
      <c r="F77" s="68"/>
      <c r="G77" s="59">
        <v>0</v>
      </c>
      <c r="H77" s="68"/>
      <c r="I77" s="70">
        <v>3.01</v>
      </c>
      <c r="J77" s="68"/>
      <c r="K77" s="63">
        <f t="shared" si="25"/>
        <v>0</v>
      </c>
      <c r="L77" s="68"/>
      <c r="M77" s="62">
        <f t="shared" si="24"/>
        <v>0</v>
      </c>
      <c r="N77" s="68"/>
      <c r="O77" s="63"/>
      <c r="P77" s="68"/>
      <c r="Q77" s="63">
        <f t="shared" si="26"/>
        <v>0</v>
      </c>
      <c r="R77" s="68"/>
      <c r="S77" s="75">
        <v>3.8170000000000002</v>
      </c>
      <c r="T77" s="68"/>
      <c r="U77" s="72">
        <f t="shared" si="27"/>
        <v>0</v>
      </c>
      <c r="V77" s="73"/>
    </row>
    <row r="78" spans="2:22">
      <c r="B78" s="67" t="s">
        <v>35</v>
      </c>
      <c r="C78" s="59"/>
      <c r="D78" s="68"/>
      <c r="E78" s="59"/>
      <c r="F78" s="68"/>
      <c r="G78" s="59">
        <v>0</v>
      </c>
      <c r="H78" s="68"/>
      <c r="I78" s="70">
        <v>2.76</v>
      </c>
      <c r="J78" s="68"/>
      <c r="K78" s="63">
        <f t="shared" si="25"/>
        <v>0</v>
      </c>
      <c r="L78" s="68"/>
      <c r="M78" s="62">
        <f t="shared" si="24"/>
        <v>0</v>
      </c>
      <c r="N78" s="68"/>
      <c r="O78" s="63"/>
      <c r="P78" s="68"/>
      <c r="Q78" s="63">
        <f t="shared" si="26"/>
        <v>0</v>
      </c>
      <c r="R78" s="68"/>
      <c r="S78" s="75">
        <v>3.8170000000000002</v>
      </c>
      <c r="T78" s="68"/>
      <c r="U78" s="72">
        <f t="shared" si="27"/>
        <v>0</v>
      </c>
      <c r="V78" s="73"/>
    </row>
    <row r="79" spans="2:22" ht="13.5" thickBot="1">
      <c r="B79" s="78" t="s">
        <v>56</v>
      </c>
      <c r="C79" s="79">
        <f>SUM(C72:C78)</f>
        <v>1766.884641617748</v>
      </c>
      <c r="D79" s="80"/>
      <c r="E79" s="79">
        <f>SUM(E72:E78)</f>
        <v>288</v>
      </c>
      <c r="F79" s="80"/>
      <c r="G79" s="79">
        <f>SUM(G72:G78)</f>
        <v>489.41457849042968</v>
      </c>
      <c r="H79" s="80"/>
      <c r="I79" s="50"/>
      <c r="J79" s="80"/>
      <c r="K79" s="81">
        <f>SUM(K72:K78)</f>
        <v>10070.545205811395</v>
      </c>
      <c r="L79" s="80"/>
      <c r="M79" s="81">
        <f>SUM(M72:M78)</f>
        <v>10070.545205811395</v>
      </c>
      <c r="N79" s="80"/>
      <c r="O79" s="79">
        <f>SUM(O72:O78)</f>
        <v>288</v>
      </c>
      <c r="P79" s="80"/>
      <c r="Q79" s="79">
        <f>SUM(Q72:Q78)</f>
        <v>489.41457849042968</v>
      </c>
      <c r="R79" s="80"/>
      <c r="S79" s="64"/>
      <c r="T79" s="80"/>
      <c r="U79" s="81">
        <f>SUM(U72:U78)</f>
        <v>13454.33544609797</v>
      </c>
      <c r="V79" s="82"/>
    </row>
    <row r="80" spans="2:22" ht="13.5" thickTop="1">
      <c r="B80" s="78"/>
      <c r="C80" s="83"/>
      <c r="D80" s="68"/>
      <c r="E80" s="83"/>
      <c r="F80" s="68"/>
      <c r="G80" s="59"/>
      <c r="H80" s="68"/>
      <c r="I80" s="61"/>
      <c r="J80" s="68"/>
      <c r="K80" s="62"/>
      <c r="L80" s="68"/>
      <c r="M80" s="62"/>
      <c r="N80" s="68"/>
      <c r="O80" s="63"/>
      <c r="P80" s="68"/>
      <c r="Q80" s="63"/>
      <c r="R80" s="68"/>
      <c r="S80" s="64"/>
      <c r="T80" s="68"/>
      <c r="U80" s="84"/>
      <c r="V80" s="85"/>
    </row>
    <row r="81" spans="2:22" ht="13.5" thickBot="1">
      <c r="B81" s="86" t="s">
        <v>57</v>
      </c>
      <c r="C81" s="83"/>
      <c r="D81" s="68"/>
      <c r="E81" s="83"/>
      <c r="F81" s="68"/>
      <c r="G81" s="59"/>
      <c r="H81" s="68"/>
      <c r="I81" s="61"/>
      <c r="J81" s="68"/>
      <c r="K81" s="62"/>
      <c r="L81" s="68"/>
      <c r="M81" s="87">
        <f>+M79/$E79</f>
        <v>34.967170853511789</v>
      </c>
      <c r="N81" s="68"/>
      <c r="O81" s="63"/>
      <c r="P81" s="68"/>
      <c r="Q81" s="63"/>
      <c r="R81" s="68"/>
      <c r="S81" s="64"/>
      <c r="T81" s="68"/>
      <c r="U81" s="87">
        <f>+U79/$E79</f>
        <v>46.716442521173505</v>
      </c>
      <c r="V81" s="88"/>
    </row>
    <row r="82" spans="2:22" ht="13.5" thickTop="1">
      <c r="B82" s="58" t="s">
        <v>58</v>
      </c>
      <c r="C82" s="59">
        <v>562.89001241535846</v>
      </c>
      <c r="D82" s="60"/>
      <c r="E82" s="59"/>
      <c r="F82" s="60"/>
      <c r="G82" s="59"/>
      <c r="H82" s="60"/>
      <c r="I82" s="61"/>
      <c r="J82" s="60"/>
      <c r="K82" s="62"/>
      <c r="L82" s="60"/>
      <c r="M82" s="62"/>
      <c r="N82" s="60"/>
      <c r="O82" s="63"/>
      <c r="P82" s="60"/>
      <c r="Q82" s="63"/>
      <c r="R82" s="60"/>
      <c r="S82" s="64"/>
      <c r="T82" s="60"/>
      <c r="U82" s="65"/>
      <c r="V82" s="66"/>
    </row>
    <row r="83" spans="2:22">
      <c r="B83" s="67" t="s">
        <v>51</v>
      </c>
      <c r="C83" s="59"/>
      <c r="D83" s="68"/>
      <c r="E83" s="59">
        <v>36</v>
      </c>
      <c r="F83" s="68"/>
      <c r="G83" s="59"/>
      <c r="H83" s="68"/>
      <c r="I83" s="70">
        <v>28.67</v>
      </c>
      <c r="J83" s="68"/>
      <c r="K83" s="62">
        <f>+E83*I83</f>
        <v>1032.1200000000001</v>
      </c>
      <c r="L83" s="68"/>
      <c r="M83" s="62">
        <f>+K83</f>
        <v>1032.1200000000001</v>
      </c>
      <c r="N83" s="68"/>
      <c r="O83" s="63">
        <f>+E83</f>
        <v>36</v>
      </c>
      <c r="P83" s="68"/>
      <c r="Q83" s="63"/>
      <c r="R83" s="68"/>
      <c r="S83" s="71">
        <v>40.229999999999997</v>
      </c>
      <c r="T83" s="68"/>
      <c r="U83" s="72">
        <f>+O83*S83</f>
        <v>1448.28</v>
      </c>
      <c r="V83" s="73"/>
    </row>
    <row r="84" spans="2:22">
      <c r="B84" s="67" t="s">
        <v>52</v>
      </c>
      <c r="C84" s="59"/>
      <c r="D84" s="68"/>
      <c r="E84" s="59"/>
      <c r="F84" s="68"/>
      <c r="G84" s="59">
        <v>94.627305192315248</v>
      </c>
      <c r="H84" s="68"/>
      <c r="I84" s="70">
        <v>3.86</v>
      </c>
      <c r="J84" s="68"/>
      <c r="K84" s="63">
        <f>+G84*I84</f>
        <v>365.26139804233685</v>
      </c>
      <c r="L84" s="68"/>
      <c r="M84" s="62">
        <f t="shared" ref="M84:M88" si="28">+K84</f>
        <v>365.26139804233685</v>
      </c>
      <c r="N84" s="68"/>
      <c r="O84" s="63"/>
      <c r="P84" s="68"/>
      <c r="Q84" s="63">
        <f>+G84</f>
        <v>94.627305192315248</v>
      </c>
      <c r="R84" s="68"/>
      <c r="S84" s="75">
        <v>3.8170000000000002</v>
      </c>
      <c r="T84" s="68"/>
      <c r="U84" s="72">
        <f>+Q84*S84</f>
        <v>361.19242391906732</v>
      </c>
      <c r="V84" s="73"/>
    </row>
    <row r="85" spans="2:22">
      <c r="B85" s="67" t="s">
        <v>32</v>
      </c>
      <c r="C85" s="59"/>
      <c r="D85" s="68"/>
      <c r="E85" s="59"/>
      <c r="F85" s="68"/>
      <c r="G85" s="59">
        <v>183.63942006960082</v>
      </c>
      <c r="H85" s="68"/>
      <c r="I85" s="70">
        <v>3.53</v>
      </c>
      <c r="J85" s="68"/>
      <c r="K85" s="63">
        <f t="shared" ref="K85:K88" si="29">+G85*I85</f>
        <v>648.24715284569083</v>
      </c>
      <c r="L85" s="68"/>
      <c r="M85" s="62">
        <f t="shared" si="28"/>
        <v>648.24715284569083</v>
      </c>
      <c r="N85" s="68"/>
      <c r="O85" s="63"/>
      <c r="P85" s="68"/>
      <c r="Q85" s="63">
        <f t="shared" ref="Q85:Q88" si="30">+G85</f>
        <v>183.63942006960082</v>
      </c>
      <c r="R85" s="68"/>
      <c r="S85" s="75">
        <v>3.8170000000000002</v>
      </c>
      <c r="T85" s="68"/>
      <c r="U85" s="72">
        <f t="shared" ref="U85:U88" si="31">+Q85*S85</f>
        <v>700.9516664056664</v>
      </c>
      <c r="V85" s="73"/>
    </row>
    <row r="86" spans="2:22">
      <c r="B86" s="67" t="s">
        <v>33</v>
      </c>
      <c r="C86" s="59"/>
      <c r="D86" s="68"/>
      <c r="E86" s="59"/>
      <c r="F86" s="68"/>
      <c r="G86" s="59">
        <v>81.370607667494568</v>
      </c>
      <c r="H86" s="68"/>
      <c r="I86" s="70">
        <v>3.35</v>
      </c>
      <c r="J86" s="68"/>
      <c r="K86" s="63">
        <f t="shared" si="29"/>
        <v>272.59153568610679</v>
      </c>
      <c r="L86" s="68"/>
      <c r="M86" s="62">
        <f t="shared" si="28"/>
        <v>272.59153568610679</v>
      </c>
      <c r="N86" s="68"/>
      <c r="O86" s="63"/>
      <c r="P86" s="68"/>
      <c r="Q86" s="63">
        <f t="shared" si="30"/>
        <v>81.370607667494568</v>
      </c>
      <c r="R86" s="68"/>
      <c r="S86" s="75">
        <v>3.8170000000000002</v>
      </c>
      <c r="T86" s="68"/>
      <c r="U86" s="72">
        <f t="shared" si="31"/>
        <v>310.59160946682675</v>
      </c>
      <c r="V86" s="73"/>
    </row>
    <row r="87" spans="2:22">
      <c r="B87" s="67" t="s">
        <v>34</v>
      </c>
      <c r="C87" s="59"/>
      <c r="D87" s="68"/>
      <c r="E87" s="59"/>
      <c r="F87" s="68"/>
      <c r="G87" s="59">
        <v>13.336189454321634</v>
      </c>
      <c r="H87" s="68"/>
      <c r="I87" s="70">
        <v>3.01</v>
      </c>
      <c r="J87" s="68"/>
      <c r="K87" s="63">
        <f t="shared" si="29"/>
        <v>40.141930257508115</v>
      </c>
      <c r="L87" s="68"/>
      <c r="M87" s="62">
        <f t="shared" si="28"/>
        <v>40.141930257508115</v>
      </c>
      <c r="N87" s="68"/>
      <c r="O87" s="63"/>
      <c r="P87" s="68"/>
      <c r="Q87" s="63">
        <f t="shared" si="30"/>
        <v>13.336189454321634</v>
      </c>
      <c r="R87" s="68"/>
      <c r="S87" s="75">
        <v>3.8170000000000002</v>
      </c>
      <c r="T87" s="68"/>
      <c r="U87" s="72">
        <f t="shared" si="31"/>
        <v>50.904235147145677</v>
      </c>
      <c r="V87" s="73"/>
    </row>
    <row r="88" spans="2:22">
      <c r="B88" s="67" t="s">
        <v>35</v>
      </c>
      <c r="C88" s="59"/>
      <c r="D88" s="68"/>
      <c r="E88" s="59"/>
      <c r="F88" s="68"/>
      <c r="G88" s="59">
        <v>0</v>
      </c>
      <c r="H88" s="68"/>
      <c r="I88" s="70">
        <v>2.76</v>
      </c>
      <c r="J88" s="68"/>
      <c r="K88" s="63">
        <f t="shared" si="29"/>
        <v>0</v>
      </c>
      <c r="L88" s="68"/>
      <c r="M88" s="62">
        <f t="shared" si="28"/>
        <v>0</v>
      </c>
      <c r="N88" s="68"/>
      <c r="O88" s="63"/>
      <c r="P88" s="68"/>
      <c r="Q88" s="63">
        <f t="shared" si="30"/>
        <v>0</v>
      </c>
      <c r="R88" s="68"/>
      <c r="S88" s="75">
        <v>3.8170000000000002</v>
      </c>
      <c r="T88" s="68"/>
      <c r="U88" s="72">
        <f t="shared" si="31"/>
        <v>0</v>
      </c>
      <c r="V88" s="73"/>
    </row>
    <row r="89" spans="2:22" ht="13.5" thickBot="1">
      <c r="B89" s="78" t="s">
        <v>59</v>
      </c>
      <c r="C89" s="79">
        <f>SUM(C82:C88)</f>
        <v>562.89001241535846</v>
      </c>
      <c r="D89" s="80"/>
      <c r="E89" s="79">
        <f>SUM(E82:E88)</f>
        <v>36</v>
      </c>
      <c r="F89" s="80"/>
      <c r="G89" s="79">
        <f>SUM(G82:G88)</f>
        <v>372.97352238373225</v>
      </c>
      <c r="H89" s="80"/>
      <c r="I89" s="50"/>
      <c r="J89" s="80"/>
      <c r="K89" s="81">
        <f>SUM(K82:K88)</f>
        <v>2358.3620168316429</v>
      </c>
      <c r="L89" s="80"/>
      <c r="M89" s="81">
        <f>SUM(M82:M88)</f>
        <v>2358.3620168316429</v>
      </c>
      <c r="N89" s="80"/>
      <c r="O89" s="79">
        <f>SUM(O82:O88)</f>
        <v>36</v>
      </c>
      <c r="P89" s="80"/>
      <c r="Q89" s="79">
        <f>SUM(Q82:Q88)</f>
        <v>372.97352238373225</v>
      </c>
      <c r="R89" s="80"/>
      <c r="S89" s="64"/>
      <c r="T89" s="80"/>
      <c r="U89" s="81">
        <f>SUM(U82:U88)</f>
        <v>2871.9199349387063</v>
      </c>
      <c r="V89" s="82"/>
    </row>
    <row r="90" spans="2:22" ht="13.5" thickTop="1">
      <c r="B90" s="78"/>
      <c r="C90" s="83"/>
      <c r="D90" s="68"/>
      <c r="E90" s="83"/>
      <c r="F90" s="68"/>
      <c r="G90" s="59"/>
      <c r="H90" s="68"/>
      <c r="I90" s="61"/>
      <c r="J90" s="68"/>
      <c r="K90" s="62"/>
      <c r="L90" s="68"/>
      <c r="M90" s="62"/>
      <c r="N90" s="68"/>
      <c r="O90" s="63"/>
      <c r="P90" s="68"/>
      <c r="Q90" s="63"/>
      <c r="R90" s="68"/>
      <c r="S90" s="64"/>
      <c r="T90" s="68"/>
      <c r="U90" s="84"/>
      <c r="V90" s="85"/>
    </row>
    <row r="91" spans="2:22" ht="13.5" thickBot="1">
      <c r="B91" s="86" t="s">
        <v>60</v>
      </c>
      <c r="C91" s="83"/>
      <c r="D91" s="68"/>
      <c r="E91" s="83"/>
      <c r="F91" s="68"/>
      <c r="G91" s="59"/>
      <c r="H91" s="68"/>
      <c r="I91" s="61"/>
      <c r="J91" s="68"/>
      <c r="K91" s="62"/>
      <c r="L91" s="68"/>
      <c r="M91" s="87">
        <f>+M89/$E89</f>
        <v>65.510056023101185</v>
      </c>
      <c r="N91" s="68"/>
      <c r="O91" s="63"/>
      <c r="P91" s="68"/>
      <c r="Q91" s="63"/>
      <c r="R91" s="68"/>
      <c r="S91" s="64"/>
      <c r="T91" s="68"/>
      <c r="U91" s="87">
        <f>+U89/$E89</f>
        <v>79.775553748297398</v>
      </c>
      <c r="V91" s="88"/>
    </row>
    <row r="92" spans="2:22" ht="13.5" thickTop="1">
      <c r="B92" s="58" t="s">
        <v>61</v>
      </c>
      <c r="C92" s="59">
        <v>152.76806120169394</v>
      </c>
      <c r="D92" s="60"/>
      <c r="E92" s="59"/>
      <c r="F92" s="60"/>
      <c r="G92" s="59"/>
      <c r="H92" s="60"/>
      <c r="I92" s="61"/>
      <c r="J92" s="60"/>
      <c r="K92" s="62"/>
      <c r="L92" s="60"/>
      <c r="M92" s="62"/>
      <c r="N92" s="60"/>
      <c r="O92" s="63"/>
      <c r="P92" s="60"/>
      <c r="Q92" s="63"/>
      <c r="R92" s="60"/>
      <c r="S92" s="64"/>
      <c r="T92" s="60"/>
      <c r="U92" s="65"/>
      <c r="V92" s="66"/>
    </row>
    <row r="93" spans="2:22">
      <c r="B93" s="67" t="s">
        <v>51</v>
      </c>
      <c r="C93" s="59"/>
      <c r="D93" s="68"/>
      <c r="E93" s="59">
        <v>12</v>
      </c>
      <c r="F93" s="68"/>
      <c r="G93" s="59"/>
      <c r="H93" s="68"/>
      <c r="I93" s="70">
        <v>28.67</v>
      </c>
      <c r="J93" s="68"/>
      <c r="K93" s="62">
        <f>+E93*I93</f>
        <v>344.04</v>
      </c>
      <c r="L93" s="68"/>
      <c r="M93" s="62">
        <f>+K93</f>
        <v>344.04</v>
      </c>
      <c r="N93" s="68"/>
      <c r="O93" s="63">
        <f>+E93</f>
        <v>12</v>
      </c>
      <c r="P93" s="68"/>
      <c r="Q93" s="63"/>
      <c r="R93" s="68"/>
      <c r="S93" s="71">
        <v>40.229999999999997</v>
      </c>
      <c r="T93" s="68"/>
      <c r="U93" s="72">
        <f>+O93*S93</f>
        <v>482.76</v>
      </c>
      <c r="V93" s="73"/>
    </row>
    <row r="94" spans="2:22">
      <c r="B94" s="67" t="s">
        <v>52</v>
      </c>
      <c r="C94" s="59"/>
      <c r="D94" s="68"/>
      <c r="E94" s="59"/>
      <c r="F94" s="68"/>
      <c r="G94" s="59">
        <v>48</v>
      </c>
      <c r="H94" s="68"/>
      <c r="I94" s="70">
        <v>3.86</v>
      </c>
      <c r="J94" s="68"/>
      <c r="K94" s="63">
        <f>+G94*I94</f>
        <v>185.28</v>
      </c>
      <c r="L94" s="68"/>
      <c r="M94" s="62">
        <f t="shared" ref="M94:M98" si="32">+K94</f>
        <v>185.28</v>
      </c>
      <c r="N94" s="68"/>
      <c r="O94" s="63"/>
      <c r="P94" s="68"/>
      <c r="Q94" s="63">
        <f>+G94</f>
        <v>48</v>
      </c>
      <c r="R94" s="68"/>
      <c r="S94" s="75">
        <v>3.8170000000000002</v>
      </c>
      <c r="T94" s="68"/>
      <c r="U94" s="72">
        <f>+Q94*S94</f>
        <v>183.21600000000001</v>
      </c>
      <c r="V94" s="73"/>
    </row>
    <row r="95" spans="2:22">
      <c r="B95" s="67" t="s">
        <v>32</v>
      </c>
      <c r="C95" s="59"/>
      <c r="D95" s="68"/>
      <c r="E95" s="59"/>
      <c r="F95" s="68"/>
      <c r="G95" s="59">
        <v>32.768061201693939</v>
      </c>
      <c r="H95" s="68"/>
      <c r="I95" s="70">
        <v>3.53</v>
      </c>
      <c r="J95" s="68"/>
      <c r="K95" s="63">
        <f t="shared" ref="K95:K98" si="33">+G95*I95</f>
        <v>115.6712560419796</v>
      </c>
      <c r="L95" s="68"/>
      <c r="M95" s="62">
        <f t="shared" si="32"/>
        <v>115.6712560419796</v>
      </c>
      <c r="N95" s="68"/>
      <c r="O95" s="63"/>
      <c r="P95" s="68"/>
      <c r="Q95" s="63">
        <f t="shared" ref="Q95:Q98" si="34">+G95</f>
        <v>32.768061201693939</v>
      </c>
      <c r="R95" s="68"/>
      <c r="S95" s="75">
        <v>3.8170000000000002</v>
      </c>
      <c r="T95" s="68"/>
      <c r="U95" s="72">
        <f t="shared" ref="U95:U98" si="35">+Q95*S95</f>
        <v>125.07568960686577</v>
      </c>
      <c r="V95" s="73"/>
    </row>
    <row r="96" spans="2:22">
      <c r="B96" s="67" t="s">
        <v>33</v>
      </c>
      <c r="C96" s="59"/>
      <c r="D96" s="68"/>
      <c r="E96" s="59"/>
      <c r="F96" s="68"/>
      <c r="G96" s="59">
        <v>0</v>
      </c>
      <c r="H96" s="68"/>
      <c r="I96" s="70">
        <v>3.35</v>
      </c>
      <c r="J96" s="68"/>
      <c r="K96" s="63">
        <f t="shared" si="33"/>
        <v>0</v>
      </c>
      <c r="L96" s="68"/>
      <c r="M96" s="62">
        <f t="shared" si="32"/>
        <v>0</v>
      </c>
      <c r="N96" s="68"/>
      <c r="O96" s="63"/>
      <c r="P96" s="68"/>
      <c r="Q96" s="63">
        <f t="shared" si="34"/>
        <v>0</v>
      </c>
      <c r="R96" s="68"/>
      <c r="S96" s="75">
        <v>3.8170000000000002</v>
      </c>
      <c r="T96" s="68"/>
      <c r="U96" s="72">
        <f t="shared" si="35"/>
        <v>0</v>
      </c>
      <c r="V96" s="73"/>
    </row>
    <row r="97" spans="2:22">
      <c r="B97" s="67" t="s">
        <v>34</v>
      </c>
      <c r="C97" s="59"/>
      <c r="D97" s="68"/>
      <c r="E97" s="59"/>
      <c r="F97" s="68"/>
      <c r="G97" s="59">
        <v>0</v>
      </c>
      <c r="H97" s="68"/>
      <c r="I97" s="70">
        <v>3.01</v>
      </c>
      <c r="J97" s="68"/>
      <c r="K97" s="63">
        <f t="shared" si="33"/>
        <v>0</v>
      </c>
      <c r="L97" s="68"/>
      <c r="M97" s="62">
        <f t="shared" si="32"/>
        <v>0</v>
      </c>
      <c r="N97" s="68"/>
      <c r="O97" s="63"/>
      <c r="P97" s="68"/>
      <c r="Q97" s="63">
        <f t="shared" si="34"/>
        <v>0</v>
      </c>
      <c r="R97" s="68"/>
      <c r="S97" s="75">
        <v>3.8170000000000002</v>
      </c>
      <c r="T97" s="68"/>
      <c r="U97" s="72">
        <f t="shared" si="35"/>
        <v>0</v>
      </c>
      <c r="V97" s="73"/>
    </row>
    <row r="98" spans="2:22">
      <c r="B98" s="67" t="s">
        <v>35</v>
      </c>
      <c r="C98" s="59"/>
      <c r="D98" s="68"/>
      <c r="E98" s="59"/>
      <c r="F98" s="68"/>
      <c r="G98" s="59">
        <v>0</v>
      </c>
      <c r="H98" s="68"/>
      <c r="I98" s="70">
        <v>2.76</v>
      </c>
      <c r="J98" s="68"/>
      <c r="K98" s="63">
        <f t="shared" si="33"/>
        <v>0</v>
      </c>
      <c r="L98" s="68"/>
      <c r="M98" s="62">
        <f t="shared" si="32"/>
        <v>0</v>
      </c>
      <c r="N98" s="68"/>
      <c r="O98" s="63"/>
      <c r="P98" s="68"/>
      <c r="Q98" s="63">
        <f t="shared" si="34"/>
        <v>0</v>
      </c>
      <c r="R98" s="68"/>
      <c r="S98" s="75">
        <v>3.8170000000000002</v>
      </c>
      <c r="T98" s="68"/>
      <c r="U98" s="72">
        <f t="shared" si="35"/>
        <v>0</v>
      </c>
      <c r="V98" s="73"/>
    </row>
    <row r="99" spans="2:22" ht="13.5" thickBot="1">
      <c r="B99" s="78" t="s">
        <v>62</v>
      </c>
      <c r="C99" s="79">
        <f>SUM(C92:C98)</f>
        <v>152.76806120169394</v>
      </c>
      <c r="D99" s="80"/>
      <c r="E99" s="79">
        <f>SUM(E92:E98)</f>
        <v>12</v>
      </c>
      <c r="F99" s="80"/>
      <c r="G99" s="79">
        <f>SUM(G92:G98)</f>
        <v>80.768061201693939</v>
      </c>
      <c r="H99" s="80"/>
      <c r="I99" s="50"/>
      <c r="J99" s="80"/>
      <c r="K99" s="81">
        <f>SUM(K92:K98)</f>
        <v>644.99125604197968</v>
      </c>
      <c r="L99" s="80"/>
      <c r="M99" s="81">
        <f>SUM(M92:M98)</f>
        <v>644.99125604197968</v>
      </c>
      <c r="N99" s="80"/>
      <c r="O99" s="79">
        <f>SUM(O92:O98)</f>
        <v>12</v>
      </c>
      <c r="P99" s="80"/>
      <c r="Q99" s="79">
        <f>SUM(Q92:Q98)</f>
        <v>80.768061201693939</v>
      </c>
      <c r="R99" s="80"/>
      <c r="S99" s="64"/>
      <c r="T99" s="80"/>
      <c r="U99" s="81">
        <f>SUM(U92:U98)</f>
        <v>791.05168960686581</v>
      </c>
      <c r="V99" s="82"/>
    </row>
    <row r="100" spans="2:22" ht="13.5" thickTop="1">
      <c r="B100" s="78"/>
      <c r="C100" s="83"/>
      <c r="D100" s="68"/>
      <c r="E100" s="83"/>
      <c r="F100" s="68"/>
      <c r="G100" s="59"/>
      <c r="H100" s="68"/>
      <c r="I100" s="61"/>
      <c r="J100" s="68"/>
      <c r="K100" s="62"/>
      <c r="L100" s="68"/>
      <c r="M100" s="62"/>
      <c r="N100" s="68"/>
      <c r="O100" s="63"/>
      <c r="P100" s="68"/>
      <c r="Q100" s="63"/>
      <c r="R100" s="68"/>
      <c r="S100" s="64"/>
      <c r="T100" s="68"/>
      <c r="U100" s="84"/>
      <c r="V100" s="85"/>
    </row>
    <row r="101" spans="2:22" ht="13.5" thickBot="1">
      <c r="B101" s="86" t="s">
        <v>63</v>
      </c>
      <c r="C101" s="83"/>
      <c r="D101" s="68"/>
      <c r="E101" s="83"/>
      <c r="F101" s="68"/>
      <c r="G101" s="59"/>
      <c r="H101" s="68"/>
      <c r="I101" s="61"/>
      <c r="J101" s="68"/>
      <c r="K101" s="62"/>
      <c r="L101" s="68"/>
      <c r="M101" s="87">
        <f>+M99/$E99</f>
        <v>53.74927133683164</v>
      </c>
      <c r="N101" s="68"/>
      <c r="O101" s="63"/>
      <c r="P101" s="68"/>
      <c r="Q101" s="63"/>
      <c r="R101" s="68"/>
      <c r="S101" s="64"/>
      <c r="T101" s="68"/>
      <c r="U101" s="87">
        <f>+U99/$E99</f>
        <v>65.920974133905489</v>
      </c>
      <c r="V101" s="88"/>
    </row>
    <row r="102" spans="2:22" ht="13.5" thickTop="1">
      <c r="B102" s="86"/>
      <c r="C102" s="83"/>
      <c r="D102" s="68"/>
      <c r="E102" s="83"/>
      <c r="F102" s="68"/>
      <c r="G102" s="59"/>
      <c r="H102" s="68"/>
      <c r="I102" s="61"/>
      <c r="J102" s="68"/>
      <c r="K102" s="62"/>
      <c r="L102" s="68"/>
      <c r="M102" s="62"/>
      <c r="N102" s="68"/>
      <c r="O102" s="63"/>
      <c r="P102" s="68"/>
      <c r="Q102" s="63"/>
      <c r="R102" s="68"/>
      <c r="S102" s="64"/>
      <c r="T102" s="68"/>
      <c r="U102" s="84"/>
      <c r="V102" s="85"/>
    </row>
    <row r="103" spans="2:22">
      <c r="B103" s="58" t="s">
        <v>64</v>
      </c>
      <c r="C103" s="59">
        <v>7118.2465295976735</v>
      </c>
      <c r="D103" s="60"/>
      <c r="E103" s="59"/>
      <c r="F103" s="60"/>
      <c r="G103" s="59"/>
      <c r="H103" s="60"/>
      <c r="I103" s="61"/>
      <c r="J103" s="60"/>
      <c r="K103" s="62"/>
      <c r="L103" s="60"/>
      <c r="M103" s="62"/>
      <c r="N103" s="60"/>
      <c r="O103" s="63"/>
      <c r="P103" s="60"/>
      <c r="Q103" s="63"/>
      <c r="R103" s="60"/>
      <c r="S103" s="64"/>
      <c r="T103" s="60"/>
      <c r="U103" s="65"/>
      <c r="V103" s="66"/>
    </row>
    <row r="104" spans="2:22">
      <c r="B104" s="67" t="s">
        <v>65</v>
      </c>
      <c r="C104" s="59"/>
      <c r="D104" s="68"/>
      <c r="E104" s="59">
        <v>202</v>
      </c>
      <c r="F104" s="68"/>
      <c r="G104" s="59"/>
      <c r="H104" s="68"/>
      <c r="I104" s="70">
        <v>54.62</v>
      </c>
      <c r="J104" s="68"/>
      <c r="K104" s="62">
        <f>+E104*I104</f>
        <v>11033.24</v>
      </c>
      <c r="L104" s="68"/>
      <c r="M104" s="62">
        <f>+K104</f>
        <v>11033.24</v>
      </c>
      <c r="N104" s="68"/>
      <c r="O104" s="63">
        <f>+E104</f>
        <v>202</v>
      </c>
      <c r="P104" s="68"/>
      <c r="Q104" s="63"/>
      <c r="R104" s="68"/>
      <c r="S104" s="71">
        <v>81.41</v>
      </c>
      <c r="T104" s="68"/>
      <c r="U104" s="72">
        <f>+O104*S104</f>
        <v>16444.82</v>
      </c>
      <c r="V104" s="73"/>
    </row>
    <row r="105" spans="2:22">
      <c r="B105" s="67" t="s">
        <v>66</v>
      </c>
      <c r="C105" s="83"/>
      <c r="D105" s="68"/>
      <c r="E105" s="83"/>
      <c r="F105" s="68"/>
      <c r="G105" s="59">
        <v>1216.9152231441269</v>
      </c>
      <c r="H105" s="68"/>
      <c r="I105" s="70">
        <v>3.53</v>
      </c>
      <c r="J105" s="68"/>
      <c r="K105" s="63">
        <f>I105*G105</f>
        <v>4295.7107376987678</v>
      </c>
      <c r="L105" s="68"/>
      <c r="M105" s="62">
        <f t="shared" ref="M105:M108" si="36">+K105</f>
        <v>4295.7107376987678</v>
      </c>
      <c r="N105" s="68"/>
      <c r="O105" s="63"/>
      <c r="P105" s="68"/>
      <c r="Q105" s="63">
        <f>+G105</f>
        <v>1216.9152231441269</v>
      </c>
      <c r="R105" s="68"/>
      <c r="S105" s="75">
        <v>3.8170000000000002</v>
      </c>
      <c r="T105" s="68"/>
      <c r="U105" s="72">
        <f>+Q105*S105</f>
        <v>4644.9654067411329</v>
      </c>
      <c r="V105" s="73"/>
    </row>
    <row r="106" spans="2:22">
      <c r="B106" s="67" t="s">
        <v>33</v>
      </c>
      <c r="C106" s="83"/>
      <c r="D106" s="68"/>
      <c r="E106" s="83"/>
      <c r="F106" s="68"/>
      <c r="G106" s="59">
        <v>1778.7533332248056</v>
      </c>
      <c r="H106" s="68"/>
      <c r="I106" s="70">
        <v>3.35</v>
      </c>
      <c r="J106" s="68"/>
      <c r="K106" s="63">
        <f t="shared" ref="K106:K108" si="37">I106*G106</f>
        <v>5958.8236663030993</v>
      </c>
      <c r="L106" s="68"/>
      <c r="M106" s="62">
        <f t="shared" si="36"/>
        <v>5958.8236663030993</v>
      </c>
      <c r="N106" s="68"/>
      <c r="O106" s="63"/>
      <c r="P106" s="68"/>
      <c r="Q106" s="63">
        <f t="shared" ref="Q106:Q108" si="38">+G106</f>
        <v>1778.7533332248056</v>
      </c>
      <c r="R106" s="68"/>
      <c r="S106" s="75">
        <v>3.8170000000000002</v>
      </c>
      <c r="T106" s="68"/>
      <c r="U106" s="72">
        <f t="shared" ref="U106:U108" si="39">+Q106*S106</f>
        <v>6789.5014729190834</v>
      </c>
      <c r="V106" s="73"/>
    </row>
    <row r="107" spans="2:22">
      <c r="B107" s="67" t="s">
        <v>34</v>
      </c>
      <c r="C107" s="83"/>
      <c r="D107" s="68"/>
      <c r="E107" s="83"/>
      <c r="F107" s="68"/>
      <c r="G107" s="59">
        <v>1050.8108432901329</v>
      </c>
      <c r="H107" s="68"/>
      <c r="I107" s="70">
        <v>3.01</v>
      </c>
      <c r="J107" s="68"/>
      <c r="K107" s="63">
        <f t="shared" si="37"/>
        <v>3162.9406383032997</v>
      </c>
      <c r="L107" s="68"/>
      <c r="M107" s="62">
        <f t="shared" si="36"/>
        <v>3162.9406383032997</v>
      </c>
      <c r="N107" s="68"/>
      <c r="O107" s="63"/>
      <c r="P107" s="68"/>
      <c r="Q107" s="63">
        <f t="shared" si="38"/>
        <v>1050.8108432901329</v>
      </c>
      <c r="R107" s="68"/>
      <c r="S107" s="75">
        <v>3.8170000000000002</v>
      </c>
      <c r="T107" s="68"/>
      <c r="U107" s="72">
        <f t="shared" si="39"/>
        <v>4010.9449888384374</v>
      </c>
      <c r="V107" s="73"/>
    </row>
    <row r="108" spans="2:22">
      <c r="B108" s="67" t="s">
        <v>35</v>
      </c>
      <c r="C108" s="83"/>
      <c r="D108" s="68"/>
      <c r="E108" s="83"/>
      <c r="F108" s="68"/>
      <c r="G108" s="59">
        <v>1169.6845364381998</v>
      </c>
      <c r="H108" s="68"/>
      <c r="I108" s="70">
        <v>2.76</v>
      </c>
      <c r="J108" s="68"/>
      <c r="K108" s="63">
        <f t="shared" si="37"/>
        <v>3228.3293205694313</v>
      </c>
      <c r="L108" s="68"/>
      <c r="M108" s="62">
        <f t="shared" si="36"/>
        <v>3228.3293205694313</v>
      </c>
      <c r="N108" s="68"/>
      <c r="O108" s="63"/>
      <c r="P108" s="68"/>
      <c r="Q108" s="63">
        <f t="shared" si="38"/>
        <v>1169.6845364381998</v>
      </c>
      <c r="R108" s="68"/>
      <c r="S108" s="75">
        <v>3.8170000000000002</v>
      </c>
      <c r="T108" s="68"/>
      <c r="U108" s="72">
        <f t="shared" si="39"/>
        <v>4464.6858755846088</v>
      </c>
      <c r="V108" s="73"/>
    </row>
    <row r="109" spans="2:22" ht="13.5" thickBot="1">
      <c r="B109" s="78" t="s">
        <v>67</v>
      </c>
      <c r="C109" s="90">
        <f>SUM(C103:C108)</f>
        <v>7118.2465295976735</v>
      </c>
      <c r="D109" s="80"/>
      <c r="E109" s="90">
        <f>SUM(E103:E108)</f>
        <v>202</v>
      </c>
      <c r="F109" s="80"/>
      <c r="G109" s="90">
        <f>SUM(G103:G108)</f>
        <v>5216.1639360972649</v>
      </c>
      <c r="H109" s="80"/>
      <c r="I109" s="50"/>
      <c r="J109" s="80"/>
      <c r="K109" s="91">
        <f>SUM(K104:K108)</f>
        <v>27679.044362874596</v>
      </c>
      <c r="L109" s="80"/>
      <c r="M109" s="91">
        <f>SUM(M104:M108)</f>
        <v>27679.044362874596</v>
      </c>
      <c r="N109" s="80"/>
      <c r="O109" s="90">
        <f>SUM(O103:O108)</f>
        <v>202</v>
      </c>
      <c r="P109" s="80"/>
      <c r="Q109" s="90">
        <f>SUM(Q103:Q108)</f>
        <v>5216.1639360972649</v>
      </c>
      <c r="R109" s="80"/>
      <c r="S109" s="71"/>
      <c r="T109" s="80"/>
      <c r="U109" s="91">
        <f>SUM(U104:U108)</f>
        <v>36354.917744083265</v>
      </c>
      <c r="V109" s="82"/>
    </row>
    <row r="110" spans="2:22" ht="13.5" thickTop="1">
      <c r="B110" s="78"/>
      <c r="C110" s="83"/>
      <c r="D110" s="68"/>
      <c r="E110" s="83"/>
      <c r="F110" s="68"/>
      <c r="G110" s="59"/>
      <c r="H110" s="68"/>
      <c r="I110" s="61"/>
      <c r="J110" s="68"/>
      <c r="K110" s="62"/>
      <c r="L110" s="68"/>
      <c r="M110" s="62"/>
      <c r="N110" s="68"/>
      <c r="O110" s="63"/>
      <c r="P110" s="68"/>
      <c r="Q110" s="63"/>
      <c r="R110" s="68"/>
      <c r="S110" s="64"/>
      <c r="T110" s="68"/>
      <c r="U110" s="84"/>
      <c r="V110" s="85"/>
    </row>
    <row r="111" spans="2:22" ht="13.5" thickBot="1">
      <c r="B111" s="86" t="s">
        <v>68</v>
      </c>
      <c r="C111" s="83"/>
      <c r="D111" s="68"/>
      <c r="E111" s="83"/>
      <c r="F111" s="68"/>
      <c r="G111" s="59"/>
      <c r="H111" s="68"/>
      <c r="I111" s="61"/>
      <c r="J111" s="68"/>
      <c r="K111" s="62"/>
      <c r="L111" s="68"/>
      <c r="M111" s="87">
        <f>+M109/$E109</f>
        <v>137.02497209343861</v>
      </c>
      <c r="N111" s="68"/>
      <c r="O111" s="63"/>
      <c r="P111" s="68"/>
      <c r="Q111" s="63"/>
      <c r="R111" s="68"/>
      <c r="S111" s="64"/>
      <c r="T111" s="68"/>
      <c r="U111" s="87">
        <f>+U109/$E109</f>
        <v>179.97484031724389</v>
      </c>
      <c r="V111" s="88"/>
    </row>
    <row r="112" spans="2:22" ht="13.5" thickTop="1">
      <c r="B112" s="58" t="s">
        <v>69</v>
      </c>
      <c r="C112" s="59">
        <v>3580.7453663753899</v>
      </c>
      <c r="D112" s="60"/>
      <c r="E112" s="59"/>
      <c r="F112" s="60"/>
      <c r="G112" s="59"/>
      <c r="H112" s="60"/>
      <c r="I112" s="61"/>
      <c r="J112" s="60"/>
      <c r="K112" s="62"/>
      <c r="L112" s="60"/>
      <c r="M112" s="62"/>
      <c r="N112" s="60"/>
      <c r="O112" s="63"/>
      <c r="P112" s="60"/>
      <c r="Q112" s="63"/>
      <c r="R112" s="60"/>
      <c r="S112" s="64"/>
      <c r="T112" s="60"/>
      <c r="U112" s="65"/>
      <c r="V112" s="66"/>
    </row>
    <row r="113" spans="2:22">
      <c r="B113" s="67" t="s">
        <v>65</v>
      </c>
      <c r="C113" s="59"/>
      <c r="D113" s="68"/>
      <c r="E113" s="59">
        <v>60</v>
      </c>
      <c r="F113" s="68"/>
      <c r="G113" s="59"/>
      <c r="H113" s="68"/>
      <c r="I113" s="70">
        <v>54.62</v>
      </c>
      <c r="J113" s="68"/>
      <c r="K113" s="62">
        <f>+E113*I113</f>
        <v>3277.2</v>
      </c>
      <c r="L113" s="68"/>
      <c r="M113" s="62">
        <f>+K113</f>
        <v>3277.2</v>
      </c>
      <c r="N113" s="68"/>
      <c r="O113" s="63">
        <f>+E113</f>
        <v>60</v>
      </c>
      <c r="P113" s="68"/>
      <c r="Q113" s="63"/>
      <c r="R113" s="68"/>
      <c r="S113" s="71">
        <v>81.41</v>
      </c>
      <c r="T113" s="68"/>
      <c r="U113" s="72">
        <f>+O113*S113</f>
        <v>4884.5999999999995</v>
      </c>
      <c r="V113" s="73"/>
    </row>
    <row r="114" spans="2:22">
      <c r="B114" s="67" t="s">
        <v>66</v>
      </c>
      <c r="C114" s="83"/>
      <c r="D114" s="68"/>
      <c r="E114" s="83"/>
      <c r="F114" s="68"/>
      <c r="G114" s="59">
        <v>155.05390052176045</v>
      </c>
      <c r="H114" s="68"/>
      <c r="I114" s="70">
        <v>3.53</v>
      </c>
      <c r="J114" s="68"/>
      <c r="K114" s="63">
        <f>+G114*I114</f>
        <v>547.34026884181435</v>
      </c>
      <c r="L114" s="68"/>
      <c r="M114" s="62">
        <f t="shared" ref="M114:M117" si="40">+K114</f>
        <v>547.34026884181435</v>
      </c>
      <c r="N114" s="68"/>
      <c r="O114" s="63"/>
      <c r="P114" s="68"/>
      <c r="Q114" s="63">
        <f>+G114</f>
        <v>155.05390052176045</v>
      </c>
      <c r="R114" s="68"/>
      <c r="S114" s="75">
        <v>3.8170000000000002</v>
      </c>
      <c r="T114" s="68"/>
      <c r="U114" s="72">
        <f>+Q114*S114</f>
        <v>591.84073829155966</v>
      </c>
      <c r="V114" s="73"/>
    </row>
    <row r="115" spans="2:22">
      <c r="B115" s="67" t="s">
        <v>33</v>
      </c>
      <c r="C115" s="83"/>
      <c r="D115" s="68"/>
      <c r="E115" s="83"/>
      <c r="F115" s="68"/>
      <c r="G115" s="59">
        <v>275.12665922606305</v>
      </c>
      <c r="H115" s="68"/>
      <c r="I115" s="70">
        <v>3.35</v>
      </c>
      <c r="J115" s="68"/>
      <c r="K115" s="63">
        <f t="shared" ref="K115:K117" si="41">+G115*I115</f>
        <v>921.67430840731129</v>
      </c>
      <c r="L115" s="68"/>
      <c r="M115" s="62">
        <f t="shared" si="40"/>
        <v>921.67430840731129</v>
      </c>
      <c r="N115" s="68"/>
      <c r="O115" s="63"/>
      <c r="P115" s="68"/>
      <c r="Q115" s="63">
        <f t="shared" ref="Q115:Q117" si="42">+G115</f>
        <v>275.12665922606305</v>
      </c>
      <c r="R115" s="68"/>
      <c r="S115" s="75">
        <v>3.8170000000000002</v>
      </c>
      <c r="T115" s="68"/>
      <c r="U115" s="72">
        <f t="shared" ref="U115:U117" si="43">+Q115*S115</f>
        <v>1050.1584582658827</v>
      </c>
      <c r="V115" s="73"/>
    </row>
    <row r="116" spans="2:22">
      <c r="B116" s="67" t="s">
        <v>34</v>
      </c>
      <c r="C116" s="83"/>
      <c r="D116" s="68"/>
      <c r="E116" s="83"/>
      <c r="F116" s="68"/>
      <c r="G116" s="59">
        <v>550</v>
      </c>
      <c r="H116" s="68"/>
      <c r="I116" s="70">
        <v>3.01</v>
      </c>
      <c r="J116" s="68"/>
      <c r="K116" s="63">
        <f t="shared" si="41"/>
        <v>1655.4999999999998</v>
      </c>
      <c r="L116" s="68"/>
      <c r="M116" s="62">
        <f t="shared" si="40"/>
        <v>1655.4999999999998</v>
      </c>
      <c r="N116" s="68"/>
      <c r="O116" s="63"/>
      <c r="P116" s="68"/>
      <c r="Q116" s="63">
        <f t="shared" si="42"/>
        <v>550</v>
      </c>
      <c r="R116" s="68"/>
      <c r="S116" s="75">
        <v>3.8170000000000002</v>
      </c>
      <c r="T116" s="68"/>
      <c r="U116" s="72">
        <f t="shared" si="43"/>
        <v>2099.35</v>
      </c>
      <c r="V116" s="73"/>
    </row>
    <row r="117" spans="2:22">
      <c r="B117" s="67" t="s">
        <v>35</v>
      </c>
      <c r="C117" s="83"/>
      <c r="D117" s="68"/>
      <c r="E117" s="83"/>
      <c r="F117" s="68"/>
      <c r="G117" s="59">
        <v>2331.6834546960749</v>
      </c>
      <c r="H117" s="68"/>
      <c r="I117" s="70">
        <v>2.76</v>
      </c>
      <c r="J117" s="68"/>
      <c r="K117" s="63">
        <f t="shared" si="41"/>
        <v>6435.446334961166</v>
      </c>
      <c r="L117" s="68"/>
      <c r="M117" s="62">
        <f t="shared" si="40"/>
        <v>6435.446334961166</v>
      </c>
      <c r="N117" s="68"/>
      <c r="O117" s="63"/>
      <c r="P117" s="68"/>
      <c r="Q117" s="63">
        <f t="shared" si="42"/>
        <v>2331.6834546960749</v>
      </c>
      <c r="R117" s="68"/>
      <c r="S117" s="75">
        <v>3.8170000000000002</v>
      </c>
      <c r="T117" s="68"/>
      <c r="U117" s="72">
        <f t="shared" si="43"/>
        <v>8900.0357465749184</v>
      </c>
      <c r="V117" s="73"/>
    </row>
    <row r="118" spans="2:22" ht="13.5" thickBot="1">
      <c r="B118" s="78" t="s">
        <v>70</v>
      </c>
      <c r="C118" s="90">
        <f>SUM(C112:C117)</f>
        <v>3580.7453663753899</v>
      </c>
      <c r="D118" s="80"/>
      <c r="E118" s="90">
        <f>SUM(E112:E117)</f>
        <v>60</v>
      </c>
      <c r="F118" s="80"/>
      <c r="G118" s="90">
        <f>SUM(G112:G117)</f>
        <v>3311.8640144438987</v>
      </c>
      <c r="H118" s="80"/>
      <c r="I118" s="50"/>
      <c r="J118" s="80"/>
      <c r="K118" s="91">
        <f>SUM(K113:K117)</f>
        <v>12837.160912210293</v>
      </c>
      <c r="L118" s="80"/>
      <c r="M118" s="91">
        <f>SUM(M113:M117)</f>
        <v>12837.160912210293</v>
      </c>
      <c r="N118" s="80"/>
      <c r="O118" s="90">
        <f>SUM(O112:O117)</f>
        <v>60</v>
      </c>
      <c r="P118" s="80"/>
      <c r="Q118" s="90">
        <f>SUM(Q112:Q117)</f>
        <v>3311.8640144438987</v>
      </c>
      <c r="R118" s="80"/>
      <c r="S118" s="71"/>
      <c r="T118" s="80"/>
      <c r="U118" s="91">
        <f>SUM(U113:U117)</f>
        <v>17525.98494313236</v>
      </c>
      <c r="V118" s="82"/>
    </row>
    <row r="119" spans="2:22" ht="13.5" thickTop="1">
      <c r="B119" s="78"/>
      <c r="C119" s="83"/>
      <c r="D119" s="68"/>
      <c r="E119" s="83"/>
      <c r="F119" s="68"/>
      <c r="G119" s="59"/>
      <c r="H119" s="68"/>
      <c r="I119" s="61"/>
      <c r="J119" s="68"/>
      <c r="K119" s="62"/>
      <c r="L119" s="68"/>
      <c r="M119" s="62"/>
      <c r="N119" s="68"/>
      <c r="O119" s="63"/>
      <c r="P119" s="68"/>
      <c r="Q119" s="63"/>
      <c r="R119" s="68"/>
      <c r="S119" s="64"/>
      <c r="T119" s="68"/>
      <c r="U119" s="84"/>
      <c r="V119" s="85"/>
    </row>
    <row r="120" spans="2:22" ht="13.5" thickBot="1">
      <c r="B120" s="86" t="s">
        <v>71</v>
      </c>
      <c r="C120" s="83"/>
      <c r="D120" s="68"/>
      <c r="E120" s="83"/>
      <c r="F120" s="68"/>
      <c r="G120" s="59"/>
      <c r="H120" s="68"/>
      <c r="I120" s="61"/>
      <c r="J120" s="68"/>
      <c r="K120" s="62"/>
      <c r="L120" s="68"/>
      <c r="M120" s="87">
        <f>+M118/$E118</f>
        <v>213.95268187017155</v>
      </c>
      <c r="N120" s="68"/>
      <c r="O120" s="63"/>
      <c r="P120" s="68"/>
      <c r="Q120" s="63"/>
      <c r="R120" s="68"/>
      <c r="S120" s="64"/>
      <c r="T120" s="68"/>
      <c r="U120" s="87">
        <f>+U118/$E118</f>
        <v>292.09974905220599</v>
      </c>
      <c r="V120" s="88"/>
    </row>
    <row r="121" spans="2:22" ht="13.5" thickTop="1">
      <c r="B121" s="58" t="s">
        <v>72</v>
      </c>
      <c r="C121" s="59">
        <v>1626.1052335470995</v>
      </c>
      <c r="D121" s="60"/>
      <c r="E121" s="59"/>
      <c r="F121" s="60"/>
      <c r="G121" s="59"/>
      <c r="H121" s="60"/>
      <c r="I121" s="92"/>
      <c r="J121" s="60"/>
      <c r="K121" s="62"/>
      <c r="L121" s="60"/>
      <c r="M121" s="62"/>
      <c r="N121" s="60"/>
      <c r="O121" s="63"/>
      <c r="P121" s="60"/>
      <c r="Q121" s="63"/>
      <c r="R121" s="60"/>
      <c r="S121" s="64"/>
      <c r="T121" s="60"/>
      <c r="U121" s="65"/>
      <c r="V121" s="66"/>
    </row>
    <row r="122" spans="2:22">
      <c r="B122" s="67" t="s">
        <v>65</v>
      </c>
      <c r="C122" s="59"/>
      <c r="D122" s="68"/>
      <c r="E122" s="59">
        <v>24</v>
      </c>
      <c r="F122" s="68"/>
      <c r="G122" s="59"/>
      <c r="H122" s="68"/>
      <c r="I122" s="70">
        <v>54.62</v>
      </c>
      <c r="J122" s="68"/>
      <c r="K122" s="62">
        <f>+E122*I122</f>
        <v>1310.8799999999999</v>
      </c>
      <c r="L122" s="68"/>
      <c r="M122" s="62">
        <f>+K122</f>
        <v>1310.8799999999999</v>
      </c>
      <c r="N122" s="68"/>
      <c r="O122" s="63">
        <f>+E122</f>
        <v>24</v>
      </c>
      <c r="P122" s="68"/>
      <c r="Q122" s="63"/>
      <c r="R122" s="68"/>
      <c r="S122" s="71">
        <v>81.41</v>
      </c>
      <c r="T122" s="68"/>
      <c r="U122" s="72">
        <f>+O122*S122</f>
        <v>1953.84</v>
      </c>
      <c r="V122" s="73"/>
    </row>
    <row r="123" spans="2:22">
      <c r="B123" s="67" t="s">
        <v>66</v>
      </c>
      <c r="C123" s="83"/>
      <c r="D123" s="68"/>
      <c r="E123" s="83"/>
      <c r="F123" s="68"/>
      <c r="G123" s="59">
        <v>198.20151045490906</v>
      </c>
      <c r="H123" s="68"/>
      <c r="I123" s="70">
        <v>3.53</v>
      </c>
      <c r="J123" s="68"/>
      <c r="K123" s="63">
        <f>+G123*I123</f>
        <v>699.6513319058289</v>
      </c>
      <c r="L123" s="68"/>
      <c r="M123" s="62">
        <f t="shared" ref="M123:M126" si="44">+K123</f>
        <v>699.6513319058289</v>
      </c>
      <c r="N123" s="68"/>
      <c r="O123" s="63"/>
      <c r="P123" s="68"/>
      <c r="Q123" s="63">
        <f>+G123</f>
        <v>198.20151045490906</v>
      </c>
      <c r="R123" s="68"/>
      <c r="S123" s="75">
        <v>3.8170000000000002</v>
      </c>
      <c r="T123" s="68"/>
      <c r="U123" s="72">
        <f>+Q123*S123</f>
        <v>756.53516540638793</v>
      </c>
      <c r="V123" s="73"/>
    </row>
    <row r="124" spans="2:22">
      <c r="B124" s="67" t="s">
        <v>33</v>
      </c>
      <c r="C124" s="83"/>
      <c r="D124" s="68"/>
      <c r="E124" s="83"/>
      <c r="F124" s="68"/>
      <c r="G124" s="59">
        <v>344.85418502349489</v>
      </c>
      <c r="H124" s="68"/>
      <c r="I124" s="70">
        <v>3.35</v>
      </c>
      <c r="J124" s="68"/>
      <c r="K124" s="63">
        <f t="shared" ref="K124:K126" si="45">+G124*I124</f>
        <v>1155.2615198287078</v>
      </c>
      <c r="L124" s="68"/>
      <c r="M124" s="62">
        <f t="shared" si="44"/>
        <v>1155.2615198287078</v>
      </c>
      <c r="N124" s="68"/>
      <c r="O124" s="63"/>
      <c r="P124" s="68"/>
      <c r="Q124" s="63">
        <f t="shared" ref="Q124:Q126" si="46">+G124</f>
        <v>344.85418502349489</v>
      </c>
      <c r="R124" s="68"/>
      <c r="S124" s="75">
        <v>3.8170000000000002</v>
      </c>
      <c r="T124" s="68"/>
      <c r="U124" s="72">
        <f t="shared" ref="U124:U126" si="47">+Q124*S124</f>
        <v>1316.3084242346802</v>
      </c>
      <c r="V124" s="73"/>
    </row>
    <row r="125" spans="2:22">
      <c r="B125" s="67" t="s">
        <v>34</v>
      </c>
      <c r="C125" s="83"/>
      <c r="D125" s="68"/>
      <c r="E125" s="83"/>
      <c r="F125" s="68"/>
      <c r="G125" s="59">
        <v>513.42384447612153</v>
      </c>
      <c r="H125" s="68"/>
      <c r="I125" s="70">
        <v>3.01</v>
      </c>
      <c r="J125" s="68"/>
      <c r="K125" s="63">
        <f t="shared" si="45"/>
        <v>1545.4057718731258</v>
      </c>
      <c r="L125" s="68"/>
      <c r="M125" s="62">
        <f t="shared" si="44"/>
        <v>1545.4057718731258</v>
      </c>
      <c r="N125" s="68"/>
      <c r="O125" s="63"/>
      <c r="P125" s="68"/>
      <c r="Q125" s="63">
        <f t="shared" si="46"/>
        <v>513.42384447612153</v>
      </c>
      <c r="R125" s="68"/>
      <c r="S125" s="75">
        <v>3.8170000000000002</v>
      </c>
      <c r="T125" s="68"/>
      <c r="U125" s="72">
        <f t="shared" si="47"/>
        <v>1959.7388143653559</v>
      </c>
      <c r="V125" s="73"/>
    </row>
    <row r="126" spans="2:22">
      <c r="B126" s="67" t="s">
        <v>35</v>
      </c>
      <c r="C126" s="83"/>
      <c r="D126" s="68"/>
      <c r="E126" s="83"/>
      <c r="F126" s="68"/>
      <c r="G126" s="59">
        <v>319.08490827732976</v>
      </c>
      <c r="H126" s="68"/>
      <c r="I126" s="70">
        <v>2.76</v>
      </c>
      <c r="J126" s="68"/>
      <c r="K126" s="63">
        <f t="shared" si="45"/>
        <v>880.67434684543002</v>
      </c>
      <c r="L126" s="68"/>
      <c r="M126" s="62">
        <f t="shared" si="44"/>
        <v>880.67434684543002</v>
      </c>
      <c r="N126" s="68"/>
      <c r="O126" s="63"/>
      <c r="P126" s="68"/>
      <c r="Q126" s="63">
        <f t="shared" si="46"/>
        <v>319.08490827732976</v>
      </c>
      <c r="R126" s="68"/>
      <c r="S126" s="75">
        <v>3.8170000000000002</v>
      </c>
      <c r="T126" s="68"/>
      <c r="U126" s="72">
        <f t="shared" si="47"/>
        <v>1217.9470948945677</v>
      </c>
      <c r="V126" s="73"/>
    </row>
    <row r="127" spans="2:22" ht="13.5" thickBot="1">
      <c r="B127" s="78" t="s">
        <v>73</v>
      </c>
      <c r="C127" s="90">
        <f>SUM(C121:C126)</f>
        <v>1626.1052335470995</v>
      </c>
      <c r="D127" s="80"/>
      <c r="E127" s="90">
        <f>SUM(E121:E126)</f>
        <v>24</v>
      </c>
      <c r="F127" s="80"/>
      <c r="G127" s="90">
        <f>SUM(G121:G126)</f>
        <v>1375.5644482318553</v>
      </c>
      <c r="H127" s="80"/>
      <c r="I127" s="50"/>
      <c r="J127" s="80"/>
      <c r="K127" s="91">
        <f>SUM(K122:K126)</f>
        <v>5591.8729704530915</v>
      </c>
      <c r="L127" s="80"/>
      <c r="M127" s="91">
        <f>SUM(M122:N126)</f>
        <v>5591.8729704530915</v>
      </c>
      <c r="N127" s="80"/>
      <c r="O127" s="90">
        <f>SUM(O121:O126)</f>
        <v>24</v>
      </c>
      <c r="P127" s="80"/>
      <c r="Q127" s="90">
        <f>SUM(Q121:Q126)</f>
        <v>1375.5644482318553</v>
      </c>
      <c r="R127" s="80"/>
      <c r="S127" s="71"/>
      <c r="T127" s="80"/>
      <c r="U127" s="91">
        <f>SUM(U122:U126)</f>
        <v>7204.3694989009928</v>
      </c>
      <c r="V127" s="82"/>
    </row>
    <row r="128" spans="2:22" ht="13.5" thickTop="1">
      <c r="B128" s="78"/>
      <c r="C128" s="83"/>
      <c r="D128" s="68"/>
      <c r="E128" s="83"/>
      <c r="F128" s="68"/>
      <c r="G128" s="59"/>
      <c r="H128" s="68"/>
      <c r="I128" s="61"/>
      <c r="J128" s="68"/>
      <c r="K128" s="62"/>
      <c r="L128" s="68"/>
      <c r="M128" s="62"/>
      <c r="N128" s="68"/>
      <c r="O128" s="63"/>
      <c r="P128" s="68"/>
      <c r="Q128" s="63"/>
      <c r="R128" s="68"/>
      <c r="S128" s="64"/>
      <c r="T128" s="68"/>
      <c r="U128" s="84"/>
      <c r="V128" s="85"/>
    </row>
    <row r="129" spans="2:22" ht="13.5" thickBot="1">
      <c r="B129" s="86" t="s">
        <v>74</v>
      </c>
      <c r="C129" s="83"/>
      <c r="D129" s="68"/>
      <c r="E129" s="83"/>
      <c r="F129" s="68"/>
      <c r="G129" s="59"/>
      <c r="H129" s="68"/>
      <c r="I129" s="61"/>
      <c r="J129" s="68"/>
      <c r="K129" s="62"/>
      <c r="L129" s="68"/>
      <c r="M129" s="87">
        <f>+M127/$E127</f>
        <v>232.99470710221215</v>
      </c>
      <c r="N129" s="68"/>
      <c r="O129" s="63"/>
      <c r="P129" s="68"/>
      <c r="Q129" s="63"/>
      <c r="R129" s="68"/>
      <c r="S129" s="64"/>
      <c r="T129" s="68"/>
      <c r="U129" s="87">
        <f>+U127/$E127</f>
        <v>300.18206245420805</v>
      </c>
      <c r="V129" s="88"/>
    </row>
    <row r="130" spans="2:22" ht="13.5" thickTop="1">
      <c r="B130" s="58" t="s">
        <v>75</v>
      </c>
      <c r="C130" s="59">
        <v>25695.463753880784</v>
      </c>
      <c r="D130" s="60"/>
      <c r="E130" s="59"/>
      <c r="F130" s="60"/>
      <c r="G130" s="59"/>
      <c r="H130" s="60"/>
      <c r="I130" s="92"/>
      <c r="J130" s="60"/>
      <c r="K130" s="62"/>
      <c r="L130" s="60"/>
      <c r="M130" s="62"/>
      <c r="N130" s="60"/>
      <c r="O130" s="63"/>
      <c r="P130" s="60"/>
      <c r="Q130" s="63"/>
      <c r="R130" s="60"/>
      <c r="S130" s="64"/>
      <c r="T130" s="60"/>
      <c r="U130" s="65"/>
      <c r="V130" s="66"/>
    </row>
    <row r="131" spans="2:22">
      <c r="B131" s="67" t="s">
        <v>76</v>
      </c>
      <c r="C131" s="59"/>
      <c r="D131" s="68"/>
      <c r="E131" s="59">
        <v>358</v>
      </c>
      <c r="F131" s="68"/>
      <c r="G131" s="59"/>
      <c r="H131" s="68"/>
      <c r="I131" s="70">
        <v>84.18</v>
      </c>
      <c r="J131" s="68"/>
      <c r="K131" s="62">
        <f>+E131*I131</f>
        <v>30136.440000000002</v>
      </c>
      <c r="L131" s="68"/>
      <c r="M131" s="62">
        <f>+K131</f>
        <v>30136.440000000002</v>
      </c>
      <c r="N131" s="68"/>
      <c r="O131" s="63">
        <f>+E131</f>
        <v>358</v>
      </c>
      <c r="P131" s="68"/>
      <c r="Q131" s="63"/>
      <c r="R131" s="68"/>
      <c r="S131" s="71">
        <v>130.83000000000001</v>
      </c>
      <c r="T131" s="68"/>
      <c r="U131" s="72">
        <f>+O131*S131</f>
        <v>46837.140000000007</v>
      </c>
      <c r="V131" s="73"/>
    </row>
    <row r="132" spans="2:22">
      <c r="B132" s="67" t="s">
        <v>77</v>
      </c>
      <c r="C132" s="83"/>
      <c r="D132" s="68"/>
      <c r="E132" s="83"/>
      <c r="F132" s="68"/>
      <c r="G132" s="59">
        <v>606.99433387927013</v>
      </c>
      <c r="H132" s="68"/>
      <c r="I132" s="70">
        <v>3.53</v>
      </c>
      <c r="J132" s="68"/>
      <c r="K132" s="63">
        <f>+G132*I132</f>
        <v>2142.6899985938235</v>
      </c>
      <c r="L132" s="68"/>
      <c r="M132" s="62">
        <f t="shared" ref="M132:M135" si="48">+K132</f>
        <v>2142.6899985938235</v>
      </c>
      <c r="N132" s="68"/>
      <c r="O132" s="63"/>
      <c r="P132" s="68"/>
      <c r="Q132" s="63">
        <f>+G132</f>
        <v>606.99433387927013</v>
      </c>
      <c r="R132" s="68"/>
      <c r="S132" s="75">
        <v>3.8170000000000002</v>
      </c>
      <c r="T132" s="68"/>
      <c r="U132" s="72">
        <f>+Q132*S132</f>
        <v>2316.8973724171742</v>
      </c>
      <c r="V132" s="73"/>
    </row>
    <row r="133" spans="2:22">
      <c r="B133" s="67" t="s">
        <v>33</v>
      </c>
      <c r="C133" s="83"/>
      <c r="D133" s="68"/>
      <c r="E133" s="83"/>
      <c r="F133" s="68"/>
      <c r="G133" s="59">
        <v>3439.3433032412158</v>
      </c>
      <c r="H133" s="68"/>
      <c r="I133" s="70">
        <v>3.35</v>
      </c>
      <c r="J133" s="68"/>
      <c r="K133" s="63">
        <f t="shared" ref="K133:K135" si="49">+G133*I133</f>
        <v>11521.800065858073</v>
      </c>
      <c r="L133" s="68"/>
      <c r="M133" s="62">
        <f t="shared" si="48"/>
        <v>11521.800065858073</v>
      </c>
      <c r="N133" s="68"/>
      <c r="O133" s="63"/>
      <c r="P133" s="68"/>
      <c r="Q133" s="63">
        <f t="shared" ref="Q133:Q135" si="50">+G133</f>
        <v>3439.3433032412158</v>
      </c>
      <c r="R133" s="68"/>
      <c r="S133" s="75">
        <v>3.8170000000000002</v>
      </c>
      <c r="T133" s="68"/>
      <c r="U133" s="72">
        <f t="shared" ref="U133:U135" si="51">+Q133*S133</f>
        <v>13127.973388471721</v>
      </c>
      <c r="V133" s="73"/>
    </row>
    <row r="134" spans="2:22">
      <c r="B134" s="67" t="s">
        <v>34</v>
      </c>
      <c r="C134" s="83"/>
      <c r="D134" s="68"/>
      <c r="E134" s="83"/>
      <c r="F134" s="68"/>
      <c r="G134" s="59">
        <v>4783.65665594028</v>
      </c>
      <c r="H134" s="68"/>
      <c r="I134" s="70">
        <v>3.01</v>
      </c>
      <c r="J134" s="68"/>
      <c r="K134" s="63">
        <f t="shared" si="49"/>
        <v>14398.806534380241</v>
      </c>
      <c r="L134" s="68"/>
      <c r="M134" s="62">
        <f t="shared" si="48"/>
        <v>14398.806534380241</v>
      </c>
      <c r="N134" s="68"/>
      <c r="O134" s="63"/>
      <c r="P134" s="68"/>
      <c r="Q134" s="63">
        <f t="shared" si="50"/>
        <v>4783.65665594028</v>
      </c>
      <c r="R134" s="68"/>
      <c r="S134" s="75">
        <v>3.8170000000000002</v>
      </c>
      <c r="T134" s="68"/>
      <c r="U134" s="72">
        <f t="shared" si="51"/>
        <v>18259.217455724051</v>
      </c>
      <c r="V134" s="73"/>
    </row>
    <row r="135" spans="2:22">
      <c r="B135" s="67" t="s">
        <v>35</v>
      </c>
      <c r="C135" s="83"/>
      <c r="D135" s="68"/>
      <c r="E135" s="83"/>
      <c r="F135" s="68"/>
      <c r="G135" s="59">
        <v>11397.373906749441</v>
      </c>
      <c r="H135" s="68"/>
      <c r="I135" s="70">
        <v>2.76</v>
      </c>
      <c r="J135" s="68"/>
      <c r="K135" s="63">
        <f t="shared" si="49"/>
        <v>31456.751982628455</v>
      </c>
      <c r="L135" s="68"/>
      <c r="M135" s="62">
        <f t="shared" si="48"/>
        <v>31456.751982628455</v>
      </c>
      <c r="N135" s="68"/>
      <c r="O135" s="63"/>
      <c r="P135" s="68"/>
      <c r="Q135" s="63">
        <f t="shared" si="50"/>
        <v>11397.373906749441</v>
      </c>
      <c r="R135" s="68"/>
      <c r="S135" s="75">
        <v>3.8170000000000002</v>
      </c>
      <c r="T135" s="68"/>
      <c r="U135" s="72">
        <f t="shared" si="51"/>
        <v>43503.776202062618</v>
      </c>
      <c r="V135" s="73"/>
    </row>
    <row r="136" spans="2:22" ht="13.5" thickBot="1">
      <c r="B136" s="78" t="s">
        <v>78</v>
      </c>
      <c r="C136" s="90">
        <f>SUM(C130:C135)</f>
        <v>25695.463753880784</v>
      </c>
      <c r="D136" s="80"/>
      <c r="E136" s="90">
        <f>SUM(E130:E135)</f>
        <v>358</v>
      </c>
      <c r="F136" s="80"/>
      <c r="G136" s="90">
        <f>SUM(G130:G135)</f>
        <v>20227.368199810204</v>
      </c>
      <c r="H136" s="80"/>
      <c r="I136" s="50"/>
      <c r="J136" s="80"/>
      <c r="K136" s="91">
        <f>SUM(K131:K135)</f>
        <v>89656.488581460595</v>
      </c>
      <c r="L136" s="80"/>
      <c r="M136" s="91">
        <f>SUM(M131:M135)</f>
        <v>89656.488581460595</v>
      </c>
      <c r="N136" s="80"/>
      <c r="O136" s="90">
        <f>SUM(O130:O135)</f>
        <v>358</v>
      </c>
      <c r="P136" s="80"/>
      <c r="Q136" s="90">
        <f>SUM(Q130:R135)</f>
        <v>20227.368199810204</v>
      </c>
      <c r="R136" s="80"/>
      <c r="S136" s="71"/>
      <c r="T136" s="80"/>
      <c r="U136" s="91">
        <f>SUM(U131:U135)</f>
        <v>124045.00441867555</v>
      </c>
      <c r="V136" s="82"/>
    </row>
    <row r="137" spans="2:22" ht="13.5" thickTop="1">
      <c r="B137" s="78"/>
      <c r="C137" s="83"/>
      <c r="D137" s="68"/>
      <c r="E137" s="83"/>
      <c r="F137" s="68"/>
      <c r="G137" s="59"/>
      <c r="H137" s="68"/>
      <c r="I137" s="61"/>
      <c r="J137" s="68"/>
      <c r="K137" s="62"/>
      <c r="L137" s="68"/>
      <c r="M137" s="62"/>
      <c r="N137" s="68"/>
      <c r="O137" s="63"/>
      <c r="P137" s="68"/>
      <c r="Q137" s="63"/>
      <c r="R137" s="68"/>
      <c r="S137" s="64"/>
      <c r="T137" s="68"/>
      <c r="U137" s="84"/>
      <c r="V137" s="85"/>
    </row>
    <row r="138" spans="2:22" ht="13.5" thickBot="1">
      <c r="B138" s="86" t="s">
        <v>79</v>
      </c>
      <c r="C138" s="83"/>
      <c r="D138" s="68"/>
      <c r="E138" s="83"/>
      <c r="F138" s="68"/>
      <c r="G138" s="59"/>
      <c r="H138" s="68"/>
      <c r="I138" s="61"/>
      <c r="J138" s="68"/>
      <c r="K138" s="62"/>
      <c r="L138" s="68"/>
      <c r="M138" s="87">
        <f>+M136/$E136</f>
        <v>250.43711894262736</v>
      </c>
      <c r="N138" s="68"/>
      <c r="O138" s="63"/>
      <c r="P138" s="68"/>
      <c r="Q138" s="63"/>
      <c r="R138" s="68"/>
      <c r="S138" s="64"/>
      <c r="T138" s="68"/>
      <c r="U138" s="87">
        <f>+U136/$E136</f>
        <v>346.49442575049039</v>
      </c>
      <c r="V138" s="88"/>
    </row>
    <row r="139" spans="2:22" ht="13.5" thickTop="1">
      <c r="B139" s="58" t="s">
        <v>80</v>
      </c>
      <c r="C139" s="59">
        <v>651.90183022463179</v>
      </c>
      <c r="D139" s="60"/>
      <c r="E139" s="59"/>
      <c r="F139" s="60"/>
      <c r="G139" s="59"/>
      <c r="H139" s="60"/>
      <c r="I139" s="92"/>
      <c r="J139" s="60"/>
      <c r="K139" s="62"/>
      <c r="L139" s="60"/>
      <c r="M139" s="62"/>
      <c r="N139" s="60"/>
      <c r="O139" s="63"/>
      <c r="P139" s="60"/>
      <c r="Q139" s="63"/>
      <c r="R139" s="60"/>
      <c r="S139" s="64"/>
      <c r="T139" s="60"/>
      <c r="U139" s="65"/>
      <c r="V139" s="66"/>
    </row>
    <row r="140" spans="2:22">
      <c r="B140" s="67" t="s">
        <v>76</v>
      </c>
      <c r="C140" s="59"/>
      <c r="D140" s="68"/>
      <c r="E140" s="59">
        <v>35</v>
      </c>
      <c r="F140" s="68"/>
      <c r="G140" s="59"/>
      <c r="H140" s="68"/>
      <c r="I140" s="70">
        <v>84.18</v>
      </c>
      <c r="J140" s="68"/>
      <c r="K140" s="62">
        <f>+E140*I140</f>
        <v>2946.3</v>
      </c>
      <c r="L140" s="68"/>
      <c r="M140" s="62">
        <f>+K140</f>
        <v>2946.3</v>
      </c>
      <c r="N140" s="68"/>
      <c r="O140" s="63">
        <f>+E140</f>
        <v>35</v>
      </c>
      <c r="P140" s="68"/>
      <c r="Q140" s="63"/>
      <c r="R140" s="68"/>
      <c r="S140" s="71">
        <v>130.83000000000001</v>
      </c>
      <c r="T140" s="68"/>
      <c r="U140" s="72">
        <f>+O140*S140</f>
        <v>4579.05</v>
      </c>
      <c r="V140" s="73"/>
    </row>
    <row r="141" spans="2:22">
      <c r="B141" s="67" t="s">
        <v>77</v>
      </c>
      <c r="C141" s="83"/>
      <c r="D141" s="68"/>
      <c r="E141" s="83"/>
      <c r="F141" s="68"/>
      <c r="G141" s="59">
        <v>43.2</v>
      </c>
      <c r="H141" s="68"/>
      <c r="I141" s="70">
        <v>3.53</v>
      </c>
      <c r="J141" s="68"/>
      <c r="K141" s="63">
        <f>+G141*I141</f>
        <v>152.49600000000001</v>
      </c>
      <c r="L141" s="68"/>
      <c r="M141" s="62">
        <f t="shared" ref="M141:M144" si="52">+K141</f>
        <v>152.49600000000001</v>
      </c>
      <c r="N141" s="68"/>
      <c r="O141" s="63"/>
      <c r="P141" s="68"/>
      <c r="Q141" s="63">
        <f>+G141</f>
        <v>43.2</v>
      </c>
      <c r="R141" s="68"/>
      <c r="S141" s="75">
        <v>3.8170000000000002</v>
      </c>
      <c r="T141" s="68"/>
      <c r="U141" s="72">
        <f>+Q141*S141</f>
        <v>164.89440000000002</v>
      </c>
      <c r="V141" s="73"/>
    </row>
    <row r="142" spans="2:22">
      <c r="B142" s="67" t="s">
        <v>33</v>
      </c>
      <c r="C142" s="83"/>
      <c r="D142" s="68"/>
      <c r="E142" s="83"/>
      <c r="F142" s="68"/>
      <c r="G142" s="59">
        <v>240.0272101128844</v>
      </c>
      <c r="H142" s="68"/>
      <c r="I142" s="70">
        <v>3.35</v>
      </c>
      <c r="J142" s="68"/>
      <c r="K142" s="63">
        <f t="shared" ref="K142:K144" si="53">+G142*I142</f>
        <v>804.0911538781628</v>
      </c>
      <c r="L142" s="68"/>
      <c r="M142" s="62">
        <f t="shared" si="52"/>
        <v>804.0911538781628</v>
      </c>
      <c r="N142" s="68"/>
      <c r="O142" s="63"/>
      <c r="P142" s="68"/>
      <c r="Q142" s="63">
        <f t="shared" ref="Q142:Q144" si="54">+G142</f>
        <v>240.0272101128844</v>
      </c>
      <c r="R142" s="68"/>
      <c r="S142" s="75">
        <v>3.8170000000000002</v>
      </c>
      <c r="T142" s="68"/>
      <c r="U142" s="72">
        <f t="shared" ref="U142:U144" si="55">+Q142*S142</f>
        <v>916.1838610008798</v>
      </c>
      <c r="V142" s="73"/>
    </row>
    <row r="143" spans="2:22">
      <c r="B143" s="67" t="s">
        <v>34</v>
      </c>
      <c r="C143" s="83"/>
      <c r="D143" s="68"/>
      <c r="E143" s="83"/>
      <c r="F143" s="68"/>
      <c r="G143" s="59">
        <v>43.297797058500784</v>
      </c>
      <c r="H143" s="68"/>
      <c r="I143" s="70">
        <v>3.01</v>
      </c>
      <c r="J143" s="68"/>
      <c r="K143" s="63">
        <f t="shared" si="53"/>
        <v>130.32636914608736</v>
      </c>
      <c r="L143" s="68"/>
      <c r="M143" s="62">
        <f t="shared" si="52"/>
        <v>130.32636914608736</v>
      </c>
      <c r="N143" s="68"/>
      <c r="O143" s="63"/>
      <c r="P143" s="68"/>
      <c r="Q143" s="63">
        <f t="shared" si="54"/>
        <v>43.297797058500784</v>
      </c>
      <c r="R143" s="68"/>
      <c r="S143" s="75">
        <v>3.8170000000000002</v>
      </c>
      <c r="T143" s="68"/>
      <c r="U143" s="72">
        <f t="shared" si="55"/>
        <v>165.26769137229749</v>
      </c>
      <c r="V143" s="73"/>
    </row>
    <row r="144" spans="2:22">
      <c r="B144" s="67" t="s">
        <v>35</v>
      </c>
      <c r="C144" s="83"/>
      <c r="D144" s="68"/>
      <c r="E144" s="83"/>
      <c r="F144" s="68"/>
      <c r="G144" s="59">
        <v>0</v>
      </c>
      <c r="H144" s="68"/>
      <c r="I144" s="70">
        <v>2.76</v>
      </c>
      <c r="J144" s="68"/>
      <c r="K144" s="63">
        <f t="shared" si="53"/>
        <v>0</v>
      </c>
      <c r="L144" s="68"/>
      <c r="M144" s="62">
        <f t="shared" si="52"/>
        <v>0</v>
      </c>
      <c r="N144" s="68"/>
      <c r="O144" s="63"/>
      <c r="P144" s="68"/>
      <c r="Q144" s="63">
        <f t="shared" si="54"/>
        <v>0</v>
      </c>
      <c r="R144" s="68"/>
      <c r="S144" s="75">
        <v>3.8170000000000002</v>
      </c>
      <c r="T144" s="68"/>
      <c r="U144" s="72">
        <f t="shared" si="55"/>
        <v>0</v>
      </c>
      <c r="V144" s="73"/>
    </row>
    <row r="145" spans="2:22" ht="13.5" thickBot="1">
      <c r="B145" s="78" t="s">
        <v>81</v>
      </c>
      <c r="C145" s="90">
        <f>SUM(C139:C144)</f>
        <v>651.90183022463179</v>
      </c>
      <c r="D145" s="80"/>
      <c r="E145" s="90">
        <f>SUM(E139:E144)</f>
        <v>35</v>
      </c>
      <c r="F145" s="80"/>
      <c r="G145" s="90">
        <f>SUM(G139:G144)</f>
        <v>326.5250071713852</v>
      </c>
      <c r="H145" s="80"/>
      <c r="I145" s="50"/>
      <c r="J145" s="80"/>
      <c r="K145" s="91">
        <f>SUM(K140:L144)</f>
        <v>4033.2135230242507</v>
      </c>
      <c r="L145" s="80"/>
      <c r="M145" s="91">
        <f>SUM(M140:M144)</f>
        <v>4033.2135230242507</v>
      </c>
      <c r="N145" s="80"/>
      <c r="O145" s="90">
        <f>SUM(O139:O144)</f>
        <v>35</v>
      </c>
      <c r="P145" s="80"/>
      <c r="Q145" s="90">
        <f>SUM(Q139:Q144)</f>
        <v>326.5250071713852</v>
      </c>
      <c r="R145" s="80"/>
      <c r="S145" s="71"/>
      <c r="T145" s="80"/>
      <c r="U145" s="91">
        <f>SUM(U140:U144)</f>
        <v>5825.3959523731774</v>
      </c>
      <c r="V145" s="82"/>
    </row>
    <row r="146" spans="2:22" ht="13.5" thickTop="1">
      <c r="B146" s="78"/>
      <c r="C146" s="83"/>
      <c r="D146" s="68"/>
      <c r="E146" s="83"/>
      <c r="F146" s="68"/>
      <c r="G146" s="59"/>
      <c r="H146" s="68"/>
      <c r="I146" s="61"/>
      <c r="J146" s="68"/>
      <c r="K146" s="62"/>
      <c r="L146" s="68"/>
      <c r="M146" s="62"/>
      <c r="N146" s="68"/>
      <c r="O146" s="63"/>
      <c r="P146" s="68"/>
      <c r="Q146" s="63"/>
      <c r="R146" s="68"/>
      <c r="S146" s="64"/>
      <c r="T146" s="68"/>
      <c r="U146" s="84"/>
      <c r="V146" s="85"/>
    </row>
    <row r="147" spans="2:22" ht="13.5" thickBot="1">
      <c r="B147" s="86" t="s">
        <v>82</v>
      </c>
      <c r="C147" s="83"/>
      <c r="D147" s="68"/>
      <c r="E147" s="83"/>
      <c r="F147" s="68"/>
      <c r="G147" s="59"/>
      <c r="H147" s="68"/>
      <c r="I147" s="61"/>
      <c r="J147" s="68"/>
      <c r="K147" s="62"/>
      <c r="L147" s="68"/>
      <c r="M147" s="87">
        <f>+M145/$E145</f>
        <v>115.23467208640716</v>
      </c>
      <c r="N147" s="68"/>
      <c r="O147" s="63"/>
      <c r="P147" s="68"/>
      <c r="Q147" s="63"/>
      <c r="R147" s="68"/>
      <c r="S147" s="64"/>
      <c r="T147" s="68"/>
      <c r="U147" s="87">
        <f>+U145/$E145</f>
        <v>166.43988435351935</v>
      </c>
      <c r="V147" s="88"/>
    </row>
    <row r="148" spans="2:22" ht="13.5" thickTop="1">
      <c r="B148" s="58" t="s">
        <v>83</v>
      </c>
      <c r="C148" s="59">
        <v>5902.8764303242451</v>
      </c>
      <c r="D148" s="60"/>
      <c r="E148" s="59"/>
      <c r="F148" s="60"/>
      <c r="G148" s="59"/>
      <c r="H148" s="60"/>
      <c r="I148" s="92"/>
      <c r="J148" s="60"/>
      <c r="K148" s="62"/>
      <c r="L148" s="60"/>
      <c r="M148" s="62"/>
      <c r="N148" s="60"/>
      <c r="O148" s="63"/>
      <c r="P148" s="60"/>
      <c r="Q148" s="63"/>
      <c r="R148" s="60"/>
      <c r="S148" s="64"/>
      <c r="T148" s="60"/>
      <c r="U148" s="65"/>
      <c r="V148" s="66"/>
    </row>
    <row r="149" spans="2:22">
      <c r="B149" s="67" t="s">
        <v>76</v>
      </c>
      <c r="C149" s="59"/>
      <c r="D149" s="68"/>
      <c r="E149" s="59">
        <v>192</v>
      </c>
      <c r="F149" s="68"/>
      <c r="G149" s="59"/>
      <c r="H149" s="68"/>
      <c r="I149" s="70">
        <v>84.18</v>
      </c>
      <c r="J149" s="68"/>
      <c r="K149" s="62">
        <f>+E149*I149</f>
        <v>16162.560000000001</v>
      </c>
      <c r="L149" s="68"/>
      <c r="M149" s="62">
        <f>+K149</f>
        <v>16162.560000000001</v>
      </c>
      <c r="N149" s="68"/>
      <c r="O149" s="63">
        <f>+E149</f>
        <v>192</v>
      </c>
      <c r="P149" s="68"/>
      <c r="Q149" s="63"/>
      <c r="R149" s="68"/>
      <c r="S149" s="71">
        <v>130.83000000000001</v>
      </c>
      <c r="T149" s="68"/>
      <c r="U149" s="72">
        <f>+O149*S149</f>
        <v>25119.360000000001</v>
      </c>
      <c r="V149" s="73"/>
    </row>
    <row r="150" spans="2:22">
      <c r="B150" s="67" t="s">
        <v>77</v>
      </c>
      <c r="C150" s="83"/>
      <c r="D150" s="68"/>
      <c r="E150" s="83"/>
      <c r="F150" s="68"/>
      <c r="G150" s="59">
        <v>246.14481633783291</v>
      </c>
      <c r="H150" s="68"/>
      <c r="I150" s="70">
        <v>3.53</v>
      </c>
      <c r="J150" s="68"/>
      <c r="K150" s="63">
        <f>+G150*I150</f>
        <v>868.8912016725501</v>
      </c>
      <c r="L150" s="68"/>
      <c r="M150" s="62">
        <f t="shared" ref="M150:M153" si="56">+K150</f>
        <v>868.8912016725501</v>
      </c>
      <c r="N150" s="68"/>
      <c r="O150" s="63"/>
      <c r="P150" s="68"/>
      <c r="Q150" s="63">
        <f>+G150</f>
        <v>246.14481633783291</v>
      </c>
      <c r="R150" s="68"/>
      <c r="S150" s="75">
        <v>3.8170000000000002</v>
      </c>
      <c r="T150" s="68"/>
      <c r="U150" s="72">
        <f>+Q150*S150</f>
        <v>939.53476396150825</v>
      </c>
      <c r="V150" s="73"/>
    </row>
    <row r="151" spans="2:22">
      <c r="B151" s="67" t="s">
        <v>33</v>
      </c>
      <c r="C151" s="83"/>
      <c r="D151" s="68"/>
      <c r="E151" s="83"/>
      <c r="F151" s="68"/>
      <c r="G151" s="59">
        <v>1189.2866589349394</v>
      </c>
      <c r="H151" s="68"/>
      <c r="I151" s="70">
        <v>3.35</v>
      </c>
      <c r="J151" s="68"/>
      <c r="K151" s="63">
        <f t="shared" ref="K151:K153" si="57">+G151*I151</f>
        <v>3984.1103074320472</v>
      </c>
      <c r="L151" s="68"/>
      <c r="M151" s="62">
        <f t="shared" si="56"/>
        <v>3984.1103074320472</v>
      </c>
      <c r="N151" s="68"/>
      <c r="O151" s="63"/>
      <c r="P151" s="68"/>
      <c r="Q151" s="63">
        <f t="shared" ref="Q151:Q153" si="58">+G151</f>
        <v>1189.2866589349394</v>
      </c>
      <c r="R151" s="68"/>
      <c r="S151" s="75">
        <v>3.8170000000000002</v>
      </c>
      <c r="T151" s="68"/>
      <c r="U151" s="72">
        <f t="shared" ref="U151:U153" si="59">+Q151*S151</f>
        <v>4539.5071771546636</v>
      </c>
      <c r="V151" s="73"/>
    </row>
    <row r="152" spans="2:22">
      <c r="B152" s="67" t="s">
        <v>34</v>
      </c>
      <c r="C152" s="83"/>
      <c r="D152" s="68"/>
      <c r="E152" s="83"/>
      <c r="F152" s="68"/>
      <c r="G152" s="59">
        <v>1137.9869154734497</v>
      </c>
      <c r="H152" s="68"/>
      <c r="I152" s="70">
        <v>3.01</v>
      </c>
      <c r="J152" s="68"/>
      <c r="K152" s="63">
        <f t="shared" si="57"/>
        <v>3425.3406155750836</v>
      </c>
      <c r="L152" s="68"/>
      <c r="M152" s="62">
        <f t="shared" si="56"/>
        <v>3425.3406155750836</v>
      </c>
      <c r="N152" s="68"/>
      <c r="O152" s="63"/>
      <c r="P152" s="68"/>
      <c r="Q152" s="63">
        <f t="shared" si="58"/>
        <v>1137.9869154734497</v>
      </c>
      <c r="R152" s="68"/>
      <c r="S152" s="75">
        <v>3.8170000000000002</v>
      </c>
      <c r="T152" s="68"/>
      <c r="U152" s="72">
        <f t="shared" si="59"/>
        <v>4343.6960563621578</v>
      </c>
      <c r="V152" s="73"/>
    </row>
    <row r="153" spans="2:22">
      <c r="B153" s="67" t="s">
        <v>35</v>
      </c>
      <c r="C153" s="83"/>
      <c r="D153" s="68"/>
      <c r="E153" s="83"/>
      <c r="F153" s="68"/>
      <c r="G153" s="59">
        <v>1149.4622883951115</v>
      </c>
      <c r="H153" s="68"/>
      <c r="I153" s="70">
        <v>2.76</v>
      </c>
      <c r="J153" s="68"/>
      <c r="K153" s="63">
        <f t="shared" si="57"/>
        <v>3172.5159159705076</v>
      </c>
      <c r="L153" s="68"/>
      <c r="M153" s="62">
        <f t="shared" si="56"/>
        <v>3172.5159159705076</v>
      </c>
      <c r="N153" s="68"/>
      <c r="O153" s="63"/>
      <c r="P153" s="68"/>
      <c r="Q153" s="63">
        <f t="shared" si="58"/>
        <v>1149.4622883951115</v>
      </c>
      <c r="R153" s="68"/>
      <c r="S153" s="75">
        <v>3.8170000000000002</v>
      </c>
      <c r="T153" s="68"/>
      <c r="U153" s="72">
        <f t="shared" si="59"/>
        <v>4387.4975548041411</v>
      </c>
      <c r="V153" s="73"/>
    </row>
    <row r="154" spans="2:22" ht="13.5" thickBot="1">
      <c r="B154" s="78" t="s">
        <v>84</v>
      </c>
      <c r="C154" s="90">
        <f>SUM(C148:C153)</f>
        <v>5902.8764303242451</v>
      </c>
      <c r="D154" s="80"/>
      <c r="E154" s="90">
        <f>SUM(E148:E153)</f>
        <v>192</v>
      </c>
      <c r="F154" s="80"/>
      <c r="G154" s="90">
        <f>SUM(G148:G153)</f>
        <v>3722.8806791413335</v>
      </c>
      <c r="H154" s="80"/>
      <c r="I154" s="50"/>
      <c r="J154" s="80"/>
      <c r="K154" s="91">
        <f>SUM(K149:K153)</f>
        <v>27613.418040650191</v>
      </c>
      <c r="L154" s="80"/>
      <c r="M154" s="91">
        <f>SUM(M149:M153)</f>
        <v>27613.418040650191</v>
      </c>
      <c r="N154" s="80"/>
      <c r="O154" s="90">
        <f>SUM(O148:O153)</f>
        <v>192</v>
      </c>
      <c r="P154" s="80"/>
      <c r="Q154" s="90">
        <f>SUM(Q148:Q153)</f>
        <v>3722.8806791413335</v>
      </c>
      <c r="R154" s="80"/>
      <c r="S154" s="71"/>
      <c r="T154" s="80"/>
      <c r="U154" s="91">
        <f>SUM(U149:U153)</f>
        <v>39329.595552282466</v>
      </c>
      <c r="V154" s="82"/>
    </row>
    <row r="155" spans="2:22" ht="13.5" thickTop="1">
      <c r="B155" s="78"/>
      <c r="C155" s="83"/>
      <c r="D155" s="68"/>
      <c r="E155" s="83"/>
      <c r="F155" s="68"/>
      <c r="G155" s="59"/>
      <c r="H155" s="68"/>
      <c r="I155" s="61"/>
      <c r="J155" s="68"/>
      <c r="K155" s="62"/>
      <c r="L155" s="68"/>
      <c r="M155" s="62"/>
      <c r="N155" s="68"/>
      <c r="O155" s="63"/>
      <c r="P155" s="68"/>
      <c r="Q155" s="63"/>
      <c r="R155" s="68"/>
      <c r="S155" s="64"/>
      <c r="T155" s="68"/>
      <c r="U155" s="84"/>
      <c r="V155" s="85"/>
    </row>
    <row r="156" spans="2:22" ht="13.5" thickBot="1">
      <c r="B156" s="86" t="s">
        <v>85</v>
      </c>
      <c r="C156" s="83"/>
      <c r="D156" s="68"/>
      <c r="E156" s="83"/>
      <c r="F156" s="68"/>
      <c r="G156" s="59"/>
      <c r="H156" s="68"/>
      <c r="I156" s="61"/>
      <c r="J156" s="68"/>
      <c r="K156" s="62"/>
      <c r="L156" s="68"/>
      <c r="M156" s="87">
        <f>+M154/$E154</f>
        <v>143.8198856283864</v>
      </c>
      <c r="N156" s="68"/>
      <c r="O156" s="63"/>
      <c r="P156" s="68"/>
      <c r="Q156" s="63"/>
      <c r="R156" s="68"/>
      <c r="S156" s="64"/>
      <c r="T156" s="68"/>
      <c r="U156" s="87">
        <f>+U154/$E154</f>
        <v>204.84164350147117</v>
      </c>
      <c r="V156" s="88"/>
    </row>
    <row r="157" spans="2:22" ht="13.5" thickTop="1">
      <c r="B157" s="86"/>
      <c r="C157" s="83"/>
      <c r="D157" s="68"/>
      <c r="E157" s="83"/>
      <c r="F157" s="68"/>
      <c r="G157" s="59"/>
      <c r="H157" s="68"/>
      <c r="I157" s="61"/>
      <c r="J157" s="68"/>
      <c r="K157" s="62"/>
      <c r="L157" s="68"/>
      <c r="M157" s="62"/>
      <c r="N157" s="68"/>
      <c r="O157" s="63"/>
      <c r="P157" s="68"/>
      <c r="Q157" s="63"/>
      <c r="R157" s="68"/>
      <c r="S157" s="64"/>
      <c r="T157" s="68"/>
      <c r="U157" s="93"/>
      <c r="V157" s="88"/>
    </row>
    <row r="158" spans="2:22">
      <c r="B158" s="58" t="s">
        <v>86</v>
      </c>
      <c r="C158" s="59">
        <v>3118.1663658585667</v>
      </c>
      <c r="D158" s="60"/>
      <c r="E158" s="59"/>
      <c r="F158" s="60"/>
      <c r="G158" s="59"/>
      <c r="H158" s="60"/>
      <c r="I158" s="92"/>
      <c r="J158" s="60"/>
      <c r="K158" s="62"/>
      <c r="L158" s="60"/>
      <c r="M158" s="62"/>
      <c r="N158" s="60"/>
      <c r="O158" s="63"/>
      <c r="P158" s="60"/>
      <c r="Q158" s="63"/>
      <c r="R158" s="60"/>
      <c r="S158" s="64"/>
      <c r="T158" s="60"/>
      <c r="U158" s="65"/>
      <c r="V158" s="66"/>
    </row>
    <row r="159" spans="2:22">
      <c r="B159" s="67" t="s">
        <v>87</v>
      </c>
      <c r="C159" s="59"/>
      <c r="D159" s="68"/>
      <c r="E159" s="59">
        <v>36</v>
      </c>
      <c r="F159" s="68"/>
      <c r="G159" s="59"/>
      <c r="H159" s="68"/>
      <c r="I159" s="70">
        <v>235.96</v>
      </c>
      <c r="J159" s="68"/>
      <c r="K159" s="62">
        <f>+E159*I159</f>
        <v>8494.56</v>
      </c>
      <c r="L159" s="68"/>
      <c r="M159" s="62">
        <f>+K159</f>
        <v>8494.56</v>
      </c>
      <c r="N159" s="68"/>
      <c r="O159" s="63">
        <f>+E159</f>
        <v>36</v>
      </c>
      <c r="P159" s="68"/>
      <c r="Q159" s="63"/>
      <c r="R159" s="68"/>
      <c r="S159" s="71">
        <v>246.14</v>
      </c>
      <c r="T159" s="68"/>
      <c r="U159" s="72">
        <f>+O159*S159</f>
        <v>8861.0399999999991</v>
      </c>
      <c r="V159" s="73"/>
    </row>
    <row r="160" spans="2:22">
      <c r="B160" s="67" t="s">
        <v>88</v>
      </c>
      <c r="C160" s="83"/>
      <c r="D160" s="68"/>
      <c r="E160" s="83"/>
      <c r="F160" s="68"/>
      <c r="G160" s="59">
        <v>636.25582132350064</v>
      </c>
      <c r="H160" s="68"/>
      <c r="I160" s="70">
        <v>3.01</v>
      </c>
      <c r="J160" s="68"/>
      <c r="K160" s="63">
        <f>+G160*I160</f>
        <v>1915.1300221837369</v>
      </c>
      <c r="L160" s="68"/>
      <c r="M160" s="62">
        <f>+K160</f>
        <v>1915.1300221837369</v>
      </c>
      <c r="N160" s="68"/>
      <c r="O160" s="63"/>
      <c r="P160" s="68"/>
      <c r="Q160" s="63">
        <f>+G160</f>
        <v>636.25582132350064</v>
      </c>
      <c r="R160" s="68"/>
      <c r="S160" s="75">
        <v>3.8170000000000002</v>
      </c>
      <c r="T160" s="68"/>
      <c r="U160" s="72">
        <f>+Q160*S160</f>
        <v>2428.588469991802</v>
      </c>
      <c r="V160" s="73"/>
    </row>
    <row r="161" spans="2:22">
      <c r="B161" s="67" t="s">
        <v>35</v>
      </c>
      <c r="C161" s="83"/>
      <c r="D161" s="68"/>
      <c r="E161" s="83"/>
      <c r="F161" s="68"/>
      <c r="G161" s="59">
        <v>652.32957618898763</v>
      </c>
      <c r="H161" s="68"/>
      <c r="I161" s="70">
        <v>2.76</v>
      </c>
      <c r="J161" s="68"/>
      <c r="K161" s="63">
        <f>+G161*I161</f>
        <v>1800.4296302816058</v>
      </c>
      <c r="L161" s="68"/>
      <c r="M161" s="62">
        <f>+K161</f>
        <v>1800.4296302816058</v>
      </c>
      <c r="N161" s="68"/>
      <c r="O161" s="63"/>
      <c r="P161" s="68"/>
      <c r="Q161" s="63">
        <f t="shared" ref="Q161" si="60">+G161</f>
        <v>652.32957618898763</v>
      </c>
      <c r="R161" s="68"/>
      <c r="S161" s="75">
        <v>3.8170000000000002</v>
      </c>
      <c r="T161" s="68"/>
      <c r="U161" s="72">
        <f t="shared" ref="U161" si="61">+Q161*S161</f>
        <v>2489.941992313366</v>
      </c>
      <c r="V161" s="73"/>
    </row>
    <row r="162" spans="2:22" ht="13.5" thickBot="1">
      <c r="B162" s="78" t="s">
        <v>89</v>
      </c>
      <c r="C162" s="90">
        <f>SUM(C158:C161)</f>
        <v>3118.1663658585667</v>
      </c>
      <c r="D162" s="80"/>
      <c r="E162" s="90">
        <f>SUM(E158:E161)</f>
        <v>36</v>
      </c>
      <c r="F162" s="80"/>
      <c r="G162" s="90">
        <f>SUM(G158:G161)</f>
        <v>1288.5853975124883</v>
      </c>
      <c r="H162" s="80"/>
      <c r="I162" s="50"/>
      <c r="J162" s="80"/>
      <c r="K162" s="81">
        <f>SUM(K159:K161)</f>
        <v>12210.119652465342</v>
      </c>
      <c r="L162" s="80"/>
      <c r="M162" s="81">
        <f>SUM(M159:N161)</f>
        <v>12210.119652465342</v>
      </c>
      <c r="N162" s="80"/>
      <c r="O162" s="94">
        <f>SUM(O159:O161)</f>
        <v>36</v>
      </c>
      <c r="P162" s="80"/>
      <c r="Q162" s="94">
        <f>SUM(Q159:R161)</f>
        <v>1288.5853975124883</v>
      </c>
      <c r="R162" s="80"/>
      <c r="S162" s="64"/>
      <c r="T162" s="80"/>
      <c r="U162" s="94">
        <f>SUM(U159:U161)</f>
        <v>13779.570462305168</v>
      </c>
      <c r="V162" s="95"/>
    </row>
    <row r="163" spans="2:22" ht="13.5" thickTop="1">
      <c r="B163" s="78"/>
      <c r="C163" s="83"/>
      <c r="D163" s="68"/>
      <c r="E163" s="83"/>
      <c r="F163" s="68"/>
      <c r="G163" s="59"/>
      <c r="H163" s="68"/>
      <c r="I163" s="61"/>
      <c r="J163" s="68"/>
      <c r="K163" s="62"/>
      <c r="L163" s="68"/>
      <c r="M163" s="62"/>
      <c r="N163" s="68"/>
      <c r="O163" s="63"/>
      <c r="P163" s="68"/>
      <c r="Q163" s="63"/>
      <c r="R163" s="68"/>
      <c r="S163" s="64"/>
      <c r="T163" s="68"/>
      <c r="U163" s="84"/>
      <c r="V163" s="85"/>
    </row>
    <row r="164" spans="2:22" ht="13.5" thickBot="1">
      <c r="B164" s="86" t="s">
        <v>90</v>
      </c>
      <c r="C164" s="83"/>
      <c r="D164" s="68"/>
      <c r="E164" s="83"/>
      <c r="F164" s="68"/>
      <c r="G164" s="59"/>
      <c r="H164" s="68"/>
      <c r="I164" s="61"/>
      <c r="J164" s="68"/>
      <c r="K164" s="62"/>
      <c r="L164" s="68"/>
      <c r="M164" s="87">
        <f>+M162/$E162</f>
        <v>339.16999034625951</v>
      </c>
      <c r="N164" s="68"/>
      <c r="O164" s="63"/>
      <c r="P164" s="68"/>
      <c r="Q164" s="63"/>
      <c r="R164" s="68"/>
      <c r="S164" s="64"/>
      <c r="T164" s="68"/>
      <c r="U164" s="87">
        <f>+U162/$E162</f>
        <v>382.76584617514357</v>
      </c>
      <c r="V164" s="88"/>
    </row>
    <row r="165" spans="2:22" ht="13.5" thickTop="1">
      <c r="B165" s="58" t="s">
        <v>91</v>
      </c>
      <c r="C165" s="59">
        <v>5698.9656139875333</v>
      </c>
      <c r="D165" s="60"/>
      <c r="E165" s="59"/>
      <c r="F165" s="60"/>
      <c r="G165" s="59"/>
      <c r="H165" s="60"/>
      <c r="I165" s="92"/>
      <c r="J165" s="60"/>
      <c r="K165" s="62"/>
      <c r="L165" s="60"/>
      <c r="M165" s="62"/>
      <c r="N165" s="60"/>
      <c r="O165" s="63"/>
      <c r="P165" s="60"/>
      <c r="Q165" s="63"/>
      <c r="R165" s="60"/>
      <c r="S165" s="64"/>
      <c r="T165" s="60"/>
      <c r="U165" s="65"/>
      <c r="V165" s="66"/>
    </row>
    <row r="166" spans="2:22">
      <c r="B166" s="67" t="s">
        <v>87</v>
      </c>
      <c r="C166" s="59"/>
      <c r="D166" s="68"/>
      <c r="E166" s="59">
        <v>48</v>
      </c>
      <c r="F166" s="68"/>
      <c r="G166" s="59"/>
      <c r="H166" s="68"/>
      <c r="I166" s="70">
        <v>235.96</v>
      </c>
      <c r="J166" s="68"/>
      <c r="K166" s="62">
        <f>+E166*I166</f>
        <v>11326.08</v>
      </c>
      <c r="L166" s="68"/>
      <c r="M166" s="62">
        <f>+K166</f>
        <v>11326.08</v>
      </c>
      <c r="N166" s="68"/>
      <c r="O166" s="63">
        <f>+E166</f>
        <v>48</v>
      </c>
      <c r="P166" s="68"/>
      <c r="Q166" s="63"/>
      <c r="R166" s="68"/>
      <c r="S166" s="71">
        <v>246.14</v>
      </c>
      <c r="T166" s="68"/>
      <c r="U166" s="72">
        <f>+O166*S166</f>
        <v>11814.72</v>
      </c>
      <c r="V166" s="73"/>
    </row>
    <row r="167" spans="2:22">
      <c r="B167" s="67" t="s">
        <v>88</v>
      </c>
      <c r="C167" s="83"/>
      <c r="D167" s="68"/>
      <c r="E167" s="83"/>
      <c r="F167" s="68"/>
      <c r="G167" s="59">
        <v>379.2</v>
      </c>
      <c r="H167" s="68"/>
      <c r="I167" s="70">
        <v>3.01</v>
      </c>
      <c r="J167" s="68"/>
      <c r="K167" s="63">
        <f>+G167*I167</f>
        <v>1141.3919999999998</v>
      </c>
      <c r="L167" s="68"/>
      <c r="M167" s="62">
        <f t="shared" ref="M167:M168" si="62">+K167</f>
        <v>1141.3919999999998</v>
      </c>
      <c r="N167" s="68"/>
      <c r="O167" s="63"/>
      <c r="P167" s="68"/>
      <c r="Q167" s="63">
        <f>+G167</f>
        <v>379.2</v>
      </c>
      <c r="R167" s="68"/>
      <c r="S167" s="75">
        <v>3.8170000000000002</v>
      </c>
      <c r="T167" s="68"/>
      <c r="U167" s="72">
        <f>+Q167*S167</f>
        <v>1447.4064000000001</v>
      </c>
      <c r="V167" s="73"/>
    </row>
    <row r="168" spans="2:22">
      <c r="B168" s="67" t="s">
        <v>35</v>
      </c>
      <c r="C168" s="83"/>
      <c r="D168" s="68"/>
      <c r="E168" s="83"/>
      <c r="F168" s="68"/>
      <c r="G168" s="59">
        <v>4274.0221885351575</v>
      </c>
      <c r="H168" s="68"/>
      <c r="I168" s="70">
        <v>2.76</v>
      </c>
      <c r="J168" s="68"/>
      <c r="K168" s="63">
        <f t="shared" ref="K168" si="63">+G168*I168</f>
        <v>11796.301240357034</v>
      </c>
      <c r="L168" s="68"/>
      <c r="M168" s="62">
        <f t="shared" si="62"/>
        <v>11796.301240357034</v>
      </c>
      <c r="N168" s="68"/>
      <c r="O168" s="63"/>
      <c r="P168" s="68"/>
      <c r="Q168" s="63">
        <f t="shared" ref="Q168" si="64">+G168</f>
        <v>4274.0221885351575</v>
      </c>
      <c r="R168" s="68"/>
      <c r="S168" s="75">
        <v>3.8170000000000002</v>
      </c>
      <c r="T168" s="68"/>
      <c r="U168" s="72">
        <f t="shared" ref="U168" si="65">+Q168*S168</f>
        <v>16313.942693638697</v>
      </c>
      <c r="V168" s="73"/>
    </row>
    <row r="169" spans="2:22" ht="13.5" thickBot="1">
      <c r="B169" s="78" t="s">
        <v>92</v>
      </c>
      <c r="C169" s="90">
        <f>SUM(C165:C168)</f>
        <v>5698.9656139875333</v>
      </c>
      <c r="D169" s="80"/>
      <c r="E169" s="90">
        <f>SUM(E165:E168)</f>
        <v>48</v>
      </c>
      <c r="F169" s="80"/>
      <c r="G169" s="90">
        <f>SUM(G165:G168)</f>
        <v>4653.2221885351573</v>
      </c>
      <c r="H169" s="80"/>
      <c r="I169" s="50"/>
      <c r="J169" s="80"/>
      <c r="K169" s="81">
        <f>SUM(K166:L168)</f>
        <v>24263.773240357034</v>
      </c>
      <c r="L169" s="80"/>
      <c r="M169" s="81">
        <f>SUM(M166:N168)</f>
        <v>24263.773240357034</v>
      </c>
      <c r="N169" s="80"/>
      <c r="O169" s="94">
        <f>SUM(O166:O168)</f>
        <v>48</v>
      </c>
      <c r="P169" s="80"/>
      <c r="Q169" s="94">
        <f>SUM(Q166:Q168)</f>
        <v>4653.2221885351573</v>
      </c>
      <c r="R169" s="80"/>
      <c r="S169" s="64"/>
      <c r="T169" s="80"/>
      <c r="U169" s="94">
        <f>SUM(U166:U168)</f>
        <v>29576.069093638696</v>
      </c>
      <c r="V169" s="95"/>
    </row>
    <row r="170" spans="2:22" ht="13.5" thickTop="1">
      <c r="B170" s="78"/>
      <c r="C170" s="83"/>
      <c r="D170" s="68"/>
      <c r="E170" s="83"/>
      <c r="F170" s="68"/>
      <c r="G170" s="59"/>
      <c r="H170" s="68"/>
      <c r="I170" s="61"/>
      <c r="J170" s="68"/>
      <c r="K170" s="62"/>
      <c r="L170" s="68"/>
      <c r="M170" s="62"/>
      <c r="N170" s="68"/>
      <c r="O170" s="63"/>
      <c r="P170" s="68"/>
      <c r="Q170" s="63"/>
      <c r="R170" s="68"/>
      <c r="S170" s="64"/>
      <c r="T170" s="68"/>
      <c r="U170" s="84"/>
      <c r="V170" s="85"/>
    </row>
    <row r="171" spans="2:22" ht="13.5" thickBot="1">
      <c r="B171" s="86" t="s">
        <v>93</v>
      </c>
      <c r="C171" s="83"/>
      <c r="D171" s="68"/>
      <c r="E171" s="83"/>
      <c r="F171" s="68"/>
      <c r="G171" s="59"/>
      <c r="H171" s="68"/>
      <c r="I171" s="61"/>
      <c r="J171" s="68"/>
      <c r="K171" s="62"/>
      <c r="L171" s="68"/>
      <c r="M171" s="87">
        <f>+M169/$E169</f>
        <v>505.49527584077151</v>
      </c>
      <c r="N171" s="68"/>
      <c r="O171" s="63"/>
      <c r="P171" s="68"/>
      <c r="Q171" s="63"/>
      <c r="R171" s="68"/>
      <c r="S171" s="64"/>
      <c r="T171" s="68"/>
      <c r="U171" s="87">
        <f>+U169/$E169</f>
        <v>616.1681061174728</v>
      </c>
      <c r="V171" s="88"/>
    </row>
    <row r="172" spans="2:22" ht="13.5" thickTop="1">
      <c r="B172" s="58" t="s">
        <v>94</v>
      </c>
      <c r="C172" s="59">
        <v>9785.5961412841934</v>
      </c>
      <c r="D172" s="60"/>
      <c r="E172" s="59"/>
      <c r="F172" s="60"/>
      <c r="G172" s="59"/>
      <c r="H172" s="60"/>
      <c r="I172" s="92"/>
      <c r="J172" s="60"/>
      <c r="K172" s="62"/>
      <c r="L172" s="60"/>
      <c r="M172" s="62"/>
      <c r="N172" s="60"/>
      <c r="O172" s="63"/>
      <c r="P172" s="60"/>
      <c r="Q172" s="63"/>
      <c r="R172" s="60"/>
      <c r="S172" s="64"/>
      <c r="T172" s="60"/>
      <c r="U172" s="65"/>
      <c r="V172" s="66"/>
    </row>
    <row r="173" spans="2:22">
      <c r="B173" s="67" t="s">
        <v>87</v>
      </c>
      <c r="C173" s="59"/>
      <c r="D173" s="68"/>
      <c r="E173" s="59">
        <v>12</v>
      </c>
      <c r="F173" s="68"/>
      <c r="G173" s="59"/>
      <c r="H173" s="68"/>
      <c r="I173" s="70">
        <v>235.96</v>
      </c>
      <c r="J173" s="68"/>
      <c r="K173" s="62">
        <f>+E173*I173</f>
        <v>2831.52</v>
      </c>
      <c r="L173" s="68"/>
      <c r="M173" s="62">
        <f>+K173</f>
        <v>2831.52</v>
      </c>
      <c r="N173" s="68"/>
      <c r="O173" s="63">
        <f>+E173</f>
        <v>12</v>
      </c>
      <c r="P173" s="68"/>
      <c r="Q173" s="63"/>
      <c r="R173" s="68"/>
      <c r="S173" s="71">
        <v>246.14</v>
      </c>
      <c r="T173" s="68"/>
      <c r="U173" s="72">
        <f>+O173*S173</f>
        <v>2953.68</v>
      </c>
      <c r="V173" s="73"/>
    </row>
    <row r="174" spans="2:22">
      <c r="B174" s="67" t="s">
        <v>88</v>
      </c>
      <c r="C174" s="83"/>
      <c r="D174" s="68"/>
      <c r="E174" s="83"/>
      <c r="F174" s="68"/>
      <c r="G174" s="59">
        <v>379.2</v>
      </c>
      <c r="H174" s="68"/>
      <c r="I174" s="70">
        <v>3.01</v>
      </c>
      <c r="J174" s="68"/>
      <c r="K174" s="63">
        <f>+G174*I174</f>
        <v>1141.3919999999998</v>
      </c>
      <c r="L174" s="68"/>
      <c r="M174" s="62">
        <f t="shared" ref="M174:M175" si="66">+K174</f>
        <v>1141.3919999999998</v>
      </c>
      <c r="N174" s="68"/>
      <c r="O174" s="63"/>
      <c r="P174" s="68"/>
      <c r="Q174" s="63">
        <f>+G174</f>
        <v>379.2</v>
      </c>
      <c r="R174" s="68"/>
      <c r="S174" s="75">
        <v>3.8170000000000002</v>
      </c>
      <c r="T174" s="68"/>
      <c r="U174" s="72">
        <f>+Q174*S174</f>
        <v>1447.4064000000001</v>
      </c>
      <c r="V174" s="73"/>
    </row>
    <row r="175" spans="2:22">
      <c r="B175" s="67" t="s">
        <v>35</v>
      </c>
      <c r="C175" s="83"/>
      <c r="D175" s="68"/>
      <c r="E175" s="83"/>
      <c r="F175" s="68"/>
      <c r="G175" s="59">
        <v>8585.5961412841971</v>
      </c>
      <c r="H175" s="68"/>
      <c r="I175" s="70">
        <v>2.76</v>
      </c>
      <c r="J175" s="68"/>
      <c r="K175" s="63">
        <f t="shared" ref="K175" si="67">+G175*I175</f>
        <v>23696.245349944384</v>
      </c>
      <c r="L175" s="68"/>
      <c r="M175" s="62">
        <f t="shared" si="66"/>
        <v>23696.245349944384</v>
      </c>
      <c r="N175" s="68"/>
      <c r="O175" s="63"/>
      <c r="P175" s="68"/>
      <c r="Q175" s="63">
        <f t="shared" ref="Q175" si="68">+G175</f>
        <v>8585.5961412841971</v>
      </c>
      <c r="R175" s="68"/>
      <c r="S175" s="75">
        <v>3.8170000000000002</v>
      </c>
      <c r="T175" s="68"/>
      <c r="U175" s="72">
        <f t="shared" ref="U175" si="69">+Q175*S175</f>
        <v>32771.220471281784</v>
      </c>
      <c r="V175" s="73"/>
    </row>
    <row r="176" spans="2:22" ht="13.5" thickBot="1">
      <c r="B176" s="78" t="s">
        <v>95</v>
      </c>
      <c r="C176" s="90">
        <f>SUM(C172:C175)</f>
        <v>9785.5961412841934</v>
      </c>
      <c r="D176" s="80"/>
      <c r="E176" s="90">
        <f>SUM(E172:E175)</f>
        <v>12</v>
      </c>
      <c r="F176" s="80"/>
      <c r="G176" s="90">
        <f>SUM(G172:H175)</f>
        <v>8964.7961412841978</v>
      </c>
      <c r="H176" s="80"/>
      <c r="I176" s="50"/>
      <c r="J176" s="80"/>
      <c r="K176" s="81">
        <f>SUM(K173:L175)</f>
        <v>27669.157349944384</v>
      </c>
      <c r="L176" s="80"/>
      <c r="M176" s="81">
        <f>SUM(M173:N175)</f>
        <v>27669.157349944384</v>
      </c>
      <c r="N176" s="80"/>
      <c r="O176" s="94">
        <f>SUM(O173:O175)</f>
        <v>12</v>
      </c>
      <c r="P176" s="80"/>
      <c r="Q176" s="94">
        <f>SUM(Q173:R175)</f>
        <v>8964.7961412841978</v>
      </c>
      <c r="R176" s="80"/>
      <c r="S176" s="64"/>
      <c r="T176" s="80"/>
      <c r="U176" s="94">
        <f>SUM(U173:U175)</f>
        <v>37172.306871281784</v>
      </c>
      <c r="V176" s="95"/>
    </row>
    <row r="177" spans="2:22" ht="13.5" thickTop="1">
      <c r="B177" s="78"/>
      <c r="C177" s="83"/>
      <c r="D177" s="68"/>
      <c r="E177" s="83"/>
      <c r="F177" s="68"/>
      <c r="G177" s="59"/>
      <c r="H177" s="68"/>
      <c r="I177" s="61"/>
      <c r="J177" s="68"/>
      <c r="K177" s="62"/>
      <c r="L177" s="68"/>
      <c r="M177" s="62"/>
      <c r="N177" s="68"/>
      <c r="O177" s="63"/>
      <c r="P177" s="68"/>
      <c r="Q177" s="63"/>
      <c r="R177" s="68"/>
      <c r="S177" s="64"/>
      <c r="T177" s="68"/>
      <c r="U177" s="84"/>
      <c r="V177" s="85"/>
    </row>
    <row r="178" spans="2:22" ht="13.5" thickBot="1">
      <c r="B178" s="86" t="s">
        <v>96</v>
      </c>
      <c r="C178" s="83"/>
      <c r="D178" s="68"/>
      <c r="E178" s="83"/>
      <c r="F178" s="68"/>
      <c r="G178" s="59"/>
      <c r="H178" s="68"/>
      <c r="I178" s="61"/>
      <c r="J178" s="68"/>
      <c r="K178" s="62"/>
      <c r="L178" s="68"/>
      <c r="M178" s="87">
        <f>+M176/$E176</f>
        <v>2305.7631124953655</v>
      </c>
      <c r="N178" s="68"/>
      <c r="O178" s="63"/>
      <c r="P178" s="68"/>
      <c r="Q178" s="63"/>
      <c r="R178" s="68"/>
      <c r="S178" s="64"/>
      <c r="T178" s="68"/>
      <c r="U178" s="87">
        <f>+U176/$E176</f>
        <v>3097.6922392734818</v>
      </c>
      <c r="V178" s="88"/>
    </row>
    <row r="179" spans="2:22" ht="13.5" thickTop="1">
      <c r="B179" s="58" t="s">
        <v>97</v>
      </c>
      <c r="C179" s="59">
        <v>1924.1913391563355</v>
      </c>
      <c r="D179" s="60"/>
      <c r="E179" s="59"/>
      <c r="F179" s="60"/>
      <c r="G179" s="59"/>
      <c r="H179" s="60"/>
      <c r="I179" s="92"/>
      <c r="J179" s="60"/>
      <c r="K179" s="62"/>
      <c r="L179" s="60"/>
      <c r="M179" s="62"/>
      <c r="N179" s="60"/>
      <c r="O179" s="63"/>
      <c r="P179" s="60"/>
      <c r="Q179" s="63"/>
      <c r="R179" s="60"/>
      <c r="S179" s="64"/>
      <c r="T179" s="60"/>
      <c r="U179" s="65"/>
      <c r="V179" s="66"/>
    </row>
    <row r="180" spans="2:22">
      <c r="B180" s="67" t="s">
        <v>98</v>
      </c>
      <c r="C180" s="59"/>
      <c r="D180" s="68"/>
      <c r="E180" s="59">
        <v>12</v>
      </c>
      <c r="F180" s="68"/>
      <c r="G180" s="59"/>
      <c r="H180" s="68"/>
      <c r="I180" s="70">
        <v>406.82</v>
      </c>
      <c r="J180" s="68"/>
      <c r="K180" s="62">
        <f>+E180*I180</f>
        <v>4881.84</v>
      </c>
      <c r="L180" s="68"/>
      <c r="M180" s="62">
        <f>+K180</f>
        <v>4881.84</v>
      </c>
      <c r="N180" s="68"/>
      <c r="O180" s="63">
        <f>+E180</f>
        <v>12</v>
      </c>
      <c r="P180" s="68"/>
      <c r="Q180" s="63"/>
      <c r="R180" s="68"/>
      <c r="S180" s="71">
        <v>410.86</v>
      </c>
      <c r="T180" s="68"/>
      <c r="U180" s="72">
        <f>+O180*S180</f>
        <v>4930.32</v>
      </c>
      <c r="V180" s="73"/>
    </row>
    <row r="181" spans="2:22">
      <c r="B181" s="67" t="s">
        <v>99</v>
      </c>
      <c r="C181" s="83"/>
      <c r="D181" s="68"/>
      <c r="E181" s="83"/>
      <c r="F181" s="68"/>
      <c r="G181" s="59">
        <v>442.05957276591556</v>
      </c>
      <c r="H181" s="68"/>
      <c r="I181" s="70">
        <v>2.76</v>
      </c>
      <c r="J181" s="68"/>
      <c r="K181" s="63">
        <f>+G181*I181</f>
        <v>1220.0844208339267</v>
      </c>
      <c r="L181" s="68"/>
      <c r="M181" s="62">
        <f t="shared" ref="M181" si="70">+K181</f>
        <v>1220.0844208339267</v>
      </c>
      <c r="N181" s="68"/>
      <c r="O181" s="63"/>
      <c r="P181" s="68"/>
      <c r="Q181" s="63">
        <f>+G181</f>
        <v>442.05957276591556</v>
      </c>
      <c r="R181" s="68"/>
      <c r="S181" s="75">
        <v>3.8170000000000002</v>
      </c>
      <c r="T181" s="68"/>
      <c r="U181" s="72">
        <f>+Q181*S181</f>
        <v>1687.3413892474998</v>
      </c>
      <c r="V181" s="73"/>
    </row>
    <row r="182" spans="2:22" ht="13.5" thickBot="1">
      <c r="B182" s="78" t="s">
        <v>100</v>
      </c>
      <c r="C182" s="90">
        <f>SUM(C178:C181)</f>
        <v>1924.1913391563355</v>
      </c>
      <c r="D182" s="80"/>
      <c r="E182" s="90">
        <f>SUM(E178:E181)</f>
        <v>12</v>
      </c>
      <c r="F182" s="80"/>
      <c r="G182" s="90">
        <f>SUM(G179:G181)</f>
        <v>442.05957276591556</v>
      </c>
      <c r="H182" s="80"/>
      <c r="I182" s="50"/>
      <c r="J182" s="80"/>
      <c r="K182" s="81">
        <f>SUM(K179:L181)</f>
        <v>6101.9244208339269</v>
      </c>
      <c r="L182" s="80"/>
      <c r="M182" s="81">
        <f>SUM(M179:N181)</f>
        <v>6101.9244208339269</v>
      </c>
      <c r="N182" s="80"/>
      <c r="O182" s="94">
        <f>SUM(O179:O181)</f>
        <v>12</v>
      </c>
      <c r="P182" s="80"/>
      <c r="Q182" s="94">
        <f>SUM(Q179:Q181)</f>
        <v>442.05957276591556</v>
      </c>
      <c r="R182" s="80"/>
      <c r="S182" s="64"/>
      <c r="T182" s="80"/>
      <c r="U182" s="94">
        <f>SUM(U179:U181)</f>
        <v>6617.6613892474998</v>
      </c>
      <c r="V182" s="95"/>
    </row>
    <row r="183" spans="2:22" ht="13.5" thickTop="1">
      <c r="B183" s="78"/>
      <c r="C183" s="83"/>
      <c r="D183" s="68"/>
      <c r="E183" s="83"/>
      <c r="F183" s="68"/>
      <c r="G183" s="59"/>
      <c r="H183" s="68"/>
      <c r="I183" s="61"/>
      <c r="J183" s="68"/>
      <c r="K183" s="62"/>
      <c r="L183" s="68"/>
      <c r="M183" s="62"/>
      <c r="N183" s="68"/>
      <c r="O183" s="63"/>
      <c r="P183" s="68"/>
      <c r="Q183" s="63"/>
      <c r="R183" s="68"/>
      <c r="S183" s="64"/>
      <c r="T183" s="68"/>
      <c r="U183" s="84"/>
      <c r="V183" s="85"/>
    </row>
    <row r="184" spans="2:22" ht="13.5" thickBot="1">
      <c r="B184" s="86" t="s">
        <v>101</v>
      </c>
      <c r="C184" s="83"/>
      <c r="D184" s="68"/>
      <c r="E184" s="83"/>
      <c r="F184" s="68"/>
      <c r="G184" s="59"/>
      <c r="H184" s="68"/>
      <c r="I184" s="61"/>
      <c r="J184" s="68"/>
      <c r="K184" s="62"/>
      <c r="L184" s="68"/>
      <c r="M184" s="87">
        <f>+M182/$E182</f>
        <v>508.49370173616057</v>
      </c>
      <c r="N184" s="68"/>
      <c r="O184" s="63"/>
      <c r="P184" s="68"/>
      <c r="Q184" s="63"/>
      <c r="R184" s="68"/>
      <c r="S184" s="64"/>
      <c r="T184" s="68"/>
      <c r="U184" s="87">
        <f>+U182/$E182</f>
        <v>551.47178243729161</v>
      </c>
      <c r="V184" s="88"/>
    </row>
    <row r="185" spans="2:22" ht="13.5" thickTop="1">
      <c r="B185" s="58" t="s">
        <v>102</v>
      </c>
      <c r="C185" s="59">
        <v>369.92026082814999</v>
      </c>
      <c r="D185" s="60"/>
      <c r="E185" s="59"/>
      <c r="F185" s="60"/>
      <c r="G185" s="59"/>
      <c r="H185" s="60"/>
      <c r="I185" s="92"/>
      <c r="J185" s="60"/>
      <c r="K185" s="62"/>
      <c r="L185" s="60"/>
      <c r="M185" s="62"/>
      <c r="N185" s="60"/>
      <c r="O185" s="63"/>
      <c r="P185" s="60"/>
      <c r="Q185" s="63"/>
      <c r="R185" s="60"/>
      <c r="S185" s="64"/>
      <c r="T185" s="60"/>
      <c r="U185" s="65"/>
      <c r="V185" s="66"/>
    </row>
    <row r="186" spans="2:22">
      <c r="B186" s="67" t="s">
        <v>98</v>
      </c>
      <c r="C186" s="59"/>
      <c r="D186" s="68"/>
      <c r="E186" s="59">
        <v>12</v>
      </c>
      <c r="F186" s="68"/>
      <c r="G186" s="59"/>
      <c r="H186" s="68"/>
      <c r="I186" s="70">
        <v>406.82</v>
      </c>
      <c r="J186" s="68"/>
      <c r="K186" s="62">
        <f>+E186*I186</f>
        <v>4881.84</v>
      </c>
      <c r="L186" s="68"/>
      <c r="M186" s="62">
        <f>+K186</f>
        <v>4881.84</v>
      </c>
      <c r="N186" s="68"/>
      <c r="O186" s="63">
        <f>+E186</f>
        <v>12</v>
      </c>
      <c r="P186" s="68"/>
      <c r="Q186" s="63"/>
      <c r="R186" s="68"/>
      <c r="S186" s="71">
        <v>410.86</v>
      </c>
      <c r="T186" s="68"/>
      <c r="U186" s="72">
        <f>+O186*S186</f>
        <v>4930.32</v>
      </c>
      <c r="V186" s="73"/>
    </row>
    <row r="187" spans="2:22">
      <c r="B187" s="67" t="s">
        <v>99</v>
      </c>
      <c r="C187" s="83"/>
      <c r="D187" s="68"/>
      <c r="E187" s="83"/>
      <c r="F187" s="68"/>
      <c r="G187" s="59">
        <v>0</v>
      </c>
      <c r="H187" s="68"/>
      <c r="I187" s="70">
        <v>2.76</v>
      </c>
      <c r="J187" s="68"/>
      <c r="K187" s="62">
        <f>+G187*I187</f>
        <v>0</v>
      </c>
      <c r="L187" s="68"/>
      <c r="M187" s="62">
        <f t="shared" ref="M187" si="71">+K187</f>
        <v>0</v>
      </c>
      <c r="N187" s="68"/>
      <c r="O187" s="63"/>
      <c r="P187" s="68"/>
      <c r="Q187" s="63">
        <f>+G187</f>
        <v>0</v>
      </c>
      <c r="R187" s="68"/>
      <c r="S187" s="75">
        <v>3.8170000000000002</v>
      </c>
      <c r="T187" s="68"/>
      <c r="U187" s="72">
        <f>+Q187*S187</f>
        <v>0</v>
      </c>
      <c r="V187" s="73"/>
    </row>
    <row r="188" spans="2:22" ht="13.5" thickBot="1">
      <c r="B188" s="78" t="s">
        <v>103</v>
      </c>
      <c r="C188" s="90">
        <f>SUM(C185:C187)</f>
        <v>369.92026082814999</v>
      </c>
      <c r="D188" s="80"/>
      <c r="E188" s="90">
        <f>SUM(E185:E187)</f>
        <v>12</v>
      </c>
      <c r="F188" s="80"/>
      <c r="G188" s="90">
        <f>SUM(G185:H187)</f>
        <v>0</v>
      </c>
      <c r="H188" s="80"/>
      <c r="I188" s="50"/>
      <c r="J188" s="80"/>
      <c r="K188" s="81">
        <f>SUM(K185:L187)</f>
        <v>4881.84</v>
      </c>
      <c r="L188" s="80"/>
      <c r="M188" s="81">
        <f>SUM(M185:N187)</f>
        <v>4881.84</v>
      </c>
      <c r="N188" s="80"/>
      <c r="O188" s="96">
        <f>SUM(O185:O187)</f>
        <v>12</v>
      </c>
      <c r="P188" s="80"/>
      <c r="Q188" s="96">
        <f>SUM(Q185:Q187)</f>
        <v>0</v>
      </c>
      <c r="R188" s="80"/>
      <c r="S188" s="64"/>
      <c r="T188" s="80"/>
      <c r="U188" s="81">
        <f>SUM(U185:U187)</f>
        <v>4930.32</v>
      </c>
      <c r="V188" s="82"/>
    </row>
    <row r="189" spans="2:22" ht="13.5" thickTop="1">
      <c r="B189" s="78"/>
      <c r="C189" s="83"/>
      <c r="D189" s="68"/>
      <c r="E189" s="83"/>
      <c r="F189" s="68"/>
      <c r="G189" s="59"/>
      <c r="H189" s="68"/>
      <c r="I189" s="61"/>
      <c r="J189" s="68"/>
      <c r="K189" s="62"/>
      <c r="L189" s="68"/>
      <c r="M189" s="62"/>
      <c r="N189" s="68"/>
      <c r="O189" s="63"/>
      <c r="P189" s="68"/>
      <c r="Q189" s="63"/>
      <c r="R189" s="68"/>
      <c r="S189" s="64"/>
      <c r="T189" s="68"/>
      <c r="U189" s="84"/>
      <c r="V189" s="85"/>
    </row>
    <row r="190" spans="2:22" ht="13.5" thickBot="1">
      <c r="B190" s="86" t="s">
        <v>104</v>
      </c>
      <c r="C190" s="83"/>
      <c r="D190" s="68"/>
      <c r="E190" s="83"/>
      <c r="F190" s="68"/>
      <c r="G190" s="59"/>
      <c r="H190" s="68"/>
      <c r="I190" s="61"/>
      <c r="J190" s="68"/>
      <c r="K190" s="62"/>
      <c r="L190" s="68"/>
      <c r="M190" s="87">
        <f>+M188/$E188</f>
        <v>406.82</v>
      </c>
      <c r="N190" s="68"/>
      <c r="O190" s="63"/>
      <c r="P190" s="68"/>
      <c r="Q190" s="63"/>
      <c r="R190" s="68"/>
      <c r="S190" s="64"/>
      <c r="T190" s="68"/>
      <c r="U190" s="87">
        <f>+U188/$E188</f>
        <v>410.85999999999996</v>
      </c>
      <c r="V190" s="88"/>
    </row>
    <row r="191" spans="2:22" ht="13.5" thickTop="1">
      <c r="B191" s="58" t="s">
        <v>105</v>
      </c>
      <c r="C191" s="59">
        <v>1523.4604998290474</v>
      </c>
      <c r="D191" s="60"/>
      <c r="E191" s="59"/>
      <c r="F191" s="60"/>
      <c r="G191" s="59"/>
      <c r="H191" s="60"/>
      <c r="I191" s="92"/>
      <c r="J191" s="60"/>
      <c r="K191" s="62"/>
      <c r="L191" s="60"/>
      <c r="M191" s="62"/>
      <c r="N191" s="60"/>
      <c r="O191" s="63"/>
      <c r="P191" s="60"/>
      <c r="Q191" s="63"/>
      <c r="R191" s="60"/>
      <c r="S191" s="64"/>
      <c r="T191" s="60"/>
      <c r="U191" s="65"/>
      <c r="V191" s="66"/>
    </row>
    <row r="192" spans="2:22">
      <c r="B192" s="67" t="s">
        <v>98</v>
      </c>
      <c r="C192" s="59"/>
      <c r="D192" s="68"/>
      <c r="E192" s="59">
        <v>12</v>
      </c>
      <c r="F192" s="68"/>
      <c r="G192" s="59"/>
      <c r="H192" s="68"/>
      <c r="I192" s="70">
        <v>406.82</v>
      </c>
      <c r="J192" s="68"/>
      <c r="K192" s="62">
        <f>+E192*I192</f>
        <v>4881.84</v>
      </c>
      <c r="L192" s="68"/>
      <c r="M192" s="62">
        <f>+K192</f>
        <v>4881.84</v>
      </c>
      <c r="N192" s="68"/>
      <c r="O192" s="63">
        <f>+E192</f>
        <v>12</v>
      </c>
      <c r="P192" s="68"/>
      <c r="Q192" s="63"/>
      <c r="R192" s="68"/>
      <c r="S192" s="71">
        <v>410.86</v>
      </c>
      <c r="T192" s="68"/>
      <c r="U192" s="72">
        <f>+O192*S192</f>
        <v>4930.32</v>
      </c>
      <c r="V192" s="73"/>
    </row>
    <row r="193" spans="2:22">
      <c r="B193" s="67" t="s">
        <v>99</v>
      </c>
      <c r="C193" s="83"/>
      <c r="D193" s="68"/>
      <c r="E193" s="83"/>
      <c r="F193" s="68"/>
      <c r="G193" s="59">
        <v>158.81287478956239</v>
      </c>
      <c r="H193" s="68"/>
      <c r="I193" s="70">
        <v>2.76</v>
      </c>
      <c r="J193" s="68"/>
      <c r="K193" s="63">
        <f>+G193*I193</f>
        <v>438.32353441919213</v>
      </c>
      <c r="L193" s="68"/>
      <c r="M193" s="62">
        <f t="shared" ref="M193" si="72">+K193</f>
        <v>438.32353441919213</v>
      </c>
      <c r="N193" s="68"/>
      <c r="O193" s="63"/>
      <c r="P193" s="68"/>
      <c r="Q193" s="63">
        <f>+G193</f>
        <v>158.81287478956239</v>
      </c>
      <c r="R193" s="68"/>
      <c r="S193" s="75">
        <v>3.8170000000000002</v>
      </c>
      <c r="T193" s="68"/>
      <c r="U193" s="72">
        <f>+Q193*S193</f>
        <v>606.18874307175963</v>
      </c>
      <c r="V193" s="73"/>
    </row>
    <row r="194" spans="2:22" ht="13.5" thickBot="1">
      <c r="B194" s="78" t="s">
        <v>106</v>
      </c>
      <c r="C194" s="90">
        <f>SUM(C191:C193)</f>
        <v>1523.4604998290474</v>
      </c>
      <c r="D194" s="80"/>
      <c r="E194" s="90">
        <f>SUM(E191:E193)</f>
        <v>12</v>
      </c>
      <c r="F194" s="80"/>
      <c r="G194" s="90">
        <f>SUM(G191:G193)</f>
        <v>158.81287478956239</v>
      </c>
      <c r="H194" s="80"/>
      <c r="I194" s="50"/>
      <c r="J194" s="80"/>
      <c r="K194" s="81">
        <f>SUM(K191:K193)</f>
        <v>5320.1635344191927</v>
      </c>
      <c r="L194" s="80"/>
      <c r="M194" s="81">
        <f>SUM(M191:N193)</f>
        <v>5320.1635344191927</v>
      </c>
      <c r="N194" s="80"/>
      <c r="O194" s="96">
        <f>SUM(O191:O193)</f>
        <v>12</v>
      </c>
      <c r="P194" s="80"/>
      <c r="Q194" s="96">
        <f>SUM(Q191:Q193)</f>
        <v>158.81287478956239</v>
      </c>
      <c r="R194" s="80"/>
      <c r="S194" s="64"/>
      <c r="T194" s="80"/>
      <c r="U194" s="81">
        <f>SUM(U191:U193)</f>
        <v>5536.5087430717595</v>
      </c>
      <c r="V194" s="82"/>
    </row>
    <row r="195" spans="2:22" ht="13.5" thickTop="1">
      <c r="B195" s="78"/>
      <c r="C195" s="83"/>
      <c r="D195" s="68"/>
      <c r="E195" s="83"/>
      <c r="F195" s="68"/>
      <c r="G195" s="59"/>
      <c r="H195" s="68"/>
      <c r="I195" s="61"/>
      <c r="J195" s="68"/>
      <c r="K195" s="62"/>
      <c r="L195" s="68"/>
      <c r="M195" s="62"/>
      <c r="N195" s="68"/>
      <c r="O195" s="63"/>
      <c r="P195" s="68"/>
      <c r="Q195" s="63"/>
      <c r="R195" s="68"/>
      <c r="S195" s="64"/>
      <c r="T195" s="68"/>
      <c r="U195" s="84"/>
      <c r="V195" s="85"/>
    </row>
    <row r="196" spans="2:22" ht="13.5" thickBot="1">
      <c r="B196" s="86" t="s">
        <v>107</v>
      </c>
      <c r="C196" s="83"/>
      <c r="D196" s="68"/>
      <c r="E196" s="83"/>
      <c r="F196" s="68"/>
      <c r="G196" s="59"/>
      <c r="H196" s="68"/>
      <c r="I196" s="61"/>
      <c r="J196" s="68"/>
      <c r="K196" s="62"/>
      <c r="L196" s="68"/>
      <c r="M196" s="87">
        <f>+M194/$E194</f>
        <v>443.34696120159941</v>
      </c>
      <c r="N196" s="68"/>
      <c r="O196" s="63"/>
      <c r="P196" s="68"/>
      <c r="Q196" s="63"/>
      <c r="R196" s="68"/>
      <c r="S196" s="64"/>
      <c r="T196" s="68"/>
      <c r="U196" s="87">
        <f>+U194/$E194</f>
        <v>461.37572858931327</v>
      </c>
      <c r="V196" s="88"/>
    </row>
    <row r="197" spans="2:22" ht="13.5" thickTop="1">
      <c r="B197" s="58" t="s">
        <v>108</v>
      </c>
      <c r="C197" s="59">
        <v>1670.3282685777397</v>
      </c>
      <c r="D197" s="60"/>
      <c r="E197" s="59"/>
      <c r="F197" s="60"/>
      <c r="G197" s="59"/>
      <c r="H197" s="60"/>
      <c r="I197" s="92"/>
      <c r="J197" s="60"/>
      <c r="K197" s="62"/>
      <c r="L197" s="60"/>
      <c r="M197" s="62"/>
      <c r="N197" s="60"/>
      <c r="O197" s="63"/>
      <c r="P197" s="60"/>
      <c r="Q197" s="63"/>
      <c r="R197" s="60"/>
      <c r="S197" s="64"/>
      <c r="T197" s="60"/>
      <c r="U197" s="65"/>
      <c r="V197" s="66"/>
    </row>
    <row r="198" spans="2:22">
      <c r="B198" s="67" t="s">
        <v>109</v>
      </c>
      <c r="C198" s="59"/>
      <c r="D198" s="68"/>
      <c r="E198" s="59">
        <v>24</v>
      </c>
      <c r="F198" s="68"/>
      <c r="G198" s="59"/>
      <c r="H198" s="68"/>
      <c r="I198" s="70">
        <v>831.52</v>
      </c>
      <c r="J198" s="68"/>
      <c r="K198" s="62">
        <f>+E198*I198</f>
        <v>19956.48</v>
      </c>
      <c r="L198" s="68"/>
      <c r="M198" s="62">
        <f>+K198</f>
        <v>19956.48</v>
      </c>
      <c r="N198" s="68"/>
      <c r="O198" s="63">
        <f>+E198</f>
        <v>24</v>
      </c>
      <c r="P198" s="68"/>
      <c r="Q198" s="63"/>
      <c r="R198" s="68"/>
      <c r="S198" s="71">
        <v>822.66</v>
      </c>
      <c r="T198" s="68"/>
      <c r="U198" s="72">
        <f>+O198*S198</f>
        <v>19743.84</v>
      </c>
      <c r="V198" s="73"/>
    </row>
    <row r="199" spans="2:22">
      <c r="B199" s="97" t="s">
        <v>110</v>
      </c>
      <c r="C199" s="83"/>
      <c r="D199" s="68"/>
      <c r="E199" s="83"/>
      <c r="F199" s="68"/>
      <c r="G199" s="59">
        <v>0</v>
      </c>
      <c r="H199" s="68"/>
      <c r="I199" s="70">
        <v>2.76</v>
      </c>
      <c r="J199" s="68"/>
      <c r="K199" s="63">
        <f>+G199*I199</f>
        <v>0</v>
      </c>
      <c r="L199" s="68"/>
      <c r="M199" s="62">
        <f t="shared" ref="M199" si="73">+K199</f>
        <v>0</v>
      </c>
      <c r="N199" s="68"/>
      <c r="O199" s="63"/>
      <c r="P199" s="68"/>
      <c r="Q199" s="63">
        <f>+G199</f>
        <v>0</v>
      </c>
      <c r="R199" s="68"/>
      <c r="S199" s="75">
        <v>3.8170000000000002</v>
      </c>
      <c r="T199" s="68"/>
      <c r="U199" s="72">
        <f>+Q199*S199</f>
        <v>0</v>
      </c>
      <c r="V199" s="73"/>
    </row>
    <row r="200" spans="2:22" ht="13.5" thickBot="1">
      <c r="B200" s="78" t="s">
        <v>111</v>
      </c>
      <c r="C200" s="90">
        <f>SUM(C197:C199)</f>
        <v>1670.3282685777397</v>
      </c>
      <c r="D200" s="80"/>
      <c r="E200" s="90">
        <f>SUM(E197:E199)</f>
        <v>24</v>
      </c>
      <c r="F200" s="80"/>
      <c r="G200" s="90">
        <f>SUM(G197:G199)</f>
        <v>0</v>
      </c>
      <c r="H200" s="80"/>
      <c r="I200" s="50"/>
      <c r="J200" s="80"/>
      <c r="K200" s="81">
        <f>SUM(K198:L199)</f>
        <v>19956.48</v>
      </c>
      <c r="L200" s="80"/>
      <c r="M200" s="81">
        <f>SUM(M198:N199)</f>
        <v>19956.48</v>
      </c>
      <c r="N200" s="80"/>
      <c r="O200" s="90">
        <f>SUM(O197:O199)</f>
        <v>24</v>
      </c>
      <c r="P200" s="80"/>
      <c r="Q200" s="90">
        <f>SUM(Q197:Q199)</f>
        <v>0</v>
      </c>
      <c r="R200" s="80"/>
      <c r="S200" s="64"/>
      <c r="T200" s="80"/>
      <c r="U200" s="81">
        <f>SUM(U198:U199)</f>
        <v>19743.84</v>
      </c>
      <c r="V200" s="82"/>
    </row>
    <row r="201" spans="2:22" ht="13.5" thickTop="1">
      <c r="B201" s="78"/>
      <c r="C201" s="83"/>
      <c r="D201" s="68"/>
      <c r="E201" s="83"/>
      <c r="F201" s="68"/>
      <c r="G201" s="59"/>
      <c r="H201" s="68"/>
      <c r="I201" s="61"/>
      <c r="J201" s="68"/>
      <c r="K201" s="62"/>
      <c r="L201" s="68"/>
      <c r="M201" s="62"/>
      <c r="N201" s="68"/>
      <c r="O201" s="63"/>
      <c r="P201" s="68"/>
      <c r="Q201" s="63"/>
      <c r="R201" s="68"/>
      <c r="S201" s="64"/>
      <c r="T201" s="68"/>
      <c r="U201" s="84"/>
      <c r="V201" s="85"/>
    </row>
    <row r="202" spans="2:22" ht="13.5" thickBot="1">
      <c r="B202" s="86" t="s">
        <v>112</v>
      </c>
      <c r="C202" s="83"/>
      <c r="D202" s="68"/>
      <c r="E202" s="83"/>
      <c r="F202" s="68"/>
      <c r="G202" s="59"/>
      <c r="H202" s="68"/>
      <c r="I202" s="61"/>
      <c r="J202" s="68"/>
      <c r="K202" s="62"/>
      <c r="L202" s="68"/>
      <c r="M202" s="87">
        <f>+M200/$E200</f>
        <v>831.52</v>
      </c>
      <c r="N202" s="68"/>
      <c r="O202" s="63"/>
      <c r="P202" s="68"/>
      <c r="Q202" s="63"/>
      <c r="R202" s="68"/>
      <c r="S202" s="64"/>
      <c r="T202" s="68"/>
      <c r="U202" s="87">
        <f>+U200/$E200</f>
        <v>822.66</v>
      </c>
      <c r="V202" s="88"/>
    </row>
    <row r="203" spans="2:22" ht="13.5" thickTop="1">
      <c r="B203" s="58" t="s">
        <v>113</v>
      </c>
      <c r="C203" s="59">
        <v>42536.620797858392</v>
      </c>
      <c r="D203" s="60"/>
      <c r="E203" s="59"/>
      <c r="F203" s="60"/>
      <c r="G203" s="59"/>
      <c r="H203" s="60"/>
      <c r="I203" s="92"/>
      <c r="J203" s="60"/>
      <c r="K203" s="62"/>
      <c r="L203" s="60"/>
      <c r="M203" s="62"/>
      <c r="N203" s="60"/>
      <c r="O203" s="63"/>
      <c r="P203" s="60"/>
      <c r="Q203" s="63"/>
      <c r="R203" s="60"/>
      <c r="S203" s="64"/>
      <c r="T203" s="60"/>
      <c r="U203" s="65"/>
      <c r="V203" s="66"/>
    </row>
    <row r="204" spans="2:22">
      <c r="B204" s="67" t="s">
        <v>109</v>
      </c>
      <c r="C204" s="59"/>
      <c r="D204" s="68"/>
      <c r="E204" s="59">
        <v>12</v>
      </c>
      <c r="F204" s="68"/>
      <c r="G204" s="59"/>
      <c r="H204" s="68"/>
      <c r="I204" s="70">
        <v>831.52</v>
      </c>
      <c r="J204" s="68"/>
      <c r="K204" s="62">
        <f>+E204*I204</f>
        <v>9978.24</v>
      </c>
      <c r="L204" s="68"/>
      <c r="M204" s="62">
        <f>+K204</f>
        <v>9978.24</v>
      </c>
      <c r="N204" s="68"/>
      <c r="O204" s="63">
        <f>+E204</f>
        <v>12</v>
      </c>
      <c r="P204" s="68"/>
      <c r="Q204" s="63"/>
      <c r="R204" s="68"/>
      <c r="S204" s="71">
        <v>822.66</v>
      </c>
      <c r="T204" s="68"/>
      <c r="U204" s="72">
        <f>+O204*S204</f>
        <v>9871.92</v>
      </c>
      <c r="V204" s="73"/>
    </row>
    <row r="205" spans="2:22">
      <c r="B205" s="97" t="s">
        <v>110</v>
      </c>
      <c r="C205" s="83"/>
      <c r="D205" s="68"/>
      <c r="E205" s="83"/>
      <c r="F205" s="68"/>
      <c r="G205" s="59">
        <v>39158.620797858392</v>
      </c>
      <c r="H205" s="68"/>
      <c r="I205" s="70">
        <v>2.76</v>
      </c>
      <c r="J205" s="68"/>
      <c r="K205" s="63">
        <f>+G205*I205</f>
        <v>108077.79340208916</v>
      </c>
      <c r="L205" s="68"/>
      <c r="M205" s="62">
        <f t="shared" ref="M205" si="74">+K205</f>
        <v>108077.79340208916</v>
      </c>
      <c r="N205" s="68"/>
      <c r="O205" s="63"/>
      <c r="P205" s="68"/>
      <c r="Q205" s="63">
        <f>+G205</f>
        <v>39158.620797858392</v>
      </c>
      <c r="R205" s="68"/>
      <c r="S205" s="75">
        <v>3.8170000000000002</v>
      </c>
      <c r="T205" s="68"/>
      <c r="U205" s="72">
        <f>+Q205*S205</f>
        <v>149468.45558542549</v>
      </c>
      <c r="V205" s="73"/>
    </row>
    <row r="206" spans="2:22" ht="13.5" thickBot="1">
      <c r="B206" s="78" t="s">
        <v>114</v>
      </c>
      <c r="C206" s="90">
        <f>SUM(C203:C205)</f>
        <v>42536.620797858392</v>
      </c>
      <c r="D206" s="80"/>
      <c r="E206" s="90">
        <f>SUM(E203:E205)</f>
        <v>12</v>
      </c>
      <c r="F206" s="80"/>
      <c r="G206" s="90">
        <f>SUM(G203:H205)</f>
        <v>39158.620797858392</v>
      </c>
      <c r="H206" s="80"/>
      <c r="I206" s="50"/>
      <c r="J206" s="80"/>
      <c r="K206" s="81">
        <f>SUM(K204:K205)</f>
        <v>118056.03340208916</v>
      </c>
      <c r="L206" s="80"/>
      <c r="M206" s="81">
        <f>SUM(M204:M205)</f>
        <v>118056.03340208916</v>
      </c>
      <c r="N206" s="80"/>
      <c r="O206" s="90">
        <f>SUM(O203:O205)</f>
        <v>12</v>
      </c>
      <c r="P206" s="80"/>
      <c r="Q206" s="90">
        <f>SUM(Q203:Q205)</f>
        <v>39158.620797858392</v>
      </c>
      <c r="R206" s="80"/>
      <c r="S206" s="64"/>
      <c r="T206" s="80"/>
      <c r="U206" s="81">
        <f>SUM(U204:U205)</f>
        <v>159340.3755854255</v>
      </c>
      <c r="V206" s="82"/>
    </row>
    <row r="207" spans="2:22" ht="13.5" thickTop="1">
      <c r="B207" s="78"/>
      <c r="C207" s="83"/>
      <c r="D207" s="68"/>
      <c r="E207" s="83"/>
      <c r="F207" s="68"/>
      <c r="G207" s="59"/>
      <c r="H207" s="68"/>
      <c r="I207" s="61"/>
      <c r="J207" s="68"/>
      <c r="K207" s="62"/>
      <c r="L207" s="68"/>
      <c r="M207" s="62"/>
      <c r="N207" s="68"/>
      <c r="O207" s="63"/>
      <c r="P207" s="68"/>
      <c r="Q207" s="63"/>
      <c r="R207" s="68"/>
      <c r="S207" s="64"/>
      <c r="T207" s="68"/>
      <c r="U207" s="84"/>
      <c r="V207" s="85"/>
    </row>
    <row r="208" spans="2:22" ht="13.5" thickBot="1">
      <c r="B208" s="86" t="s">
        <v>115</v>
      </c>
      <c r="C208" s="83"/>
      <c r="D208" s="68"/>
      <c r="E208" s="83"/>
      <c r="F208" s="68"/>
      <c r="G208" s="59"/>
      <c r="H208" s="68"/>
      <c r="I208" s="61"/>
      <c r="J208" s="68"/>
      <c r="K208" s="62"/>
      <c r="L208" s="68"/>
      <c r="M208" s="87">
        <f>+M206/$E206</f>
        <v>9838.0027835074306</v>
      </c>
      <c r="N208" s="68"/>
      <c r="O208" s="63"/>
      <c r="P208" s="68"/>
      <c r="Q208" s="63"/>
      <c r="R208" s="68"/>
      <c r="S208" s="64"/>
      <c r="T208" s="68"/>
      <c r="U208" s="87">
        <f>+U206/$E206</f>
        <v>13278.364632118792</v>
      </c>
      <c r="V208" s="88"/>
    </row>
    <row r="209" spans="2:22" ht="13.5" thickTop="1">
      <c r="B209" s="58"/>
      <c r="C209" s="83"/>
      <c r="D209" s="68"/>
      <c r="E209" s="83"/>
      <c r="F209" s="68"/>
      <c r="G209" s="59"/>
      <c r="H209" s="68"/>
      <c r="I209" s="61"/>
      <c r="J209" s="68"/>
      <c r="K209" s="62"/>
      <c r="L209" s="68"/>
      <c r="M209" s="62"/>
      <c r="N209" s="68"/>
      <c r="O209" s="63"/>
      <c r="P209" s="68"/>
      <c r="Q209" s="63"/>
      <c r="R209" s="68"/>
      <c r="S209" s="64"/>
      <c r="T209" s="68"/>
      <c r="U209" s="65"/>
      <c r="V209" s="66"/>
    </row>
    <row r="210" spans="2:22">
      <c r="B210" s="98" t="s">
        <v>116</v>
      </c>
      <c r="C210" s="83">
        <v>0</v>
      </c>
      <c r="D210" s="68"/>
      <c r="E210" s="83">
        <v>12</v>
      </c>
      <c r="F210" s="68"/>
      <c r="G210" s="59">
        <v>0</v>
      </c>
      <c r="H210" s="68"/>
      <c r="I210" s="70">
        <v>20.73</v>
      </c>
      <c r="J210" s="68"/>
      <c r="K210" s="62">
        <f>E210*I210*V210</f>
        <v>248.76</v>
      </c>
      <c r="L210" s="68"/>
      <c r="M210" s="62">
        <f t="shared" ref="M210" si="75">+K210</f>
        <v>248.76</v>
      </c>
      <c r="N210" s="68"/>
      <c r="O210" s="63">
        <f>+E210</f>
        <v>12</v>
      </c>
      <c r="P210" s="68"/>
      <c r="Q210" s="63">
        <f t="shared" ref="Q210" si="76">+G210</f>
        <v>0</v>
      </c>
      <c r="R210" s="68"/>
      <c r="S210" s="71">
        <f t="shared" ref="S210" si="77">+I210*(1+$X$5)</f>
        <v>25.832786214997412</v>
      </c>
      <c r="T210" s="68"/>
      <c r="U210" s="72">
        <f>+O210*S210*V210</f>
        <v>309.99343457996895</v>
      </c>
      <c r="V210" s="73">
        <v>1</v>
      </c>
    </row>
    <row r="211" spans="2:22" ht="13.5" thickBot="1">
      <c r="B211" s="78" t="s">
        <v>117</v>
      </c>
      <c r="C211" s="90">
        <f>SUM(C210)</f>
        <v>0</v>
      </c>
      <c r="D211" s="68"/>
      <c r="E211" s="90">
        <f>SUM(E210)</f>
        <v>12</v>
      </c>
      <c r="F211" s="68"/>
      <c r="G211" s="90">
        <f>SUM(G210)</f>
        <v>0</v>
      </c>
      <c r="H211" s="68"/>
      <c r="I211" s="61"/>
      <c r="J211" s="68"/>
      <c r="K211" s="81">
        <f>K210</f>
        <v>248.76</v>
      </c>
      <c r="L211" s="68"/>
      <c r="M211" s="81">
        <f>+M210</f>
        <v>248.76</v>
      </c>
      <c r="N211" s="68"/>
      <c r="O211" s="96">
        <f>+O210</f>
        <v>12</v>
      </c>
      <c r="P211" s="68"/>
      <c r="Q211" s="96">
        <f>+Q210</f>
        <v>0</v>
      </c>
      <c r="R211" s="68"/>
      <c r="S211" s="64"/>
      <c r="T211" s="68"/>
      <c r="U211" s="81">
        <f>+U210</f>
        <v>309.99343457996895</v>
      </c>
      <c r="V211" s="82"/>
    </row>
    <row r="212" spans="2:22" ht="13.5" thickTop="1">
      <c r="B212" s="98"/>
      <c r="C212" s="83"/>
      <c r="D212" s="68"/>
      <c r="E212" s="83"/>
      <c r="F212" s="68"/>
      <c r="G212" s="59"/>
      <c r="H212" s="68"/>
      <c r="I212" s="61"/>
      <c r="J212" s="68"/>
      <c r="K212" s="62"/>
      <c r="L212" s="68"/>
      <c r="M212" s="62"/>
      <c r="N212" s="68"/>
      <c r="O212" s="63"/>
      <c r="P212" s="68"/>
      <c r="Q212" s="63"/>
      <c r="R212" s="68"/>
      <c r="S212" s="64"/>
      <c r="T212" s="68"/>
      <c r="U212" s="65"/>
      <c r="V212" s="66"/>
    </row>
    <row r="213" spans="2:22" ht="13.5" thickBot="1">
      <c r="B213" s="86" t="s">
        <v>118</v>
      </c>
      <c r="C213" s="83"/>
      <c r="D213" s="68"/>
      <c r="E213" s="83"/>
      <c r="F213" s="68"/>
      <c r="G213" s="59"/>
      <c r="H213" s="68"/>
      <c r="I213" s="61"/>
      <c r="J213" s="68"/>
      <c r="K213" s="62"/>
      <c r="L213" s="68"/>
      <c r="M213" s="87">
        <f>+M211/$E211</f>
        <v>20.73</v>
      </c>
      <c r="N213" s="68"/>
      <c r="O213" s="63"/>
      <c r="P213" s="68"/>
      <c r="Q213" s="63"/>
      <c r="R213" s="68"/>
      <c r="S213" s="64"/>
      <c r="T213" s="68"/>
      <c r="U213" s="87">
        <f>+U211/$E211</f>
        <v>25.832786214997412</v>
      </c>
      <c r="V213" s="88"/>
    </row>
    <row r="214" spans="2:22" ht="13.5" thickTop="1">
      <c r="B214" s="86"/>
      <c r="C214" s="83"/>
      <c r="D214" s="68"/>
      <c r="E214" s="83"/>
      <c r="F214" s="68"/>
      <c r="G214" s="59"/>
      <c r="H214" s="68"/>
      <c r="I214" s="61"/>
      <c r="J214" s="68"/>
      <c r="K214" s="62"/>
      <c r="L214" s="68"/>
      <c r="M214" s="62"/>
      <c r="N214" s="68"/>
      <c r="O214" s="63"/>
      <c r="P214" s="68"/>
      <c r="Q214" s="63"/>
      <c r="R214" s="68"/>
      <c r="S214" s="64"/>
      <c r="T214" s="68"/>
      <c r="U214" s="99"/>
      <c r="V214" s="100"/>
    </row>
    <row r="215" spans="2:22">
      <c r="B215" s="98" t="s">
        <v>119</v>
      </c>
      <c r="C215" s="83">
        <v>0</v>
      </c>
      <c r="D215" s="68"/>
      <c r="E215" s="83">
        <v>12</v>
      </c>
      <c r="F215" s="68"/>
      <c r="G215" s="59">
        <v>0</v>
      </c>
      <c r="H215" s="68"/>
      <c r="I215" s="70">
        <v>20.73</v>
      </c>
      <c r="J215" s="68"/>
      <c r="K215" s="62">
        <f>E215*I215*V215</f>
        <v>7960.32</v>
      </c>
      <c r="L215" s="68"/>
      <c r="M215" s="62">
        <f t="shared" ref="M215" si="78">+K215</f>
        <v>7960.32</v>
      </c>
      <c r="N215" s="68"/>
      <c r="O215" s="63">
        <f>+E215</f>
        <v>12</v>
      </c>
      <c r="P215" s="68"/>
      <c r="Q215" s="63">
        <f>+G215</f>
        <v>0</v>
      </c>
      <c r="R215" s="68"/>
      <c r="S215" s="71">
        <f t="shared" ref="S215" si="79">+I215*(1+$X$5)</f>
        <v>25.832786214997412</v>
      </c>
      <c r="T215" s="68"/>
      <c r="U215" s="72">
        <f>+O215*S215*V215</f>
        <v>9919.7899065590063</v>
      </c>
      <c r="V215" s="73">
        <v>32</v>
      </c>
    </row>
    <row r="216" spans="2:22" ht="13.5" thickBot="1">
      <c r="B216" s="78" t="s">
        <v>120</v>
      </c>
      <c r="C216" s="90">
        <f>SUM(C215)</f>
        <v>0</v>
      </c>
      <c r="D216" s="68"/>
      <c r="E216" s="90">
        <f>SUM(E215)</f>
        <v>12</v>
      </c>
      <c r="F216" s="68"/>
      <c r="G216" s="90">
        <f>SUM(G215)</f>
        <v>0</v>
      </c>
      <c r="H216" s="68"/>
      <c r="I216" s="61"/>
      <c r="J216" s="68"/>
      <c r="K216" s="81">
        <f>K215</f>
        <v>7960.32</v>
      </c>
      <c r="L216" s="68"/>
      <c r="M216" s="81">
        <f>+M215</f>
        <v>7960.32</v>
      </c>
      <c r="N216" s="68"/>
      <c r="O216" s="96">
        <f>+O215</f>
        <v>12</v>
      </c>
      <c r="P216" s="68"/>
      <c r="Q216" s="96">
        <f>+Q215</f>
        <v>0</v>
      </c>
      <c r="R216" s="68"/>
      <c r="S216" s="64"/>
      <c r="T216" s="68"/>
      <c r="U216" s="81">
        <f>+U215</f>
        <v>9919.7899065590063</v>
      </c>
      <c r="V216" s="82"/>
    </row>
    <row r="217" spans="2:22" ht="13.5" thickTop="1">
      <c r="B217" s="98"/>
      <c r="C217" s="83"/>
      <c r="D217" s="68"/>
      <c r="E217" s="83"/>
      <c r="F217" s="68"/>
      <c r="G217" s="59"/>
      <c r="H217" s="68"/>
      <c r="I217" s="61"/>
      <c r="J217" s="68"/>
      <c r="K217" s="62"/>
      <c r="L217" s="68"/>
      <c r="M217" s="62"/>
      <c r="N217" s="68"/>
      <c r="O217" s="63"/>
      <c r="P217" s="68"/>
      <c r="Q217" s="63"/>
      <c r="R217" s="68"/>
      <c r="S217" s="64"/>
      <c r="T217" s="68"/>
      <c r="U217" s="65"/>
      <c r="V217" s="66"/>
    </row>
    <row r="218" spans="2:22" ht="13.5" thickBot="1">
      <c r="B218" s="86" t="s">
        <v>121</v>
      </c>
      <c r="C218" s="83"/>
      <c r="D218" s="68"/>
      <c r="E218" s="83"/>
      <c r="F218" s="68"/>
      <c r="G218" s="59"/>
      <c r="H218" s="68"/>
      <c r="I218" s="61"/>
      <c r="J218" s="68"/>
      <c r="K218" s="62"/>
      <c r="L218" s="68"/>
      <c r="M218" s="87">
        <f>+M216/$E216</f>
        <v>663.36</v>
      </c>
      <c r="N218" s="68"/>
      <c r="O218" s="63"/>
      <c r="P218" s="68"/>
      <c r="Q218" s="63"/>
      <c r="R218" s="68"/>
      <c r="S218" s="64"/>
      <c r="T218" s="68"/>
      <c r="U218" s="87">
        <f>+U216/$E216</f>
        <v>826.6491588799172</v>
      </c>
      <c r="V218" s="88"/>
    </row>
    <row r="219" spans="2:22" ht="13.5" thickTop="1">
      <c r="B219" s="98" t="s">
        <v>122</v>
      </c>
      <c r="C219" s="83">
        <v>0</v>
      </c>
      <c r="D219" s="68"/>
      <c r="E219" s="83">
        <v>12</v>
      </c>
      <c r="F219" s="68"/>
      <c r="G219" s="59">
        <v>0</v>
      </c>
      <c r="H219" s="68"/>
      <c r="I219" s="70">
        <v>152.97999999999999</v>
      </c>
      <c r="J219" s="68"/>
      <c r="K219" s="62">
        <f>E219*I219*V219</f>
        <v>1835.7599999999998</v>
      </c>
      <c r="L219" s="68"/>
      <c r="M219" s="62">
        <f t="shared" ref="M219" si="80">+K219</f>
        <v>1835.7599999999998</v>
      </c>
      <c r="N219" s="68"/>
      <c r="O219" s="63">
        <f>+E219</f>
        <v>12</v>
      </c>
      <c r="P219" s="68"/>
      <c r="Q219" s="63">
        <f>+G219</f>
        <v>0</v>
      </c>
      <c r="R219" s="68"/>
      <c r="S219" s="71">
        <f t="shared" ref="S219" si="81">+I219*(1+$X$5)</f>
        <v>190.63674072215647</v>
      </c>
      <c r="T219" s="68"/>
      <c r="U219" s="72">
        <f>+O219*S219*V219</f>
        <v>2287.6408886658778</v>
      </c>
      <c r="V219" s="73">
        <v>1</v>
      </c>
    </row>
    <row r="220" spans="2:22" ht="13.5" thickBot="1">
      <c r="B220" s="78" t="s">
        <v>123</v>
      </c>
      <c r="C220" s="90">
        <f>SUM(C219)</f>
        <v>0</v>
      </c>
      <c r="D220" s="68"/>
      <c r="E220" s="90">
        <f>SUM(E219)</f>
        <v>12</v>
      </c>
      <c r="F220" s="68"/>
      <c r="G220" s="90">
        <f>SUM(G219)</f>
        <v>0</v>
      </c>
      <c r="H220" s="68"/>
      <c r="I220" s="61"/>
      <c r="J220" s="68"/>
      <c r="K220" s="81">
        <f>K219</f>
        <v>1835.7599999999998</v>
      </c>
      <c r="L220" s="68"/>
      <c r="M220" s="81">
        <f>+M219</f>
        <v>1835.7599999999998</v>
      </c>
      <c r="N220" s="68"/>
      <c r="O220" s="96">
        <f>+O219</f>
        <v>12</v>
      </c>
      <c r="P220" s="68"/>
      <c r="Q220" s="96">
        <f>+Q219</f>
        <v>0</v>
      </c>
      <c r="R220" s="68"/>
      <c r="S220" s="64"/>
      <c r="T220" s="68"/>
      <c r="U220" s="81">
        <f>+U219</f>
        <v>2287.6408886658778</v>
      </c>
      <c r="V220" s="82"/>
    </row>
    <row r="221" spans="2:22" ht="13.5" thickTop="1">
      <c r="B221" s="98"/>
      <c r="C221" s="83"/>
      <c r="D221" s="68"/>
      <c r="E221" s="83"/>
      <c r="F221" s="68"/>
      <c r="G221" s="59"/>
      <c r="H221" s="68"/>
      <c r="I221" s="61"/>
      <c r="J221" s="68"/>
      <c r="K221" s="62"/>
      <c r="L221" s="68"/>
      <c r="M221" s="62"/>
      <c r="N221" s="68"/>
      <c r="O221" s="63"/>
      <c r="P221" s="68"/>
      <c r="Q221" s="63"/>
      <c r="R221" s="68"/>
      <c r="S221" s="64"/>
      <c r="T221" s="68"/>
      <c r="U221" s="65"/>
      <c r="V221" s="66"/>
    </row>
    <row r="222" spans="2:22" ht="13.5" thickBot="1">
      <c r="B222" s="86" t="s">
        <v>124</v>
      </c>
      <c r="C222" s="83"/>
      <c r="D222" s="68"/>
      <c r="E222" s="83"/>
      <c r="F222" s="68"/>
      <c r="G222" s="59"/>
      <c r="H222" s="68"/>
      <c r="I222" s="61"/>
      <c r="J222" s="68"/>
      <c r="K222" s="62"/>
      <c r="L222" s="68"/>
      <c r="M222" s="87">
        <f>+M220/$E220</f>
        <v>152.97999999999999</v>
      </c>
      <c r="N222" s="68"/>
      <c r="O222" s="63"/>
      <c r="P222" s="68"/>
      <c r="Q222" s="63"/>
      <c r="R222" s="68"/>
      <c r="S222" s="64"/>
      <c r="T222" s="68"/>
      <c r="U222" s="87">
        <f>+U220/$E220</f>
        <v>190.63674072215647</v>
      </c>
      <c r="V222" s="88"/>
    </row>
    <row r="223" spans="2:22" ht="13.5" thickTop="1">
      <c r="B223" s="98" t="s">
        <v>125</v>
      </c>
      <c r="C223" s="83">
        <v>0</v>
      </c>
      <c r="D223" s="68"/>
      <c r="E223" s="83">
        <v>12</v>
      </c>
      <c r="F223" s="68"/>
      <c r="G223" s="59">
        <v>0</v>
      </c>
      <c r="H223" s="68"/>
      <c r="I223" s="70">
        <v>20.73</v>
      </c>
      <c r="J223" s="68"/>
      <c r="K223" s="62">
        <f>E223*I223*V223</f>
        <v>9950.4</v>
      </c>
      <c r="L223" s="68"/>
      <c r="M223" s="62">
        <f t="shared" ref="M223" si="82">+K223</f>
        <v>9950.4</v>
      </c>
      <c r="N223" s="68"/>
      <c r="O223" s="63">
        <f>+E223</f>
        <v>12</v>
      </c>
      <c r="P223" s="68"/>
      <c r="Q223" s="63">
        <f>+G223</f>
        <v>0</v>
      </c>
      <c r="R223" s="68"/>
      <c r="S223" s="71">
        <f t="shared" ref="S223" si="83">+I223*(1+$X$5)</f>
        <v>25.832786214997412</v>
      </c>
      <c r="T223" s="68"/>
      <c r="U223" s="72">
        <f>+O223*S223*V223</f>
        <v>12399.737383198757</v>
      </c>
      <c r="V223" s="73">
        <v>40</v>
      </c>
    </row>
    <row r="224" spans="2:22" ht="13.5" thickBot="1">
      <c r="B224" s="78" t="s">
        <v>126</v>
      </c>
      <c r="C224" s="90">
        <f>SUM(C223)</f>
        <v>0</v>
      </c>
      <c r="D224" s="68"/>
      <c r="E224" s="90">
        <f>SUM(E223)</f>
        <v>12</v>
      </c>
      <c r="F224" s="68"/>
      <c r="G224" s="90">
        <f>SUM(G223)</f>
        <v>0</v>
      </c>
      <c r="H224" s="68"/>
      <c r="I224" s="61"/>
      <c r="J224" s="68"/>
      <c r="K224" s="81">
        <f>K223</f>
        <v>9950.4</v>
      </c>
      <c r="L224" s="68"/>
      <c r="M224" s="81">
        <f>+M223</f>
        <v>9950.4</v>
      </c>
      <c r="N224" s="68"/>
      <c r="O224" s="96">
        <f>+O223</f>
        <v>12</v>
      </c>
      <c r="P224" s="68"/>
      <c r="Q224" s="96">
        <f>+Q223</f>
        <v>0</v>
      </c>
      <c r="R224" s="68"/>
      <c r="S224" s="64"/>
      <c r="T224" s="68"/>
      <c r="U224" s="81">
        <f>+U223</f>
        <v>12399.737383198757</v>
      </c>
      <c r="V224" s="82"/>
    </row>
    <row r="225" spans="2:22" ht="13.5" thickTop="1">
      <c r="B225" s="98"/>
      <c r="C225" s="83"/>
      <c r="D225" s="68"/>
      <c r="E225" s="83"/>
      <c r="F225" s="68"/>
      <c r="G225" s="59"/>
      <c r="H225" s="68"/>
      <c r="I225" s="61"/>
      <c r="J225" s="68"/>
      <c r="K225" s="62"/>
      <c r="L225" s="68"/>
      <c r="M225" s="62"/>
      <c r="N225" s="68"/>
      <c r="O225" s="63"/>
      <c r="P225" s="68"/>
      <c r="Q225" s="63"/>
      <c r="R225" s="68"/>
      <c r="S225" s="64"/>
      <c r="T225" s="68"/>
      <c r="U225" s="65"/>
      <c r="V225" s="66"/>
    </row>
    <row r="226" spans="2:22" ht="13.5" thickBot="1">
      <c r="B226" s="86" t="s">
        <v>127</v>
      </c>
      <c r="C226" s="83"/>
      <c r="D226" s="68"/>
      <c r="E226" s="83"/>
      <c r="F226" s="68"/>
      <c r="G226" s="59"/>
      <c r="H226" s="68"/>
      <c r="I226" s="61"/>
      <c r="J226" s="68"/>
      <c r="K226" s="62"/>
      <c r="L226" s="68"/>
      <c r="M226" s="87">
        <f>+M224/$E224</f>
        <v>829.19999999999993</v>
      </c>
      <c r="N226" s="68"/>
      <c r="O226" s="63"/>
      <c r="P226" s="68"/>
      <c r="Q226" s="63"/>
      <c r="R226" s="68"/>
      <c r="S226" s="64"/>
      <c r="T226" s="68"/>
      <c r="U226" s="87">
        <f>+U224/$E224</f>
        <v>1033.3114485998965</v>
      </c>
      <c r="V226" s="88"/>
    </row>
    <row r="227" spans="2:22" ht="13.5" thickTop="1">
      <c r="B227" s="98" t="s">
        <v>128</v>
      </c>
      <c r="C227" s="83">
        <v>0</v>
      </c>
      <c r="D227" s="68"/>
      <c r="E227" s="83">
        <v>12</v>
      </c>
      <c r="F227" s="68"/>
      <c r="G227" s="59">
        <v>0</v>
      </c>
      <c r="H227" s="68"/>
      <c r="I227" s="70">
        <v>4.6100000000000003</v>
      </c>
      <c r="J227" s="68"/>
      <c r="K227" s="62">
        <f>E227*I227*V227</f>
        <v>15213.000000000002</v>
      </c>
      <c r="L227" s="68"/>
      <c r="M227" s="62">
        <f t="shared" ref="M227" si="84">+K227</f>
        <v>15213.000000000002</v>
      </c>
      <c r="N227" s="68"/>
      <c r="O227" s="63">
        <f>+E227</f>
        <v>12</v>
      </c>
      <c r="P227" s="68"/>
      <c r="Q227" s="63">
        <f>+G227</f>
        <v>0</v>
      </c>
      <c r="R227" s="68"/>
      <c r="S227" s="71">
        <f t="shared" ref="S227" si="85">+I227*(1+$X$5)</f>
        <v>5.7447730077731833</v>
      </c>
      <c r="T227" s="68"/>
      <c r="U227" s="72">
        <f>+O227*S227*V227</f>
        <v>18957.750925651504</v>
      </c>
      <c r="V227" s="73">
        <v>275</v>
      </c>
    </row>
    <row r="228" spans="2:22" ht="13.5" thickBot="1">
      <c r="B228" s="78" t="s">
        <v>129</v>
      </c>
      <c r="C228" s="90">
        <f>SUM(C227)</f>
        <v>0</v>
      </c>
      <c r="D228" s="68"/>
      <c r="E228" s="90">
        <f>SUM(E227)</f>
        <v>12</v>
      </c>
      <c r="F228" s="68"/>
      <c r="G228" s="90">
        <f>SUM(G227)</f>
        <v>0</v>
      </c>
      <c r="H228" s="68"/>
      <c r="I228" s="61"/>
      <c r="J228" s="68"/>
      <c r="K228" s="81">
        <f>K227</f>
        <v>15213.000000000002</v>
      </c>
      <c r="L228" s="68"/>
      <c r="M228" s="81">
        <f>+M227</f>
        <v>15213.000000000002</v>
      </c>
      <c r="N228" s="68"/>
      <c r="O228" s="96">
        <f>+O227</f>
        <v>12</v>
      </c>
      <c r="P228" s="68"/>
      <c r="Q228" s="96">
        <f>+Q227</f>
        <v>0</v>
      </c>
      <c r="R228" s="68"/>
      <c r="S228" s="64"/>
      <c r="T228" s="68"/>
      <c r="U228" s="81">
        <f>+U227</f>
        <v>18957.750925651504</v>
      </c>
      <c r="V228" s="82"/>
    </row>
    <row r="229" spans="2:22" ht="13.5" thickTop="1">
      <c r="B229" s="98"/>
      <c r="C229" s="83"/>
      <c r="D229" s="68"/>
      <c r="E229" s="83"/>
      <c r="F229" s="68"/>
      <c r="G229" s="59"/>
      <c r="H229" s="68"/>
      <c r="I229" s="61"/>
      <c r="J229" s="68"/>
      <c r="K229" s="62"/>
      <c r="L229" s="68"/>
      <c r="M229" s="62"/>
      <c r="N229" s="68"/>
      <c r="O229" s="63"/>
      <c r="P229" s="68"/>
      <c r="Q229" s="63"/>
      <c r="R229" s="68"/>
      <c r="S229" s="64"/>
      <c r="T229" s="68"/>
      <c r="U229" s="65"/>
      <c r="V229" s="66"/>
    </row>
    <row r="230" spans="2:22" ht="13.5" thickBot="1">
      <c r="B230" s="86" t="s">
        <v>130</v>
      </c>
      <c r="C230" s="83"/>
      <c r="D230" s="68"/>
      <c r="E230" s="83"/>
      <c r="F230" s="68"/>
      <c r="G230" s="59"/>
      <c r="H230" s="68"/>
      <c r="I230" s="61"/>
      <c r="J230" s="68"/>
      <c r="K230" s="62"/>
      <c r="L230" s="68"/>
      <c r="M230" s="87">
        <f>+M228/$E228</f>
        <v>1267.7500000000002</v>
      </c>
      <c r="N230" s="68"/>
      <c r="O230" s="63"/>
      <c r="P230" s="68"/>
      <c r="Q230" s="63"/>
      <c r="R230" s="68"/>
      <c r="S230" s="64"/>
      <c r="T230" s="68"/>
      <c r="U230" s="87">
        <f>+U228/$E228</f>
        <v>1579.8125771376253</v>
      </c>
      <c r="V230" s="88"/>
    </row>
    <row r="231" spans="2:22" ht="13.5" thickTop="1">
      <c r="B231" s="58"/>
      <c r="C231" s="83"/>
      <c r="D231" s="68"/>
      <c r="E231" s="83"/>
      <c r="F231" s="68"/>
      <c r="G231" s="59"/>
      <c r="H231" s="68"/>
      <c r="I231" s="61"/>
      <c r="J231" s="68"/>
      <c r="K231" s="62"/>
      <c r="L231" s="68"/>
      <c r="M231" s="101"/>
      <c r="N231" s="68"/>
      <c r="O231" s="63"/>
      <c r="P231" s="68"/>
      <c r="Q231" s="63"/>
      <c r="R231" s="68"/>
      <c r="S231" s="64"/>
      <c r="T231" s="68"/>
      <c r="U231" s="101"/>
      <c r="V231" s="88"/>
    </row>
    <row r="232" spans="2:22" ht="13.5" thickBot="1">
      <c r="B232" s="55" t="s">
        <v>131</v>
      </c>
      <c r="C232" s="102">
        <f>+C216+C211+C206+C200+C194+C188+C182+C176+C169+C162+C154+C145+C136+C127+C118+C109+C99+C89+C79+C69+C59+C49+C39+C29+C19</f>
        <v>379959.65014406509</v>
      </c>
      <c r="D232" s="68"/>
      <c r="E232" s="102">
        <f>+E216+E211+E206+E200+E194+E188+E182+E176+E169+E162+E154+E145+E136+E127+E118+E109+E99+E89+E79+E69+E59+E49+E39+E29+E19</f>
        <v>68167</v>
      </c>
      <c r="F232" s="68"/>
      <c r="G232" s="102">
        <f>+G216+G211+G206+G200+G194+G188+G182+G176+G169+G162+G154+G145+G136+G127+G118+G109+G99+G89+G79+G69+G59+G49+G39+G29+G19</f>
        <v>293828.2598312003</v>
      </c>
      <c r="H232" s="68"/>
      <c r="I232" s="61"/>
      <c r="J232" s="68"/>
      <c r="K232" s="103">
        <f>+K216+K211+K206+K200+K194+K188+K182+K176+K169+K162+K154+K145+K136+K127+K118+K109+K99+K89+K79+K69+K59+K49+K39+K29+K19+K228+K224+K220</f>
        <v>1847650.6985235193</v>
      </c>
      <c r="L232" s="68"/>
      <c r="M232" s="103">
        <f>+M216+M211+M206+M200+M194+M188+M182+M176+M169+M162+M154+M145+M136+M127+M118+M109+M99+M89+M79+M69+M59+M49+M39+M29+M19+M228+M224+M220</f>
        <v>1847650.6985235193</v>
      </c>
      <c r="N232" s="68"/>
      <c r="O232" s="102">
        <f>+O216+O211+O206+O200+O194+O188+O182+O176+O169+O162+O154+O145+O136+O127+O118+O109+O99+O89+O79+O69+O59+O49+O39+O29+O19</f>
        <v>68167</v>
      </c>
      <c r="P232" s="68"/>
      <c r="Q232" s="102">
        <f>+Q216+Q211+Q206+Q200+Q194+Q188+Q182+Q176+Q169+Q162+Q154+Q145+Q136+Q127+Q118+Q109+Q99+Q89+Q79+Q69+Q59+Q49+Q39+Q29+Q19</f>
        <v>293828.2598312003</v>
      </c>
      <c r="R232" s="68"/>
      <c r="S232" s="53"/>
      <c r="T232" s="68"/>
      <c r="U232" s="103">
        <f>+U216+U211+U206+U200+U194+U188+U182+U176+U169+U162+U154+U145+U136+U127+U118+U109+U99+U89+U79+U69+U59+U49+U39+U29+U19+U228+U224+U220</f>
        <v>2403456.6703143469</v>
      </c>
      <c r="V232" s="104"/>
    </row>
    <row r="233" spans="2:22" ht="13.5" thickTop="1">
      <c r="B233" s="58"/>
      <c r="C233" s="83"/>
      <c r="D233" s="68"/>
      <c r="E233" s="83"/>
      <c r="F233" s="68"/>
      <c r="G233" s="59"/>
      <c r="H233" s="68"/>
      <c r="I233" s="61"/>
      <c r="J233" s="68"/>
      <c r="K233" s="62"/>
      <c r="L233" s="68"/>
      <c r="M233" s="60"/>
      <c r="N233" s="68"/>
      <c r="O233" s="63"/>
      <c r="P233" s="68"/>
      <c r="Q233" s="63"/>
      <c r="R233" s="68"/>
      <c r="S233" s="64"/>
      <c r="T233" s="68"/>
      <c r="U233" s="65"/>
      <c r="V233" s="66"/>
    </row>
    <row r="234" spans="2:22">
      <c r="B234" s="105" t="s">
        <v>132</v>
      </c>
      <c r="C234" s="106"/>
      <c r="D234" s="68"/>
      <c r="E234" s="106"/>
      <c r="F234" s="68"/>
      <c r="G234" s="107"/>
      <c r="H234" s="68"/>
      <c r="I234" s="108"/>
      <c r="J234" s="68"/>
      <c r="K234" s="109"/>
      <c r="L234" s="68"/>
      <c r="M234" s="109"/>
      <c r="N234" s="68"/>
      <c r="O234" s="110"/>
      <c r="P234" s="68"/>
      <c r="Q234" s="111"/>
      <c r="R234" s="68"/>
      <c r="S234" s="64"/>
      <c r="T234" s="68"/>
      <c r="U234" s="112"/>
      <c r="V234" s="113"/>
    </row>
    <row r="235" spans="2:22">
      <c r="B235" s="58" t="s">
        <v>29</v>
      </c>
      <c r="C235" s="59">
        <v>757.1316897052136</v>
      </c>
      <c r="D235" s="60"/>
      <c r="E235" s="59"/>
      <c r="F235" s="60"/>
      <c r="G235" s="59"/>
      <c r="H235" s="56"/>
      <c r="I235" s="61"/>
      <c r="J235" s="56"/>
      <c r="K235" s="114"/>
      <c r="L235" s="56"/>
      <c r="M235" s="114"/>
      <c r="N235" s="56"/>
      <c r="O235" s="115"/>
      <c r="P235" s="56"/>
      <c r="Q235" s="115"/>
      <c r="R235" s="56"/>
      <c r="S235" s="116"/>
      <c r="T235" s="56"/>
      <c r="U235" s="65"/>
      <c r="V235" s="66"/>
    </row>
    <row r="236" spans="2:22">
      <c r="B236" s="67" t="s">
        <v>30</v>
      </c>
      <c r="C236" s="59"/>
      <c r="D236" s="60"/>
      <c r="E236" s="59">
        <v>225</v>
      </c>
      <c r="F236" s="60"/>
      <c r="G236" s="69"/>
      <c r="H236" s="68"/>
      <c r="I236" s="117">
        <v>12.47</v>
      </c>
      <c r="J236" s="68"/>
      <c r="K236" s="62">
        <f>+E236*I236</f>
        <v>2805.75</v>
      </c>
      <c r="L236" s="68"/>
      <c r="M236" s="62">
        <f>+K236</f>
        <v>2805.75</v>
      </c>
      <c r="N236" s="68"/>
      <c r="O236" s="63">
        <f>+E236</f>
        <v>225</v>
      </c>
      <c r="P236" s="68"/>
      <c r="Q236" s="63"/>
      <c r="R236" s="68"/>
      <c r="S236" s="71">
        <v>15.53</v>
      </c>
      <c r="T236" s="68"/>
      <c r="U236" s="72">
        <f>+O236*S236</f>
        <v>3494.25</v>
      </c>
      <c r="V236" s="73"/>
    </row>
    <row r="237" spans="2:22">
      <c r="B237" s="67" t="s">
        <v>31</v>
      </c>
      <c r="C237" s="59"/>
      <c r="D237" s="60"/>
      <c r="E237" s="59"/>
      <c r="F237" s="60"/>
      <c r="G237" s="59">
        <v>481.56517701871581</v>
      </c>
      <c r="H237" s="118"/>
      <c r="I237" s="117">
        <v>7.06</v>
      </c>
      <c r="J237" s="118"/>
      <c r="K237" s="63">
        <f>+G237*I237</f>
        <v>3399.8501497521333</v>
      </c>
      <c r="L237" s="118"/>
      <c r="M237" s="62">
        <f t="shared" ref="M237:M241" si="86">+K237</f>
        <v>3399.8501497521333</v>
      </c>
      <c r="N237" s="118"/>
      <c r="O237" s="63"/>
      <c r="P237" s="118"/>
      <c r="Q237" s="63">
        <f>+G237</f>
        <v>481.56517701871581</v>
      </c>
      <c r="R237" s="118"/>
      <c r="S237" s="75">
        <v>3.8170000000000002</v>
      </c>
      <c r="T237" s="118"/>
      <c r="U237" s="72">
        <f>+Q237*S237</f>
        <v>1838.1342806804385</v>
      </c>
      <c r="V237" s="73"/>
    </row>
    <row r="238" spans="2:22">
      <c r="B238" s="67" t="s">
        <v>32</v>
      </c>
      <c r="C238" s="59"/>
      <c r="D238" s="60"/>
      <c r="E238" s="59"/>
      <c r="F238" s="60"/>
      <c r="G238" s="59">
        <v>52.549049942523403</v>
      </c>
      <c r="H238" s="60"/>
      <c r="I238" s="117">
        <v>6.48</v>
      </c>
      <c r="J238" s="60"/>
      <c r="K238" s="63">
        <f t="shared" ref="K238:K241" si="87">+G238*I238</f>
        <v>340.51784362755166</v>
      </c>
      <c r="L238" s="60"/>
      <c r="M238" s="62">
        <f t="shared" si="86"/>
        <v>340.51784362755166</v>
      </c>
      <c r="N238" s="60"/>
      <c r="O238" s="63"/>
      <c r="P238" s="60"/>
      <c r="Q238" s="63">
        <f t="shared" ref="Q238:Q241" si="88">+G238</f>
        <v>52.549049942523403</v>
      </c>
      <c r="R238" s="60"/>
      <c r="S238" s="75">
        <v>3.8170000000000002</v>
      </c>
      <c r="T238" s="60"/>
      <c r="U238" s="72">
        <f t="shared" ref="U238:U241" si="89">+Q238*S238</f>
        <v>200.57972363061185</v>
      </c>
      <c r="V238" s="73"/>
    </row>
    <row r="239" spans="2:22">
      <c r="B239" s="67" t="s">
        <v>33</v>
      </c>
      <c r="C239" s="59"/>
      <c r="D239" s="60"/>
      <c r="E239" s="59"/>
      <c r="F239" s="60"/>
      <c r="G239" s="59">
        <v>5.2783135676091693</v>
      </c>
      <c r="H239" s="60"/>
      <c r="I239" s="117">
        <v>5.91</v>
      </c>
      <c r="J239" s="60"/>
      <c r="K239" s="63">
        <f t="shared" si="87"/>
        <v>31.194833184570189</v>
      </c>
      <c r="L239" s="60"/>
      <c r="M239" s="62">
        <f t="shared" si="86"/>
        <v>31.194833184570189</v>
      </c>
      <c r="N239" s="60"/>
      <c r="O239" s="63"/>
      <c r="P239" s="60"/>
      <c r="Q239" s="63">
        <f t="shared" si="88"/>
        <v>5.2783135676091693</v>
      </c>
      <c r="R239" s="60"/>
      <c r="S239" s="75">
        <v>3.8170000000000002</v>
      </c>
      <c r="T239" s="60"/>
      <c r="U239" s="72">
        <f t="shared" si="89"/>
        <v>20.147322887564201</v>
      </c>
      <c r="V239" s="73"/>
    </row>
    <row r="240" spans="2:22">
      <c r="B240" s="67" t="s">
        <v>34</v>
      </c>
      <c r="C240" s="59"/>
      <c r="D240" s="60"/>
      <c r="E240" s="59"/>
      <c r="F240" s="60"/>
      <c r="G240" s="59">
        <v>0</v>
      </c>
      <c r="H240" s="60"/>
      <c r="I240" s="117">
        <v>5.24</v>
      </c>
      <c r="J240" s="60"/>
      <c r="K240" s="63">
        <f t="shared" si="87"/>
        <v>0</v>
      </c>
      <c r="L240" s="60"/>
      <c r="M240" s="62">
        <f t="shared" si="86"/>
        <v>0</v>
      </c>
      <c r="N240" s="60"/>
      <c r="O240" s="63"/>
      <c r="P240" s="60"/>
      <c r="Q240" s="63">
        <f t="shared" si="88"/>
        <v>0</v>
      </c>
      <c r="R240" s="60"/>
      <c r="S240" s="75">
        <v>3.8170000000000002</v>
      </c>
      <c r="T240" s="60"/>
      <c r="U240" s="72">
        <f t="shared" si="89"/>
        <v>0</v>
      </c>
      <c r="V240" s="73"/>
    </row>
    <row r="241" spans="2:22">
      <c r="B241" s="67" t="s">
        <v>35</v>
      </c>
      <c r="C241" s="59"/>
      <c r="D241" s="60"/>
      <c r="E241" s="59"/>
      <c r="F241" s="60"/>
      <c r="G241" s="59">
        <v>0</v>
      </c>
      <c r="H241" s="60"/>
      <c r="I241" s="117">
        <v>4.58</v>
      </c>
      <c r="J241" s="60"/>
      <c r="K241" s="63">
        <f t="shared" si="87"/>
        <v>0</v>
      </c>
      <c r="L241" s="60"/>
      <c r="M241" s="62">
        <f t="shared" si="86"/>
        <v>0</v>
      </c>
      <c r="N241" s="60"/>
      <c r="O241" s="63"/>
      <c r="P241" s="60"/>
      <c r="Q241" s="63">
        <f t="shared" si="88"/>
        <v>0</v>
      </c>
      <c r="R241" s="60"/>
      <c r="S241" s="75">
        <v>3.8170000000000002</v>
      </c>
      <c r="T241" s="60"/>
      <c r="U241" s="72">
        <f t="shared" si="89"/>
        <v>0</v>
      </c>
      <c r="V241" s="73"/>
    </row>
    <row r="242" spans="2:22" ht="13.5" thickBot="1">
      <c r="B242" s="78" t="s">
        <v>36</v>
      </c>
      <c r="C242" s="79">
        <f>SUM(C235:C241)</f>
        <v>757.1316897052136</v>
      </c>
      <c r="D242" s="80"/>
      <c r="E242" s="79">
        <f>SUM(E235:E241)</f>
        <v>225</v>
      </c>
      <c r="F242" s="80"/>
      <c r="G242" s="79">
        <f>SUM(G235:G241)</f>
        <v>539.39254052884837</v>
      </c>
      <c r="H242" s="60"/>
      <c r="I242" s="50"/>
      <c r="J242" s="60"/>
      <c r="K242" s="81">
        <f>SUM(K235:K241)</f>
        <v>6577.3128265642563</v>
      </c>
      <c r="L242" s="60"/>
      <c r="M242" s="81">
        <f>SUM(M235:M241)</f>
        <v>6577.3128265642563</v>
      </c>
      <c r="N242" s="60"/>
      <c r="O242" s="79">
        <f>SUM(O235:O241)</f>
        <v>225</v>
      </c>
      <c r="P242" s="60"/>
      <c r="Q242" s="79">
        <f>SUM(Q235:Q241)</f>
        <v>539.39254052884837</v>
      </c>
      <c r="R242" s="60"/>
      <c r="S242" s="64"/>
      <c r="T242" s="60"/>
      <c r="U242" s="81">
        <f>SUM(U235:U241)</f>
        <v>5553.1113271986142</v>
      </c>
      <c r="V242" s="82"/>
    </row>
    <row r="243" spans="2:22" ht="13.5" thickTop="1">
      <c r="B243" s="78"/>
      <c r="C243" s="83"/>
      <c r="D243" s="68"/>
      <c r="E243" s="83"/>
      <c r="F243" s="60"/>
      <c r="G243" s="59"/>
      <c r="H243" s="60"/>
      <c r="I243" s="61"/>
      <c r="J243" s="60"/>
      <c r="K243" s="62"/>
      <c r="L243" s="60"/>
      <c r="M243" s="62"/>
      <c r="N243" s="60"/>
      <c r="O243" s="63"/>
      <c r="P243" s="60"/>
      <c r="Q243" s="63"/>
      <c r="R243" s="60"/>
      <c r="S243" s="64"/>
      <c r="T243" s="60"/>
      <c r="U243" s="84"/>
      <c r="V243" s="85"/>
    </row>
    <row r="244" spans="2:22" ht="13.5" thickBot="1">
      <c r="B244" s="86" t="s">
        <v>37</v>
      </c>
      <c r="C244" s="83"/>
      <c r="D244" s="68"/>
      <c r="E244" s="83"/>
      <c r="F244" s="60"/>
      <c r="G244" s="59"/>
      <c r="H244" s="60"/>
      <c r="I244" s="61"/>
      <c r="J244" s="60"/>
      <c r="K244" s="62"/>
      <c r="L244" s="60"/>
      <c r="M244" s="87">
        <f>+M242/$E242</f>
        <v>29.232501451396693</v>
      </c>
      <c r="N244" s="60"/>
      <c r="O244" s="63"/>
      <c r="P244" s="60"/>
      <c r="Q244" s="63"/>
      <c r="R244" s="60"/>
      <c r="S244" s="64"/>
      <c r="T244" s="60"/>
      <c r="U244" s="87">
        <f>+U242/$E242</f>
        <v>24.680494787549396</v>
      </c>
      <c r="V244" s="88"/>
    </row>
    <row r="245" spans="2:22" ht="13.5" thickTop="1">
      <c r="B245" s="58" t="s">
        <v>38</v>
      </c>
      <c r="C245" s="59">
        <v>114.28796036636984</v>
      </c>
      <c r="D245" s="60"/>
      <c r="E245" s="59"/>
      <c r="F245" s="60"/>
      <c r="G245" s="59"/>
      <c r="H245" s="80"/>
      <c r="I245" s="61"/>
      <c r="J245" s="80"/>
      <c r="K245" s="114"/>
      <c r="L245" s="80"/>
      <c r="M245" s="62"/>
      <c r="N245" s="80"/>
      <c r="O245" s="63"/>
      <c r="P245" s="80"/>
      <c r="Q245" s="63"/>
      <c r="R245" s="80"/>
      <c r="S245" s="64"/>
      <c r="T245" s="80"/>
      <c r="U245" s="72"/>
      <c r="V245" s="73"/>
    </row>
    <row r="246" spans="2:22">
      <c r="B246" s="67" t="s">
        <v>30</v>
      </c>
      <c r="C246" s="59"/>
      <c r="D246" s="60"/>
      <c r="E246" s="59">
        <v>46</v>
      </c>
      <c r="F246" s="60"/>
      <c r="G246" s="69"/>
      <c r="H246" s="68"/>
      <c r="I246" s="70">
        <v>12.47</v>
      </c>
      <c r="J246" s="68"/>
      <c r="K246" s="62">
        <f>+E246*I246</f>
        <v>573.62</v>
      </c>
      <c r="L246" s="68"/>
      <c r="M246" s="62">
        <f>+K246</f>
        <v>573.62</v>
      </c>
      <c r="N246" s="68"/>
      <c r="O246" s="63">
        <f>+E246</f>
        <v>46</v>
      </c>
      <c r="P246" s="68"/>
      <c r="Q246" s="63"/>
      <c r="R246" s="68"/>
      <c r="S246" s="71">
        <v>15.53</v>
      </c>
      <c r="T246" s="68"/>
      <c r="U246" s="72">
        <f>+O246*S246</f>
        <v>714.38</v>
      </c>
      <c r="V246" s="73"/>
    </row>
    <row r="247" spans="2:22">
      <c r="B247" s="67" t="s">
        <v>31</v>
      </c>
      <c r="C247" s="59"/>
      <c r="D247" s="60"/>
      <c r="E247" s="59"/>
      <c r="F247" s="60"/>
      <c r="G247" s="59">
        <v>77.10606192175068</v>
      </c>
      <c r="H247" s="68"/>
      <c r="I247" s="70">
        <v>7.06</v>
      </c>
      <c r="J247" s="68"/>
      <c r="K247" s="63">
        <f>+G247*I247</f>
        <v>544.36879716755982</v>
      </c>
      <c r="L247" s="68"/>
      <c r="M247" s="62">
        <f t="shared" ref="M247:M251" si="90">+K247</f>
        <v>544.36879716755982</v>
      </c>
      <c r="N247" s="68"/>
      <c r="O247" s="63"/>
      <c r="P247" s="68"/>
      <c r="Q247" s="63">
        <f>+G247</f>
        <v>77.10606192175068</v>
      </c>
      <c r="R247" s="68"/>
      <c r="S247" s="75">
        <v>3.8170000000000002</v>
      </c>
      <c r="T247" s="68"/>
      <c r="U247" s="72">
        <f>+Q247*S247</f>
        <v>294.31383835532233</v>
      </c>
      <c r="V247" s="73"/>
    </row>
    <row r="248" spans="2:22">
      <c r="B248" s="67" t="s">
        <v>32</v>
      </c>
      <c r="C248" s="59"/>
      <c r="D248" s="60"/>
      <c r="E248" s="59"/>
      <c r="F248" s="60"/>
      <c r="G248" s="59">
        <v>1.1475954311661316</v>
      </c>
      <c r="H248" s="60"/>
      <c r="I248" s="70">
        <v>6.48</v>
      </c>
      <c r="J248" s="60"/>
      <c r="K248" s="63">
        <f t="shared" ref="K248:K251" si="91">+G248*I248</f>
        <v>7.4364183939565329</v>
      </c>
      <c r="L248" s="60"/>
      <c r="M248" s="62">
        <f t="shared" si="90"/>
        <v>7.4364183939565329</v>
      </c>
      <c r="N248" s="60"/>
      <c r="O248" s="63"/>
      <c r="P248" s="60"/>
      <c r="Q248" s="63">
        <f t="shared" ref="Q248:Q251" si="92">+G248</f>
        <v>1.1475954311661316</v>
      </c>
      <c r="R248" s="60"/>
      <c r="S248" s="75">
        <v>3.8170000000000002</v>
      </c>
      <c r="T248" s="60"/>
      <c r="U248" s="72">
        <f t="shared" ref="U248:U251" si="93">+Q248*S248</f>
        <v>4.3803717607611246</v>
      </c>
      <c r="V248" s="73"/>
    </row>
    <row r="249" spans="2:22">
      <c r="B249" s="67" t="s">
        <v>33</v>
      </c>
      <c r="C249" s="59"/>
      <c r="D249" s="60"/>
      <c r="E249" s="59"/>
      <c r="F249" s="60"/>
      <c r="G249" s="59">
        <v>0</v>
      </c>
      <c r="H249" s="60"/>
      <c r="I249" s="70">
        <v>5.91</v>
      </c>
      <c r="J249" s="60"/>
      <c r="K249" s="63">
        <f t="shared" si="91"/>
        <v>0</v>
      </c>
      <c r="L249" s="60"/>
      <c r="M249" s="62">
        <f t="shared" si="90"/>
        <v>0</v>
      </c>
      <c r="N249" s="60"/>
      <c r="O249" s="63"/>
      <c r="P249" s="60"/>
      <c r="Q249" s="63">
        <f t="shared" si="92"/>
        <v>0</v>
      </c>
      <c r="R249" s="60"/>
      <c r="S249" s="75">
        <v>3.8170000000000002</v>
      </c>
      <c r="T249" s="60"/>
      <c r="U249" s="72">
        <f t="shared" si="93"/>
        <v>0</v>
      </c>
      <c r="V249" s="73"/>
    </row>
    <row r="250" spans="2:22">
      <c r="B250" s="67" t="s">
        <v>34</v>
      </c>
      <c r="C250" s="59"/>
      <c r="D250" s="60"/>
      <c r="E250" s="59"/>
      <c r="F250" s="60"/>
      <c r="G250" s="59">
        <v>0</v>
      </c>
      <c r="H250" s="60"/>
      <c r="I250" s="70">
        <v>5.24</v>
      </c>
      <c r="J250" s="60"/>
      <c r="K250" s="63">
        <f t="shared" si="91"/>
        <v>0</v>
      </c>
      <c r="L250" s="60"/>
      <c r="M250" s="62">
        <f t="shared" si="90"/>
        <v>0</v>
      </c>
      <c r="N250" s="60"/>
      <c r="O250" s="63"/>
      <c r="P250" s="60"/>
      <c r="Q250" s="63">
        <f t="shared" si="92"/>
        <v>0</v>
      </c>
      <c r="R250" s="60"/>
      <c r="S250" s="75">
        <v>3.8170000000000002</v>
      </c>
      <c r="T250" s="60"/>
      <c r="U250" s="72">
        <f t="shared" si="93"/>
        <v>0</v>
      </c>
      <c r="V250" s="73"/>
    </row>
    <row r="251" spans="2:22">
      <c r="B251" s="67" t="s">
        <v>35</v>
      </c>
      <c r="C251" s="59"/>
      <c r="D251" s="60"/>
      <c r="E251" s="59"/>
      <c r="F251" s="60"/>
      <c r="G251" s="59">
        <v>0</v>
      </c>
      <c r="H251" s="60"/>
      <c r="I251" s="70">
        <v>4.58</v>
      </c>
      <c r="J251" s="60"/>
      <c r="K251" s="63">
        <f t="shared" si="91"/>
        <v>0</v>
      </c>
      <c r="L251" s="60"/>
      <c r="M251" s="62">
        <f t="shared" si="90"/>
        <v>0</v>
      </c>
      <c r="N251" s="60"/>
      <c r="O251" s="63"/>
      <c r="P251" s="60"/>
      <c r="Q251" s="63">
        <f t="shared" si="92"/>
        <v>0</v>
      </c>
      <c r="R251" s="60"/>
      <c r="S251" s="75">
        <v>3.8170000000000002</v>
      </c>
      <c r="T251" s="60"/>
      <c r="U251" s="72">
        <f t="shared" si="93"/>
        <v>0</v>
      </c>
      <c r="V251" s="73"/>
    </row>
    <row r="252" spans="2:22" ht="13.5" thickBot="1">
      <c r="B252" s="119" t="s">
        <v>39</v>
      </c>
      <c r="C252" s="79">
        <f>SUM(C245:C251)</f>
        <v>114.28796036636984</v>
      </c>
      <c r="D252" s="80"/>
      <c r="E252" s="79">
        <f>SUM(E245:E251)</f>
        <v>46</v>
      </c>
      <c r="F252" s="80"/>
      <c r="G252" s="79">
        <f>SUM(G245:G251)</f>
        <v>78.253657352916818</v>
      </c>
      <c r="H252" s="60"/>
      <c r="I252" s="50"/>
      <c r="J252" s="60"/>
      <c r="K252" s="81">
        <f>SUM(K245:K251)</f>
        <v>1125.4252155615163</v>
      </c>
      <c r="L252" s="60"/>
      <c r="M252" s="81">
        <f>SUM(M245:M251)</f>
        <v>1125.4252155615163</v>
      </c>
      <c r="N252" s="60"/>
      <c r="O252" s="79">
        <f>SUM(O245:O251)</f>
        <v>46</v>
      </c>
      <c r="P252" s="60"/>
      <c r="Q252" s="79">
        <f>SUM(Q245:Q251)</f>
        <v>78.253657352916818</v>
      </c>
      <c r="R252" s="60"/>
      <c r="S252" s="64"/>
      <c r="T252" s="60"/>
      <c r="U252" s="81">
        <f>SUM(U245:U251)</f>
        <v>1013.0742101160835</v>
      </c>
      <c r="V252" s="82"/>
    </row>
    <row r="253" spans="2:22" ht="13.5" thickTop="1">
      <c r="B253" s="119"/>
      <c r="C253" s="83"/>
      <c r="D253" s="68"/>
      <c r="E253" s="83"/>
      <c r="F253" s="60"/>
      <c r="G253" s="59"/>
      <c r="H253" s="60"/>
      <c r="I253" s="61"/>
      <c r="J253" s="60"/>
      <c r="K253" s="62"/>
      <c r="L253" s="60"/>
      <c r="M253" s="62"/>
      <c r="N253" s="60"/>
      <c r="O253" s="63"/>
      <c r="P253" s="60"/>
      <c r="Q253" s="63"/>
      <c r="R253" s="60"/>
      <c r="S253" s="64"/>
      <c r="T253" s="60"/>
      <c r="U253" s="84"/>
      <c r="V253" s="85"/>
    </row>
    <row r="254" spans="2:22" ht="13.5" thickBot="1">
      <c r="B254" s="120" t="s">
        <v>40</v>
      </c>
      <c r="C254" s="83"/>
      <c r="D254" s="68"/>
      <c r="E254" s="83"/>
      <c r="F254" s="60"/>
      <c r="G254" s="59"/>
      <c r="H254" s="60"/>
      <c r="I254" s="61"/>
      <c r="J254" s="60"/>
      <c r="K254" s="62"/>
      <c r="L254" s="60"/>
      <c r="M254" s="87">
        <f>+M252/$E252</f>
        <v>24.465765555685138</v>
      </c>
      <c r="N254" s="60"/>
      <c r="O254" s="63"/>
      <c r="P254" s="60"/>
      <c r="Q254" s="63"/>
      <c r="R254" s="60"/>
      <c r="S254" s="64"/>
      <c r="T254" s="60"/>
      <c r="U254" s="87">
        <f>+U252/$E252</f>
        <v>22.023352393827903</v>
      </c>
      <c r="V254" s="88"/>
    </row>
    <row r="255" spans="2:22" ht="13.5" thickTop="1">
      <c r="B255" s="58" t="s">
        <v>133</v>
      </c>
      <c r="C255" s="59">
        <v>62.293832208752782</v>
      </c>
      <c r="D255" s="60"/>
      <c r="E255" s="59"/>
      <c r="F255" s="60"/>
      <c r="G255" s="59"/>
      <c r="H255" s="80"/>
      <c r="I255" s="61"/>
      <c r="J255" s="80"/>
      <c r="K255" s="62"/>
      <c r="L255" s="80"/>
      <c r="M255" s="62"/>
      <c r="N255" s="80"/>
      <c r="O255" s="63"/>
      <c r="P255" s="80"/>
      <c r="Q255" s="63"/>
      <c r="R255" s="80"/>
      <c r="S255" s="64"/>
      <c r="T255" s="80"/>
      <c r="U255" s="72"/>
      <c r="V255" s="73"/>
    </row>
    <row r="256" spans="2:22">
      <c r="B256" s="67" t="s">
        <v>30</v>
      </c>
      <c r="C256" s="59"/>
      <c r="D256" s="60"/>
      <c r="E256" s="59">
        <v>24</v>
      </c>
      <c r="F256" s="60"/>
      <c r="G256" s="69"/>
      <c r="H256" s="68"/>
      <c r="I256" s="70">
        <v>12.47</v>
      </c>
      <c r="J256" s="68"/>
      <c r="K256" s="62">
        <f>+E256*I256</f>
        <v>299.28000000000003</v>
      </c>
      <c r="L256" s="68"/>
      <c r="M256" s="62">
        <f>+K256</f>
        <v>299.28000000000003</v>
      </c>
      <c r="N256" s="68"/>
      <c r="O256" s="63">
        <f>+E256</f>
        <v>24</v>
      </c>
      <c r="P256" s="68"/>
      <c r="Q256" s="63"/>
      <c r="R256" s="68"/>
      <c r="S256" s="71">
        <v>15.53</v>
      </c>
      <c r="T256" s="68"/>
      <c r="U256" s="72">
        <f>+O256*S256</f>
        <v>372.71999999999997</v>
      </c>
      <c r="V256" s="73"/>
    </row>
    <row r="257" spans="2:22">
      <c r="B257" s="67" t="s">
        <v>31</v>
      </c>
      <c r="C257" s="59"/>
      <c r="D257" s="60"/>
      <c r="E257" s="59"/>
      <c r="F257" s="60"/>
      <c r="G257" s="59">
        <v>33.414889551647867</v>
      </c>
      <c r="H257" s="68"/>
      <c r="I257" s="70">
        <v>7.06</v>
      </c>
      <c r="J257" s="68"/>
      <c r="K257" s="63">
        <f>+G257*I257</f>
        <v>235.90912023463392</v>
      </c>
      <c r="L257" s="68"/>
      <c r="M257" s="62">
        <f t="shared" ref="M257:M261" si="94">+K257</f>
        <v>235.90912023463392</v>
      </c>
      <c r="N257" s="68"/>
      <c r="O257" s="63"/>
      <c r="P257" s="68"/>
      <c r="Q257" s="63">
        <f>+G257</f>
        <v>33.414889551647867</v>
      </c>
      <c r="R257" s="68"/>
      <c r="S257" s="75">
        <v>3.8170000000000002</v>
      </c>
      <c r="T257" s="68"/>
      <c r="U257" s="72">
        <f>+Q257*S257</f>
        <v>127.54463341863992</v>
      </c>
      <c r="V257" s="73"/>
    </row>
    <row r="258" spans="2:22">
      <c r="B258" s="67" t="s">
        <v>32</v>
      </c>
      <c r="C258" s="59"/>
      <c r="D258" s="60"/>
      <c r="E258" s="59"/>
      <c r="F258" s="60"/>
      <c r="G258" s="59">
        <v>7.8269215897786086</v>
      </c>
      <c r="H258" s="60"/>
      <c r="I258" s="70">
        <v>6.48</v>
      </c>
      <c r="J258" s="60"/>
      <c r="K258" s="63">
        <f t="shared" ref="K258:K261" si="95">+G258*I258</f>
        <v>50.718451901765384</v>
      </c>
      <c r="L258" s="60"/>
      <c r="M258" s="62">
        <f t="shared" si="94"/>
        <v>50.718451901765384</v>
      </c>
      <c r="N258" s="60"/>
      <c r="O258" s="63"/>
      <c r="P258" s="60"/>
      <c r="Q258" s="63">
        <f t="shared" ref="Q258:Q261" si="96">+G258</f>
        <v>7.8269215897786086</v>
      </c>
      <c r="R258" s="60"/>
      <c r="S258" s="75">
        <v>3.8170000000000002</v>
      </c>
      <c r="T258" s="60"/>
      <c r="U258" s="72">
        <f t="shared" ref="U258:U261" si="97">+Q258*S258</f>
        <v>29.875359708184952</v>
      </c>
      <c r="V258" s="73"/>
    </row>
    <row r="259" spans="2:22">
      <c r="B259" s="67" t="s">
        <v>33</v>
      </c>
      <c r="C259" s="59"/>
      <c r="D259" s="60"/>
      <c r="E259" s="59"/>
      <c r="F259" s="60"/>
      <c r="G259" s="59">
        <v>0</v>
      </c>
      <c r="H259" s="60"/>
      <c r="I259" s="70">
        <v>5.91</v>
      </c>
      <c r="J259" s="60"/>
      <c r="K259" s="63">
        <f t="shared" si="95"/>
        <v>0</v>
      </c>
      <c r="L259" s="60"/>
      <c r="M259" s="62">
        <f t="shared" si="94"/>
        <v>0</v>
      </c>
      <c r="N259" s="60"/>
      <c r="O259" s="63"/>
      <c r="P259" s="60"/>
      <c r="Q259" s="63">
        <f t="shared" si="96"/>
        <v>0</v>
      </c>
      <c r="R259" s="60"/>
      <c r="S259" s="75">
        <v>3.8170000000000002</v>
      </c>
      <c r="T259" s="60"/>
      <c r="U259" s="72">
        <f t="shared" si="97"/>
        <v>0</v>
      </c>
      <c r="V259" s="73"/>
    </row>
    <row r="260" spans="2:22">
      <c r="B260" s="67" t="s">
        <v>34</v>
      </c>
      <c r="C260" s="59"/>
      <c r="D260" s="60"/>
      <c r="E260" s="59"/>
      <c r="F260" s="60"/>
      <c r="G260" s="59">
        <v>0</v>
      </c>
      <c r="H260" s="60"/>
      <c r="I260" s="70">
        <v>5.24</v>
      </c>
      <c r="J260" s="60"/>
      <c r="K260" s="63">
        <f t="shared" si="95"/>
        <v>0</v>
      </c>
      <c r="L260" s="60"/>
      <c r="M260" s="62">
        <f t="shared" si="94"/>
        <v>0</v>
      </c>
      <c r="N260" s="60"/>
      <c r="O260" s="63"/>
      <c r="P260" s="60"/>
      <c r="Q260" s="63">
        <f t="shared" si="96"/>
        <v>0</v>
      </c>
      <c r="R260" s="60"/>
      <c r="S260" s="75">
        <v>3.8170000000000002</v>
      </c>
      <c r="T260" s="60"/>
      <c r="U260" s="72">
        <f t="shared" si="97"/>
        <v>0</v>
      </c>
      <c r="V260" s="73"/>
    </row>
    <row r="261" spans="2:22">
      <c r="B261" s="67" t="s">
        <v>35</v>
      </c>
      <c r="C261" s="59"/>
      <c r="D261" s="60"/>
      <c r="E261" s="59"/>
      <c r="F261" s="60"/>
      <c r="G261" s="59">
        <v>0</v>
      </c>
      <c r="H261" s="60"/>
      <c r="I261" s="70">
        <v>4.58</v>
      </c>
      <c r="J261" s="60"/>
      <c r="K261" s="63">
        <f t="shared" si="95"/>
        <v>0</v>
      </c>
      <c r="L261" s="60"/>
      <c r="M261" s="62">
        <f t="shared" si="94"/>
        <v>0</v>
      </c>
      <c r="N261" s="60"/>
      <c r="O261" s="63"/>
      <c r="P261" s="60"/>
      <c r="Q261" s="63">
        <f t="shared" si="96"/>
        <v>0</v>
      </c>
      <c r="R261" s="60"/>
      <c r="S261" s="75">
        <v>3.8170000000000002</v>
      </c>
      <c r="T261" s="60"/>
      <c r="U261" s="72">
        <f t="shared" si="97"/>
        <v>0</v>
      </c>
      <c r="V261" s="73"/>
    </row>
    <row r="262" spans="2:22" ht="13.5" thickBot="1">
      <c r="B262" s="119" t="s">
        <v>134</v>
      </c>
      <c r="C262" s="79">
        <f>SUM(C255:C261)</f>
        <v>62.293832208752782</v>
      </c>
      <c r="D262" s="80"/>
      <c r="E262" s="79">
        <f>SUM(E255:E261)</f>
        <v>24</v>
      </c>
      <c r="F262" s="80"/>
      <c r="G262" s="79">
        <f>SUM(G255:G261)</f>
        <v>41.241811141426474</v>
      </c>
      <c r="H262" s="60"/>
      <c r="I262" s="50"/>
      <c r="J262" s="60"/>
      <c r="K262" s="81">
        <f>SUM(K255:K261)</f>
        <v>585.90757213639938</v>
      </c>
      <c r="L262" s="60"/>
      <c r="M262" s="81">
        <f>SUM(M255:M261)</f>
        <v>585.90757213639938</v>
      </c>
      <c r="N262" s="60"/>
      <c r="O262" s="79">
        <f>SUM(O255:O261)</f>
        <v>24</v>
      </c>
      <c r="P262" s="60"/>
      <c r="Q262" s="79">
        <f>SUM(Q255:Q261)</f>
        <v>41.241811141426474</v>
      </c>
      <c r="R262" s="60"/>
      <c r="S262" s="64"/>
      <c r="T262" s="60"/>
      <c r="U262" s="81">
        <f>SUM(U255:U261)</f>
        <v>530.13999312682483</v>
      </c>
      <c r="V262" s="82"/>
    </row>
    <row r="263" spans="2:22" ht="13.5" thickTop="1">
      <c r="B263" s="119"/>
      <c r="C263" s="83"/>
      <c r="D263" s="68"/>
      <c r="E263" s="83"/>
      <c r="F263" s="60"/>
      <c r="G263" s="59"/>
      <c r="H263" s="60"/>
      <c r="I263" s="61"/>
      <c r="J263" s="60"/>
      <c r="K263" s="62"/>
      <c r="L263" s="60"/>
      <c r="M263" s="62"/>
      <c r="N263" s="60"/>
      <c r="O263" s="63"/>
      <c r="P263" s="60"/>
      <c r="Q263" s="63"/>
      <c r="R263" s="60"/>
      <c r="S263" s="64"/>
      <c r="T263" s="60"/>
      <c r="U263" s="84"/>
      <c r="V263" s="85"/>
    </row>
    <row r="264" spans="2:22" ht="13.5" thickBot="1">
      <c r="B264" s="120" t="s">
        <v>135</v>
      </c>
      <c r="C264" s="83"/>
      <c r="D264" s="68"/>
      <c r="E264" s="83"/>
      <c r="F264" s="60"/>
      <c r="G264" s="59"/>
      <c r="H264" s="60"/>
      <c r="I264" s="61"/>
      <c r="J264" s="60"/>
      <c r="K264" s="62"/>
      <c r="L264" s="60"/>
      <c r="M264" s="87">
        <f>+M262/$E262</f>
        <v>24.412815505683309</v>
      </c>
      <c r="N264" s="60"/>
      <c r="O264" s="63"/>
      <c r="P264" s="60"/>
      <c r="Q264" s="63"/>
      <c r="R264" s="60"/>
      <c r="S264" s="64"/>
      <c r="T264" s="60"/>
      <c r="U264" s="87">
        <f>+U262/$E262</f>
        <v>22.089166380284368</v>
      </c>
      <c r="V264" s="88"/>
    </row>
    <row r="265" spans="2:22" ht="13.5" thickTop="1">
      <c r="B265" s="58" t="s">
        <v>136</v>
      </c>
      <c r="C265" s="59">
        <v>17399.962598518679</v>
      </c>
      <c r="D265" s="60"/>
      <c r="E265" s="59"/>
      <c r="F265" s="60"/>
      <c r="G265" s="59"/>
      <c r="H265" s="80"/>
      <c r="I265" s="121"/>
      <c r="J265" s="80"/>
      <c r="K265" s="114"/>
      <c r="L265" s="80"/>
      <c r="M265" s="62"/>
      <c r="N265" s="80"/>
      <c r="O265" s="63"/>
      <c r="P265" s="80"/>
      <c r="Q265" s="63"/>
      <c r="R265" s="80"/>
      <c r="S265" s="64"/>
      <c r="T265" s="80"/>
      <c r="U265" s="72"/>
      <c r="V265" s="73"/>
    </row>
    <row r="266" spans="2:22">
      <c r="B266" s="67" t="s">
        <v>30</v>
      </c>
      <c r="C266" s="59"/>
      <c r="D266" s="60"/>
      <c r="E266" s="59">
        <v>5588</v>
      </c>
      <c r="F266" s="60"/>
      <c r="G266" s="69"/>
      <c r="H266" s="68"/>
      <c r="I266" s="70">
        <v>12.47</v>
      </c>
      <c r="J266" s="68"/>
      <c r="K266" s="62">
        <f>+E266*I266</f>
        <v>69682.36</v>
      </c>
      <c r="L266" s="68"/>
      <c r="M266" s="62">
        <f>+K266</f>
        <v>69682.36</v>
      </c>
      <c r="N266" s="68"/>
      <c r="O266" s="63">
        <f>+E266</f>
        <v>5588</v>
      </c>
      <c r="P266" s="68"/>
      <c r="Q266" s="63"/>
      <c r="R266" s="68"/>
      <c r="S266" s="71">
        <v>15.53</v>
      </c>
      <c r="T266" s="68"/>
      <c r="U266" s="72">
        <f>+O266*S266</f>
        <v>86781.64</v>
      </c>
      <c r="V266" s="73"/>
    </row>
    <row r="267" spans="2:22">
      <c r="B267" s="67" t="s">
        <v>31</v>
      </c>
      <c r="C267" s="59"/>
      <c r="D267" s="60"/>
      <c r="E267" s="59"/>
      <c r="F267" s="60"/>
      <c r="G267" s="59">
        <v>11584.138033007544</v>
      </c>
      <c r="H267" s="68"/>
      <c r="I267" s="70">
        <v>7.06</v>
      </c>
      <c r="J267" s="68"/>
      <c r="K267" s="63">
        <f>+G267*I267</f>
        <v>81784.014513033253</v>
      </c>
      <c r="L267" s="68"/>
      <c r="M267" s="62">
        <f t="shared" ref="M267:M271" si="98">+K267</f>
        <v>81784.014513033253</v>
      </c>
      <c r="N267" s="68"/>
      <c r="O267" s="63"/>
      <c r="P267" s="68"/>
      <c r="Q267" s="63">
        <f>+G267</f>
        <v>11584.138033007544</v>
      </c>
      <c r="R267" s="68"/>
      <c r="S267" s="75">
        <v>3.8170000000000002</v>
      </c>
      <c r="T267" s="68"/>
      <c r="U267" s="72">
        <f>+Q267*S267</f>
        <v>44216.654871989798</v>
      </c>
      <c r="V267" s="73"/>
    </row>
    <row r="268" spans="2:22">
      <c r="B268" s="67" t="s">
        <v>32</v>
      </c>
      <c r="C268" s="59"/>
      <c r="D268" s="60"/>
      <c r="E268" s="59"/>
      <c r="F268" s="60"/>
      <c r="G268" s="59">
        <v>582.32553145551299</v>
      </c>
      <c r="H268" s="60"/>
      <c r="I268" s="70">
        <v>6.48</v>
      </c>
      <c r="J268" s="60"/>
      <c r="K268" s="63">
        <f t="shared" ref="K268:K271" si="99">+G268*I268</f>
        <v>3773.4694438317242</v>
      </c>
      <c r="L268" s="60"/>
      <c r="M268" s="62">
        <f t="shared" si="98"/>
        <v>3773.4694438317242</v>
      </c>
      <c r="N268" s="60"/>
      <c r="O268" s="63"/>
      <c r="P268" s="60"/>
      <c r="Q268" s="63">
        <f t="shared" ref="Q268:Q271" si="100">+G268</f>
        <v>582.32553145551299</v>
      </c>
      <c r="R268" s="60"/>
      <c r="S268" s="75">
        <v>3.8170000000000002</v>
      </c>
      <c r="T268" s="60"/>
      <c r="U268" s="72">
        <f t="shared" ref="U268:U271" si="101">+Q268*S268</f>
        <v>2222.7365535656932</v>
      </c>
      <c r="V268" s="73"/>
    </row>
    <row r="269" spans="2:22">
      <c r="B269" s="67" t="s">
        <v>33</v>
      </c>
      <c r="C269" s="59"/>
      <c r="D269" s="60"/>
      <c r="E269" s="59"/>
      <c r="F269" s="60"/>
      <c r="G269" s="59">
        <v>131.11664989530263</v>
      </c>
      <c r="H269" s="60"/>
      <c r="I269" s="70">
        <v>5.91</v>
      </c>
      <c r="J269" s="60"/>
      <c r="K269" s="63">
        <f t="shared" si="99"/>
        <v>774.89940088123853</v>
      </c>
      <c r="L269" s="60"/>
      <c r="M269" s="62">
        <f t="shared" si="98"/>
        <v>774.89940088123853</v>
      </c>
      <c r="N269" s="60"/>
      <c r="O269" s="63"/>
      <c r="P269" s="60"/>
      <c r="Q269" s="63">
        <f t="shared" si="100"/>
        <v>131.11664989530263</v>
      </c>
      <c r="R269" s="60"/>
      <c r="S269" s="75">
        <v>3.8170000000000002</v>
      </c>
      <c r="T269" s="60"/>
      <c r="U269" s="72">
        <f t="shared" si="101"/>
        <v>500.47225265037014</v>
      </c>
      <c r="V269" s="73"/>
    </row>
    <row r="270" spans="2:22">
      <c r="B270" s="67" t="s">
        <v>34</v>
      </c>
      <c r="C270" s="59"/>
      <c r="D270" s="60"/>
      <c r="E270" s="59"/>
      <c r="F270" s="60"/>
      <c r="G270" s="59">
        <v>4.694544040066881</v>
      </c>
      <c r="H270" s="60"/>
      <c r="I270" s="70">
        <v>5.24</v>
      </c>
      <c r="J270" s="60"/>
      <c r="K270" s="63">
        <f t="shared" si="99"/>
        <v>24.599410769950456</v>
      </c>
      <c r="L270" s="60"/>
      <c r="M270" s="62">
        <f t="shared" si="98"/>
        <v>24.599410769950456</v>
      </c>
      <c r="N270" s="60"/>
      <c r="O270" s="63"/>
      <c r="P270" s="60"/>
      <c r="Q270" s="63">
        <f t="shared" si="100"/>
        <v>4.694544040066881</v>
      </c>
      <c r="R270" s="60"/>
      <c r="S270" s="75">
        <v>3.8170000000000002</v>
      </c>
      <c r="T270" s="60"/>
      <c r="U270" s="72">
        <f t="shared" si="101"/>
        <v>17.919074600935286</v>
      </c>
      <c r="V270" s="73"/>
    </row>
    <row r="271" spans="2:22">
      <c r="B271" s="67" t="s">
        <v>35</v>
      </c>
      <c r="C271" s="59"/>
      <c r="D271" s="60"/>
      <c r="E271" s="59"/>
      <c r="F271" s="60"/>
      <c r="G271" s="59">
        <v>0</v>
      </c>
      <c r="H271" s="60"/>
      <c r="I271" s="70">
        <v>4.58</v>
      </c>
      <c r="J271" s="60"/>
      <c r="K271" s="63">
        <f t="shared" si="99"/>
        <v>0</v>
      </c>
      <c r="L271" s="60"/>
      <c r="M271" s="62">
        <f t="shared" si="98"/>
        <v>0</v>
      </c>
      <c r="N271" s="60"/>
      <c r="O271" s="63"/>
      <c r="P271" s="60"/>
      <c r="Q271" s="63">
        <f t="shared" si="100"/>
        <v>0</v>
      </c>
      <c r="R271" s="60"/>
      <c r="S271" s="75">
        <v>3.8170000000000002</v>
      </c>
      <c r="T271" s="60"/>
      <c r="U271" s="72">
        <f t="shared" si="101"/>
        <v>0</v>
      </c>
      <c r="V271" s="73"/>
    </row>
    <row r="272" spans="2:22" ht="13.5" thickBot="1">
      <c r="B272" s="119" t="s">
        <v>137</v>
      </c>
      <c r="C272" s="79">
        <f>SUM(C265:C271)</f>
        <v>17399.962598518679</v>
      </c>
      <c r="D272" s="80"/>
      <c r="E272" s="79">
        <f>SUM(E265:E271)</f>
        <v>5588</v>
      </c>
      <c r="F272" s="80"/>
      <c r="G272" s="79">
        <f>SUM(G265:G271)</f>
        <v>12302.274758398427</v>
      </c>
      <c r="H272" s="60"/>
      <c r="I272" s="50"/>
      <c r="J272" s="60"/>
      <c r="K272" s="81">
        <f>SUM(K265:K271)</f>
        <v>156039.34276851616</v>
      </c>
      <c r="L272" s="60"/>
      <c r="M272" s="81">
        <f>SUM(M265:M271)</f>
        <v>156039.34276851616</v>
      </c>
      <c r="N272" s="60"/>
      <c r="O272" s="79">
        <f>SUM(O265:O271)</f>
        <v>5588</v>
      </c>
      <c r="P272" s="60"/>
      <c r="Q272" s="79">
        <f>SUM(Q265:Q271)</f>
        <v>12302.274758398427</v>
      </c>
      <c r="R272" s="60"/>
      <c r="S272" s="64"/>
      <c r="T272" s="60"/>
      <c r="U272" s="81">
        <f>SUM(U265:U271)</f>
        <v>133739.4227528068</v>
      </c>
      <c r="V272" s="82"/>
    </row>
    <row r="273" spans="2:22" ht="13.5" thickTop="1">
      <c r="B273" s="119"/>
      <c r="C273" s="83"/>
      <c r="D273" s="68"/>
      <c r="E273" s="83"/>
      <c r="F273" s="60"/>
      <c r="G273" s="59"/>
      <c r="H273" s="60"/>
      <c r="I273" s="61"/>
      <c r="J273" s="60"/>
      <c r="K273" s="62"/>
      <c r="L273" s="60"/>
      <c r="M273" s="62"/>
      <c r="N273" s="60"/>
      <c r="O273" s="63"/>
      <c r="P273" s="60"/>
      <c r="Q273" s="63"/>
      <c r="R273" s="60"/>
      <c r="S273" s="64"/>
      <c r="T273" s="60"/>
      <c r="U273" s="84"/>
      <c r="V273" s="85"/>
    </row>
    <row r="274" spans="2:22" ht="13.5" thickBot="1">
      <c r="B274" s="120" t="s">
        <v>138</v>
      </c>
      <c r="C274" s="83"/>
      <c r="D274" s="68"/>
      <c r="E274" s="83"/>
      <c r="F274" s="60"/>
      <c r="G274" s="59"/>
      <c r="H274" s="60"/>
      <c r="I274" s="61"/>
      <c r="J274" s="60"/>
      <c r="K274" s="62"/>
      <c r="L274" s="60"/>
      <c r="M274" s="87">
        <f>+M272/$E272</f>
        <v>27.924005506176837</v>
      </c>
      <c r="N274" s="60"/>
      <c r="O274" s="63"/>
      <c r="P274" s="60"/>
      <c r="Q274" s="63"/>
      <c r="R274" s="60"/>
      <c r="S274" s="64"/>
      <c r="T274" s="60"/>
      <c r="U274" s="87">
        <f>+U272/$E272</f>
        <v>23.933325474732786</v>
      </c>
      <c r="V274" s="88"/>
    </row>
    <row r="275" spans="2:22" ht="13.5" thickTop="1">
      <c r="B275" s="58" t="s">
        <v>47</v>
      </c>
      <c r="C275" s="59">
        <v>2554.2164039310455</v>
      </c>
      <c r="D275" s="60"/>
      <c r="E275" s="59"/>
      <c r="F275" s="60"/>
      <c r="G275" s="59"/>
      <c r="H275" s="80"/>
      <c r="I275" s="121"/>
      <c r="J275" s="80"/>
      <c r="K275" s="114"/>
      <c r="L275" s="80"/>
      <c r="M275" s="62"/>
      <c r="N275" s="80"/>
      <c r="O275" s="63"/>
      <c r="P275" s="80"/>
      <c r="Q275" s="63"/>
      <c r="R275" s="80"/>
      <c r="S275" s="64"/>
      <c r="T275" s="80"/>
      <c r="U275" s="72"/>
      <c r="V275" s="73"/>
    </row>
    <row r="276" spans="2:22">
      <c r="B276" s="67" t="s">
        <v>30</v>
      </c>
      <c r="C276" s="59"/>
      <c r="D276" s="60"/>
      <c r="E276" s="59">
        <v>663</v>
      </c>
      <c r="F276" s="60"/>
      <c r="G276" s="69"/>
      <c r="H276" s="68"/>
      <c r="I276" s="117">
        <v>12.47</v>
      </c>
      <c r="J276" s="68"/>
      <c r="K276" s="62">
        <f>+E276*I276</f>
        <v>8267.61</v>
      </c>
      <c r="L276" s="68"/>
      <c r="M276" s="62">
        <f>+K276</f>
        <v>8267.61</v>
      </c>
      <c r="N276" s="68"/>
      <c r="O276" s="63">
        <f>+E276</f>
        <v>663</v>
      </c>
      <c r="P276" s="68"/>
      <c r="Q276" s="63"/>
      <c r="R276" s="68"/>
      <c r="S276" s="71">
        <v>15.53</v>
      </c>
      <c r="T276" s="68"/>
      <c r="U276" s="72">
        <f>+O276*S276</f>
        <v>10296.39</v>
      </c>
      <c r="V276" s="73"/>
    </row>
    <row r="277" spans="2:22">
      <c r="B277" s="67" t="s">
        <v>31</v>
      </c>
      <c r="C277" s="59"/>
      <c r="D277" s="60"/>
      <c r="E277" s="59"/>
      <c r="F277" s="60"/>
      <c r="G277" s="59">
        <v>1293.4210627445295</v>
      </c>
      <c r="H277" s="68"/>
      <c r="I277" s="117">
        <v>7.06</v>
      </c>
      <c r="J277" s="68"/>
      <c r="K277" s="63">
        <f>+G277*I277</f>
        <v>9131.552702976378</v>
      </c>
      <c r="L277" s="68"/>
      <c r="M277" s="62">
        <f t="shared" ref="M277:M281" si="102">+K277</f>
        <v>9131.552702976378</v>
      </c>
      <c r="N277" s="68"/>
      <c r="O277" s="63"/>
      <c r="P277" s="68"/>
      <c r="Q277" s="63">
        <f>+G277</f>
        <v>1293.4210627445295</v>
      </c>
      <c r="R277" s="68"/>
      <c r="S277" s="75">
        <v>3.8170000000000002</v>
      </c>
      <c r="T277" s="68"/>
      <c r="U277" s="72">
        <f>+Q277*S277</f>
        <v>4936.9881964958695</v>
      </c>
      <c r="V277" s="73"/>
    </row>
    <row r="278" spans="2:22">
      <c r="B278" s="67" t="s">
        <v>32</v>
      </c>
      <c r="C278" s="59"/>
      <c r="D278" s="60"/>
      <c r="E278" s="59"/>
      <c r="F278" s="60"/>
      <c r="G278" s="59">
        <v>369.01457825895113</v>
      </c>
      <c r="H278" s="60"/>
      <c r="I278" s="117">
        <v>6.48</v>
      </c>
      <c r="J278" s="60"/>
      <c r="K278" s="63">
        <f t="shared" ref="K278:K281" si="103">+G278*I278</f>
        <v>2391.2144671180035</v>
      </c>
      <c r="L278" s="60"/>
      <c r="M278" s="62">
        <f t="shared" si="102"/>
        <v>2391.2144671180035</v>
      </c>
      <c r="N278" s="60"/>
      <c r="O278" s="63"/>
      <c r="P278" s="60"/>
      <c r="Q278" s="63">
        <f t="shared" ref="Q278:Q281" si="104">+G278</f>
        <v>369.01457825895113</v>
      </c>
      <c r="R278" s="60"/>
      <c r="S278" s="75">
        <v>3.8170000000000002</v>
      </c>
      <c r="T278" s="60"/>
      <c r="U278" s="72">
        <f t="shared" ref="U278:U281" si="105">+Q278*S278</f>
        <v>1408.5286452144164</v>
      </c>
      <c r="V278" s="73"/>
    </row>
    <row r="279" spans="2:22">
      <c r="B279" s="67" t="s">
        <v>33</v>
      </c>
      <c r="C279" s="59"/>
      <c r="D279" s="60"/>
      <c r="E279" s="59"/>
      <c r="F279" s="60"/>
      <c r="G279" s="59">
        <v>149.95472053518989</v>
      </c>
      <c r="H279" s="60"/>
      <c r="I279" s="117">
        <v>5.91</v>
      </c>
      <c r="J279" s="60"/>
      <c r="K279" s="63">
        <f t="shared" si="103"/>
        <v>886.23239836297228</v>
      </c>
      <c r="L279" s="60"/>
      <c r="M279" s="62">
        <f t="shared" si="102"/>
        <v>886.23239836297228</v>
      </c>
      <c r="N279" s="60"/>
      <c r="O279" s="63"/>
      <c r="P279" s="60"/>
      <c r="Q279" s="63">
        <f t="shared" si="104"/>
        <v>149.95472053518989</v>
      </c>
      <c r="R279" s="60"/>
      <c r="S279" s="75">
        <v>3.8170000000000002</v>
      </c>
      <c r="T279" s="60"/>
      <c r="U279" s="72">
        <f t="shared" si="105"/>
        <v>572.37716828281987</v>
      </c>
      <c r="V279" s="73"/>
    </row>
    <row r="280" spans="2:22">
      <c r="B280" s="67" t="s">
        <v>34</v>
      </c>
      <c r="C280" s="59"/>
      <c r="D280" s="60"/>
      <c r="E280" s="59"/>
      <c r="F280" s="60"/>
      <c r="G280" s="59">
        <v>152.52425595044943</v>
      </c>
      <c r="H280" s="60"/>
      <c r="I280" s="117">
        <v>5.24</v>
      </c>
      <c r="J280" s="60"/>
      <c r="K280" s="63">
        <f t="shared" si="103"/>
        <v>799.22710118035502</v>
      </c>
      <c r="L280" s="60"/>
      <c r="M280" s="62">
        <f t="shared" si="102"/>
        <v>799.22710118035502</v>
      </c>
      <c r="N280" s="60"/>
      <c r="O280" s="63"/>
      <c r="P280" s="60"/>
      <c r="Q280" s="63">
        <f t="shared" si="104"/>
        <v>152.52425595044943</v>
      </c>
      <c r="R280" s="60"/>
      <c r="S280" s="75">
        <v>3.8170000000000002</v>
      </c>
      <c r="T280" s="60"/>
      <c r="U280" s="72">
        <f t="shared" si="105"/>
        <v>582.18508496286552</v>
      </c>
      <c r="V280" s="73"/>
    </row>
    <row r="281" spans="2:22">
      <c r="B281" s="67" t="s">
        <v>35</v>
      </c>
      <c r="C281" s="59"/>
      <c r="D281" s="60"/>
      <c r="E281" s="59"/>
      <c r="F281" s="60"/>
      <c r="G281" s="59">
        <v>169.6050111363318</v>
      </c>
      <c r="H281" s="60"/>
      <c r="I281" s="117">
        <v>4.58</v>
      </c>
      <c r="J281" s="60"/>
      <c r="K281" s="63">
        <f t="shared" si="103"/>
        <v>776.79095100439963</v>
      </c>
      <c r="L281" s="60"/>
      <c r="M281" s="62">
        <f t="shared" si="102"/>
        <v>776.79095100439963</v>
      </c>
      <c r="N281" s="60"/>
      <c r="O281" s="63"/>
      <c r="P281" s="60"/>
      <c r="Q281" s="63">
        <f t="shared" si="104"/>
        <v>169.6050111363318</v>
      </c>
      <c r="R281" s="60"/>
      <c r="S281" s="75">
        <v>3.8170000000000002</v>
      </c>
      <c r="T281" s="60"/>
      <c r="U281" s="72">
        <f t="shared" si="105"/>
        <v>647.38232750737848</v>
      </c>
      <c r="V281" s="73"/>
    </row>
    <row r="282" spans="2:22" ht="13.5" thickBot="1">
      <c r="B282" s="119" t="s">
        <v>48</v>
      </c>
      <c r="C282" s="79">
        <f>SUM(C275:C281)</f>
        <v>2554.2164039310455</v>
      </c>
      <c r="D282" s="80"/>
      <c r="E282" s="79">
        <f>SUM(E275:E281)</f>
        <v>663</v>
      </c>
      <c r="F282" s="80"/>
      <c r="G282" s="79">
        <f>SUM(G275:G281)</f>
        <v>2134.5196286254518</v>
      </c>
      <c r="H282" s="60"/>
      <c r="I282" s="50"/>
      <c r="J282" s="60"/>
      <c r="K282" s="81">
        <f>SUM(K275:K281)</f>
        <v>22252.627620642106</v>
      </c>
      <c r="L282" s="60"/>
      <c r="M282" s="81">
        <f>SUM(M275:M281)</f>
        <v>22252.627620642106</v>
      </c>
      <c r="N282" s="60"/>
      <c r="O282" s="79">
        <f>SUM(O275:O281)</f>
        <v>663</v>
      </c>
      <c r="P282" s="60"/>
      <c r="Q282" s="79">
        <f>SUM(Q275:Q281)</f>
        <v>2134.5196286254518</v>
      </c>
      <c r="R282" s="60"/>
      <c r="S282" s="64"/>
      <c r="T282" s="60"/>
      <c r="U282" s="81">
        <f>SUM(U275:U281)</f>
        <v>18443.851422463347</v>
      </c>
      <c r="V282" s="82"/>
    </row>
    <row r="283" spans="2:22" ht="13.5" thickTop="1">
      <c r="B283" s="119"/>
      <c r="C283" s="83"/>
      <c r="D283" s="68"/>
      <c r="E283" s="83"/>
      <c r="F283" s="60"/>
      <c r="G283" s="59"/>
      <c r="H283" s="60"/>
      <c r="I283" s="61"/>
      <c r="J283" s="60"/>
      <c r="K283" s="62"/>
      <c r="L283" s="60"/>
      <c r="M283" s="62"/>
      <c r="N283" s="60"/>
      <c r="O283" s="63"/>
      <c r="P283" s="60"/>
      <c r="Q283" s="63"/>
      <c r="R283" s="60"/>
      <c r="S283" s="64"/>
      <c r="T283" s="60"/>
      <c r="U283" s="84"/>
      <c r="V283" s="85"/>
    </row>
    <row r="284" spans="2:22" ht="13.5" thickBot="1">
      <c r="B284" s="120" t="s">
        <v>49</v>
      </c>
      <c r="C284" s="83"/>
      <c r="D284" s="68"/>
      <c r="E284" s="83"/>
      <c r="F284" s="60"/>
      <c r="G284" s="59"/>
      <c r="H284" s="60"/>
      <c r="I284" s="61"/>
      <c r="J284" s="60"/>
      <c r="K284" s="62"/>
      <c r="L284" s="60"/>
      <c r="M284" s="87">
        <f>+M282/$E282</f>
        <v>33.563540905945864</v>
      </c>
      <c r="N284" s="60"/>
      <c r="O284" s="63"/>
      <c r="P284" s="60"/>
      <c r="Q284" s="63"/>
      <c r="R284" s="60"/>
      <c r="S284" s="64"/>
      <c r="T284" s="60"/>
      <c r="U284" s="87">
        <f>+U282/$E282</f>
        <v>27.818780426038231</v>
      </c>
      <c r="V284" s="88"/>
    </row>
    <row r="285" spans="2:22" ht="13.5" thickTop="1">
      <c r="B285" s="58" t="s">
        <v>139</v>
      </c>
      <c r="C285" s="59">
        <v>615.38874175600688</v>
      </c>
      <c r="D285" s="60"/>
      <c r="E285" s="59"/>
      <c r="F285" s="60"/>
      <c r="G285" s="59"/>
      <c r="H285" s="80"/>
      <c r="I285" s="121"/>
      <c r="J285" s="80"/>
      <c r="K285" s="114"/>
      <c r="L285" s="80"/>
      <c r="M285" s="62"/>
      <c r="N285" s="80"/>
      <c r="O285" s="63"/>
      <c r="P285" s="80"/>
      <c r="Q285" s="63"/>
      <c r="R285" s="80"/>
      <c r="S285" s="64"/>
      <c r="T285" s="80"/>
      <c r="U285" s="72"/>
      <c r="V285" s="73"/>
    </row>
    <row r="286" spans="2:22">
      <c r="B286" s="67" t="s">
        <v>30</v>
      </c>
      <c r="C286" s="59"/>
      <c r="D286" s="60"/>
      <c r="E286" s="59">
        <v>108</v>
      </c>
      <c r="F286" s="60"/>
      <c r="G286" s="69"/>
      <c r="H286" s="68"/>
      <c r="I286" s="117">
        <v>12.47</v>
      </c>
      <c r="J286" s="68"/>
      <c r="K286" s="62">
        <f>+E286*I286</f>
        <v>1346.76</v>
      </c>
      <c r="L286" s="68"/>
      <c r="M286" s="62">
        <f>+K286</f>
        <v>1346.76</v>
      </c>
      <c r="N286" s="68"/>
      <c r="O286" s="63">
        <f>+E286</f>
        <v>108</v>
      </c>
      <c r="P286" s="68"/>
      <c r="Q286" s="63"/>
      <c r="R286" s="68"/>
      <c r="S286" s="71">
        <v>15.53</v>
      </c>
      <c r="T286" s="68"/>
      <c r="U286" s="72">
        <f>+O286*S286</f>
        <v>1677.24</v>
      </c>
      <c r="V286" s="73"/>
    </row>
    <row r="287" spans="2:22">
      <c r="B287" s="67" t="s">
        <v>31</v>
      </c>
      <c r="C287" s="59"/>
      <c r="D287" s="60"/>
      <c r="E287" s="59"/>
      <c r="F287" s="60"/>
      <c r="G287" s="59">
        <v>263.0487771784654</v>
      </c>
      <c r="H287" s="68"/>
      <c r="I287" s="117">
        <v>7.06</v>
      </c>
      <c r="J287" s="68"/>
      <c r="K287" s="63">
        <f>+G287*I287</f>
        <v>1857.1243668799657</v>
      </c>
      <c r="L287" s="68"/>
      <c r="M287" s="62">
        <f t="shared" ref="M287:M291" si="106">+K287</f>
        <v>1857.1243668799657</v>
      </c>
      <c r="N287" s="68"/>
      <c r="O287" s="63"/>
      <c r="P287" s="68"/>
      <c r="Q287" s="63">
        <f>+G287</f>
        <v>263.0487771784654</v>
      </c>
      <c r="R287" s="68"/>
      <c r="S287" s="75">
        <v>3.8170000000000002</v>
      </c>
      <c r="T287" s="68"/>
      <c r="U287" s="72">
        <f>+Q287*S287</f>
        <v>1004.0571824902024</v>
      </c>
      <c r="V287" s="73"/>
    </row>
    <row r="288" spans="2:22">
      <c r="B288" s="67" t="s">
        <v>32</v>
      </c>
      <c r="C288" s="59"/>
      <c r="D288" s="60"/>
      <c r="E288" s="59"/>
      <c r="F288" s="60"/>
      <c r="G288" s="59">
        <v>167.10817663274648</v>
      </c>
      <c r="H288" s="60"/>
      <c r="I288" s="117">
        <v>6.48</v>
      </c>
      <c r="J288" s="60"/>
      <c r="K288" s="63">
        <f t="shared" ref="K288:K291" si="107">+G288*I288</f>
        <v>1082.8609845801973</v>
      </c>
      <c r="L288" s="60"/>
      <c r="M288" s="62">
        <f t="shared" si="106"/>
        <v>1082.8609845801973</v>
      </c>
      <c r="N288" s="60"/>
      <c r="O288" s="63"/>
      <c r="P288" s="60"/>
      <c r="Q288" s="63">
        <f t="shared" ref="Q288:Q291" si="108">+G288</f>
        <v>167.10817663274648</v>
      </c>
      <c r="R288" s="60"/>
      <c r="S288" s="75">
        <v>3.8170000000000002</v>
      </c>
      <c r="T288" s="60"/>
      <c r="U288" s="72">
        <f t="shared" ref="U288:U291" si="109">+Q288*S288</f>
        <v>637.85191020719333</v>
      </c>
      <c r="V288" s="73"/>
    </row>
    <row r="289" spans="2:22">
      <c r="B289" s="67" t="s">
        <v>33</v>
      </c>
      <c r="C289" s="59"/>
      <c r="D289" s="60"/>
      <c r="E289" s="59"/>
      <c r="F289" s="60"/>
      <c r="G289" s="59">
        <v>57.177210905929428</v>
      </c>
      <c r="H289" s="60"/>
      <c r="I289" s="117">
        <v>5.91</v>
      </c>
      <c r="J289" s="60"/>
      <c r="K289" s="63">
        <f t="shared" si="107"/>
        <v>337.91731645404292</v>
      </c>
      <c r="L289" s="60"/>
      <c r="M289" s="62">
        <f t="shared" si="106"/>
        <v>337.91731645404292</v>
      </c>
      <c r="N289" s="60"/>
      <c r="O289" s="63"/>
      <c r="P289" s="60"/>
      <c r="Q289" s="63">
        <f t="shared" si="108"/>
        <v>57.177210905929428</v>
      </c>
      <c r="R289" s="60"/>
      <c r="S289" s="75">
        <v>3.8170000000000002</v>
      </c>
      <c r="T289" s="60"/>
      <c r="U289" s="72">
        <f t="shared" si="109"/>
        <v>218.24541402793264</v>
      </c>
      <c r="V289" s="73"/>
    </row>
    <row r="290" spans="2:22">
      <c r="B290" s="67" t="s">
        <v>34</v>
      </c>
      <c r="C290" s="59"/>
      <c r="D290" s="60"/>
      <c r="E290" s="59"/>
      <c r="F290" s="60"/>
      <c r="G290" s="59">
        <v>46.573510727551842</v>
      </c>
      <c r="H290" s="60"/>
      <c r="I290" s="117">
        <v>5.24</v>
      </c>
      <c r="J290" s="60"/>
      <c r="K290" s="63">
        <f t="shared" si="107"/>
        <v>244.04519621237165</v>
      </c>
      <c r="L290" s="60"/>
      <c r="M290" s="62">
        <f t="shared" si="106"/>
        <v>244.04519621237165</v>
      </c>
      <c r="N290" s="60"/>
      <c r="O290" s="63"/>
      <c r="P290" s="60"/>
      <c r="Q290" s="63">
        <f t="shared" si="108"/>
        <v>46.573510727551842</v>
      </c>
      <c r="R290" s="60"/>
      <c r="S290" s="75">
        <v>3.8170000000000002</v>
      </c>
      <c r="T290" s="60"/>
      <c r="U290" s="72">
        <f t="shared" si="109"/>
        <v>177.77109044706538</v>
      </c>
      <c r="V290" s="73"/>
    </row>
    <row r="291" spans="2:22">
      <c r="B291" s="67" t="s">
        <v>35</v>
      </c>
      <c r="C291" s="59"/>
      <c r="D291" s="60"/>
      <c r="E291" s="59"/>
      <c r="F291" s="60"/>
      <c r="G291" s="59">
        <v>0</v>
      </c>
      <c r="H291" s="60"/>
      <c r="I291" s="117">
        <v>4.58</v>
      </c>
      <c r="J291" s="60"/>
      <c r="K291" s="63">
        <f t="shared" si="107"/>
        <v>0</v>
      </c>
      <c r="L291" s="60"/>
      <c r="M291" s="62">
        <f t="shared" si="106"/>
        <v>0</v>
      </c>
      <c r="N291" s="60"/>
      <c r="O291" s="63"/>
      <c r="P291" s="60"/>
      <c r="Q291" s="63">
        <f t="shared" si="108"/>
        <v>0</v>
      </c>
      <c r="R291" s="60"/>
      <c r="S291" s="75">
        <v>3.8170000000000002</v>
      </c>
      <c r="T291" s="60"/>
      <c r="U291" s="72">
        <f t="shared" si="109"/>
        <v>0</v>
      </c>
      <c r="V291" s="73"/>
    </row>
    <row r="292" spans="2:22" ht="13.5" thickBot="1">
      <c r="B292" s="119" t="s">
        <v>140</v>
      </c>
      <c r="C292" s="79">
        <f>SUM(C285:C291)</f>
        <v>615.38874175600688</v>
      </c>
      <c r="D292" s="80"/>
      <c r="E292" s="79">
        <f>SUM(E285:E291)</f>
        <v>108</v>
      </c>
      <c r="F292" s="80"/>
      <c r="G292" s="79">
        <f>SUM(G285:G291)</f>
        <v>533.90767544469315</v>
      </c>
      <c r="H292" s="60"/>
      <c r="I292" s="50"/>
      <c r="J292" s="60"/>
      <c r="K292" s="81">
        <f>SUM(K285:K291)</f>
        <v>4868.7078641265771</v>
      </c>
      <c r="L292" s="60"/>
      <c r="M292" s="81">
        <f>SUM(M285:M291)</f>
        <v>4868.7078641265771</v>
      </c>
      <c r="N292" s="60"/>
      <c r="O292" s="79">
        <f>SUM(O285:O291)</f>
        <v>108</v>
      </c>
      <c r="P292" s="60"/>
      <c r="Q292" s="79">
        <f>SUM(Q285:Q291)</f>
        <v>533.90767544469315</v>
      </c>
      <c r="R292" s="60"/>
      <c r="S292" s="64"/>
      <c r="T292" s="60"/>
      <c r="U292" s="81">
        <f>SUM(U285:U291)</f>
        <v>3715.165597172394</v>
      </c>
      <c r="V292" s="82"/>
    </row>
    <row r="293" spans="2:22" ht="13.5" thickTop="1">
      <c r="B293" s="119"/>
      <c r="C293" s="83"/>
      <c r="D293" s="68"/>
      <c r="E293" s="83"/>
      <c r="F293" s="60"/>
      <c r="G293" s="59"/>
      <c r="H293" s="60"/>
      <c r="I293" s="61"/>
      <c r="J293" s="60"/>
      <c r="K293" s="62"/>
      <c r="L293" s="60"/>
      <c r="M293" s="62"/>
      <c r="N293" s="60"/>
      <c r="O293" s="63"/>
      <c r="P293" s="60"/>
      <c r="Q293" s="63"/>
      <c r="R293" s="60"/>
      <c r="S293" s="64"/>
      <c r="T293" s="60"/>
      <c r="U293" s="84"/>
      <c r="V293" s="85"/>
    </row>
    <row r="294" spans="2:22" ht="13.5" thickBot="1">
      <c r="B294" s="122" t="s">
        <v>141</v>
      </c>
      <c r="C294" s="83"/>
      <c r="D294" s="68"/>
      <c r="E294" s="83"/>
      <c r="F294" s="60"/>
      <c r="G294" s="59"/>
      <c r="H294" s="60"/>
      <c r="I294" s="61"/>
      <c r="J294" s="60"/>
      <c r="K294" s="62"/>
      <c r="L294" s="60"/>
      <c r="M294" s="87">
        <f>+M292/$E292</f>
        <v>45.080628371542382</v>
      </c>
      <c r="N294" s="60"/>
      <c r="O294" s="63"/>
      <c r="P294" s="60"/>
      <c r="Q294" s="63"/>
      <c r="R294" s="60"/>
      <c r="S294" s="64"/>
      <c r="T294" s="60"/>
      <c r="U294" s="87">
        <f>+U292/$E292</f>
        <v>34.399681455299941</v>
      </c>
      <c r="V294" s="88"/>
    </row>
    <row r="295" spans="2:22" ht="13.5" thickTop="1">
      <c r="B295" s="58" t="s">
        <v>50</v>
      </c>
      <c r="C295" s="59">
        <v>267.54429892374043</v>
      </c>
      <c r="D295" s="60"/>
      <c r="E295" s="59"/>
      <c r="F295" s="60"/>
      <c r="G295" s="59"/>
      <c r="H295" s="80"/>
      <c r="I295" s="61"/>
      <c r="J295" s="80"/>
      <c r="K295" s="62"/>
      <c r="L295" s="80"/>
      <c r="M295" s="109"/>
      <c r="N295" s="80"/>
      <c r="O295" s="63"/>
      <c r="P295" s="80"/>
      <c r="Q295" s="111"/>
      <c r="R295" s="80"/>
      <c r="S295" s="64"/>
      <c r="T295" s="80"/>
      <c r="U295" s="72"/>
      <c r="V295" s="73"/>
    </row>
    <row r="296" spans="2:22">
      <c r="B296" s="67" t="s">
        <v>51</v>
      </c>
      <c r="C296" s="59"/>
      <c r="D296" s="60"/>
      <c r="E296" s="59">
        <v>36</v>
      </c>
      <c r="F296" s="60"/>
      <c r="G296" s="59"/>
      <c r="H296" s="68"/>
      <c r="I296" s="70">
        <v>42.84</v>
      </c>
      <c r="J296" s="68"/>
      <c r="K296" s="62">
        <f>+E296*I296</f>
        <v>1542.2400000000002</v>
      </c>
      <c r="L296" s="68"/>
      <c r="M296" s="62">
        <f>+K296</f>
        <v>1542.2400000000002</v>
      </c>
      <c r="N296" s="68"/>
      <c r="O296" s="63">
        <f>+E296</f>
        <v>36</v>
      </c>
      <c r="P296" s="68"/>
      <c r="Q296" s="63"/>
      <c r="R296" s="68"/>
      <c r="S296" s="71">
        <v>40.229999999999997</v>
      </c>
      <c r="T296" s="68"/>
      <c r="U296" s="72">
        <f>+O296*S296</f>
        <v>1448.28</v>
      </c>
      <c r="V296" s="73"/>
    </row>
    <row r="297" spans="2:22">
      <c r="B297" s="67" t="s">
        <v>52</v>
      </c>
      <c r="C297" s="59"/>
      <c r="D297" s="60"/>
      <c r="E297" s="59"/>
      <c r="F297" s="60"/>
      <c r="G297" s="59">
        <v>32</v>
      </c>
      <c r="H297" s="68"/>
      <c r="I297" s="70">
        <v>7.06</v>
      </c>
      <c r="J297" s="68"/>
      <c r="K297" s="63">
        <f>+G297*I297</f>
        <v>225.92</v>
      </c>
      <c r="L297" s="68"/>
      <c r="M297" s="62">
        <f t="shared" ref="M297:M301" si="110">+K297</f>
        <v>225.92</v>
      </c>
      <c r="N297" s="68"/>
      <c r="O297" s="63"/>
      <c r="P297" s="68"/>
      <c r="Q297" s="63">
        <f>+G297</f>
        <v>32</v>
      </c>
      <c r="R297" s="68"/>
      <c r="S297" s="75">
        <v>3.8170000000000002</v>
      </c>
      <c r="T297" s="68"/>
      <c r="U297" s="72">
        <f>+Q297*S297</f>
        <v>122.14400000000001</v>
      </c>
      <c r="V297" s="73"/>
    </row>
    <row r="298" spans="2:22">
      <c r="B298" s="67" t="s">
        <v>32</v>
      </c>
      <c r="C298" s="59"/>
      <c r="D298" s="60"/>
      <c r="E298" s="59"/>
      <c r="F298" s="60"/>
      <c r="G298" s="59">
        <v>90.902724093723322</v>
      </c>
      <c r="H298" s="60"/>
      <c r="I298" s="70">
        <v>6.48</v>
      </c>
      <c r="J298" s="60"/>
      <c r="K298" s="63">
        <f t="shared" ref="K298:K301" si="111">+G298*I298</f>
        <v>589.04965212732714</v>
      </c>
      <c r="L298" s="60"/>
      <c r="M298" s="62">
        <f t="shared" si="110"/>
        <v>589.04965212732714</v>
      </c>
      <c r="N298" s="60"/>
      <c r="O298" s="63"/>
      <c r="P298" s="60"/>
      <c r="Q298" s="63">
        <f t="shared" ref="Q298:Q301" si="112">+G298</f>
        <v>90.902724093723322</v>
      </c>
      <c r="R298" s="60"/>
      <c r="S298" s="75">
        <v>3.8170000000000002</v>
      </c>
      <c r="T298" s="60"/>
      <c r="U298" s="72">
        <f t="shared" ref="U298:U301" si="113">+Q298*S298</f>
        <v>346.97569786574195</v>
      </c>
      <c r="V298" s="73"/>
    </row>
    <row r="299" spans="2:22">
      <c r="B299" s="67" t="s">
        <v>33</v>
      </c>
      <c r="C299" s="59"/>
      <c r="D299" s="60"/>
      <c r="E299" s="59"/>
      <c r="F299" s="60"/>
      <c r="G299" s="59">
        <v>28.247561852244594</v>
      </c>
      <c r="H299" s="60"/>
      <c r="I299" s="70">
        <v>5.91</v>
      </c>
      <c r="J299" s="60"/>
      <c r="K299" s="63">
        <f t="shared" si="111"/>
        <v>166.94309054676555</v>
      </c>
      <c r="L299" s="60"/>
      <c r="M299" s="62">
        <f t="shared" si="110"/>
        <v>166.94309054676555</v>
      </c>
      <c r="N299" s="60"/>
      <c r="O299" s="63"/>
      <c r="P299" s="60"/>
      <c r="Q299" s="63">
        <f t="shared" si="112"/>
        <v>28.247561852244594</v>
      </c>
      <c r="R299" s="60"/>
      <c r="S299" s="75">
        <v>3.8170000000000002</v>
      </c>
      <c r="T299" s="60"/>
      <c r="U299" s="72">
        <f t="shared" si="113"/>
        <v>107.82094359001762</v>
      </c>
      <c r="V299" s="73"/>
    </row>
    <row r="300" spans="2:22">
      <c r="B300" s="67" t="s">
        <v>34</v>
      </c>
      <c r="C300" s="59"/>
      <c r="D300" s="60"/>
      <c r="E300" s="59"/>
      <c r="F300" s="60"/>
      <c r="G300" s="59">
        <v>0</v>
      </c>
      <c r="H300" s="60"/>
      <c r="I300" s="70">
        <v>5.24</v>
      </c>
      <c r="J300" s="60"/>
      <c r="K300" s="63">
        <f t="shared" si="111"/>
        <v>0</v>
      </c>
      <c r="L300" s="60"/>
      <c r="M300" s="62">
        <f t="shared" si="110"/>
        <v>0</v>
      </c>
      <c r="N300" s="60"/>
      <c r="O300" s="63"/>
      <c r="P300" s="60"/>
      <c r="Q300" s="63">
        <f t="shared" si="112"/>
        <v>0</v>
      </c>
      <c r="R300" s="60"/>
      <c r="S300" s="75">
        <v>3.8170000000000002</v>
      </c>
      <c r="T300" s="60"/>
      <c r="U300" s="72">
        <f t="shared" si="113"/>
        <v>0</v>
      </c>
      <c r="V300" s="73"/>
    </row>
    <row r="301" spans="2:22">
      <c r="B301" s="67" t="s">
        <v>35</v>
      </c>
      <c r="C301" s="59"/>
      <c r="D301" s="60"/>
      <c r="E301" s="59"/>
      <c r="F301" s="60"/>
      <c r="G301" s="59">
        <v>0</v>
      </c>
      <c r="H301" s="60"/>
      <c r="I301" s="70">
        <v>4.58</v>
      </c>
      <c r="J301" s="60"/>
      <c r="K301" s="63">
        <f t="shared" si="111"/>
        <v>0</v>
      </c>
      <c r="L301" s="60"/>
      <c r="M301" s="62">
        <f t="shared" si="110"/>
        <v>0</v>
      </c>
      <c r="N301" s="60"/>
      <c r="O301" s="63"/>
      <c r="P301" s="60"/>
      <c r="Q301" s="63">
        <f t="shared" si="112"/>
        <v>0</v>
      </c>
      <c r="R301" s="60"/>
      <c r="S301" s="75">
        <v>3.8170000000000002</v>
      </c>
      <c r="T301" s="60"/>
      <c r="U301" s="72">
        <f t="shared" si="113"/>
        <v>0</v>
      </c>
      <c r="V301" s="73"/>
    </row>
    <row r="302" spans="2:22" ht="13.5" thickBot="1">
      <c r="B302" s="119" t="s">
        <v>142</v>
      </c>
      <c r="C302" s="79">
        <f>SUM(C295:C301)</f>
        <v>267.54429892374043</v>
      </c>
      <c r="D302" s="80"/>
      <c r="E302" s="79">
        <f>SUM(E295:E301)</f>
        <v>36</v>
      </c>
      <c r="F302" s="80"/>
      <c r="G302" s="79">
        <f>SUM(G295:G301)</f>
        <v>151.15028594596791</v>
      </c>
      <c r="H302" s="60"/>
      <c r="I302" s="50"/>
      <c r="J302" s="60"/>
      <c r="K302" s="81">
        <f>SUM(K295:K301)</f>
        <v>2524.1527426740931</v>
      </c>
      <c r="L302" s="60"/>
      <c r="M302" s="81">
        <f>SUM(M295:M301)</f>
        <v>2524.1527426740931</v>
      </c>
      <c r="N302" s="60"/>
      <c r="O302" s="79">
        <f>SUM(O295:O301)</f>
        <v>36</v>
      </c>
      <c r="P302" s="60"/>
      <c r="Q302" s="79">
        <f>SUM(Q295:Q301)</f>
        <v>151.15028594596791</v>
      </c>
      <c r="R302" s="60"/>
      <c r="S302" s="64"/>
      <c r="T302" s="60"/>
      <c r="U302" s="81">
        <f>SUM(U295:U301)</f>
        <v>2025.2206414557595</v>
      </c>
      <c r="V302" s="82"/>
    </row>
    <row r="303" spans="2:22" ht="13.5" thickTop="1">
      <c r="B303" s="119"/>
      <c r="C303" s="83"/>
      <c r="D303" s="68"/>
      <c r="E303" s="83"/>
      <c r="F303" s="60"/>
      <c r="G303" s="59"/>
      <c r="H303" s="60"/>
      <c r="I303" s="61"/>
      <c r="J303" s="60"/>
      <c r="K303" s="62"/>
      <c r="L303" s="60"/>
      <c r="M303" s="62"/>
      <c r="N303" s="60"/>
      <c r="O303" s="63"/>
      <c r="P303" s="60"/>
      <c r="Q303" s="63"/>
      <c r="R303" s="60"/>
      <c r="S303" s="64"/>
      <c r="T303" s="60"/>
      <c r="U303" s="84"/>
      <c r="V303" s="85"/>
    </row>
    <row r="304" spans="2:22" ht="13.5" thickBot="1">
      <c r="B304" s="120" t="s">
        <v>143</v>
      </c>
      <c r="C304" s="83"/>
      <c r="D304" s="68"/>
      <c r="E304" s="83"/>
      <c r="F304" s="60"/>
      <c r="G304" s="59"/>
      <c r="H304" s="60"/>
      <c r="I304" s="61"/>
      <c r="J304" s="60"/>
      <c r="K304" s="62"/>
      <c r="L304" s="60"/>
      <c r="M304" s="87">
        <f>+M302/$E302</f>
        <v>70.115353963169255</v>
      </c>
      <c r="N304" s="60"/>
      <c r="O304" s="63"/>
      <c r="P304" s="60"/>
      <c r="Q304" s="63"/>
      <c r="R304" s="60"/>
      <c r="S304" s="64"/>
      <c r="T304" s="60"/>
      <c r="U304" s="87">
        <f>+U302/$E302</f>
        <v>56.25612892932665</v>
      </c>
      <c r="V304" s="88"/>
    </row>
    <row r="305" spans="2:22" ht="13.5" thickTop="1">
      <c r="B305" s="58" t="s">
        <v>58</v>
      </c>
      <c r="C305" s="59">
        <v>159.55393554299846</v>
      </c>
      <c r="D305" s="60"/>
      <c r="E305" s="59"/>
      <c r="F305" s="60"/>
      <c r="G305" s="59"/>
      <c r="H305" s="80"/>
      <c r="I305" s="121"/>
      <c r="J305" s="80"/>
      <c r="K305" s="62"/>
      <c r="L305" s="80"/>
      <c r="M305" s="62"/>
      <c r="N305" s="80"/>
      <c r="O305" s="63"/>
      <c r="P305" s="80"/>
      <c r="Q305" s="63"/>
      <c r="R305" s="80"/>
      <c r="S305" s="64"/>
      <c r="T305" s="80"/>
      <c r="U305" s="72"/>
      <c r="V305" s="73"/>
    </row>
    <row r="306" spans="2:22">
      <c r="B306" s="67" t="s">
        <v>51</v>
      </c>
      <c r="C306" s="59"/>
      <c r="D306" s="60"/>
      <c r="E306" s="59">
        <v>48</v>
      </c>
      <c r="F306" s="60"/>
      <c r="G306" s="59"/>
      <c r="H306" s="68"/>
      <c r="I306" s="70">
        <v>42.84</v>
      </c>
      <c r="J306" s="68"/>
      <c r="K306" s="62">
        <f>+E306*I306</f>
        <v>2056.3200000000002</v>
      </c>
      <c r="L306" s="68"/>
      <c r="M306" s="62">
        <f>+K306</f>
        <v>2056.3200000000002</v>
      </c>
      <c r="N306" s="68"/>
      <c r="O306" s="63">
        <f>+E306</f>
        <v>48</v>
      </c>
      <c r="P306" s="68"/>
      <c r="Q306" s="63"/>
      <c r="R306" s="68"/>
      <c r="S306" s="71">
        <v>40.229999999999997</v>
      </c>
      <c r="T306" s="68"/>
      <c r="U306" s="72">
        <f>+O306*S306</f>
        <v>1931.04</v>
      </c>
      <c r="V306" s="73"/>
    </row>
    <row r="307" spans="2:22">
      <c r="B307" s="67" t="s">
        <v>52</v>
      </c>
      <c r="C307" s="59"/>
      <c r="D307" s="60"/>
      <c r="E307" s="59"/>
      <c r="F307" s="60"/>
      <c r="G307" s="59">
        <v>43.964010688774096</v>
      </c>
      <c r="H307" s="68"/>
      <c r="I307" s="70">
        <v>7.06</v>
      </c>
      <c r="J307" s="68"/>
      <c r="K307" s="63">
        <f>+G307*I307</f>
        <v>310.38591546274512</v>
      </c>
      <c r="L307" s="68"/>
      <c r="M307" s="62">
        <f t="shared" ref="M307:M311" si="114">+K307</f>
        <v>310.38591546274512</v>
      </c>
      <c r="N307" s="68"/>
      <c r="O307" s="63"/>
      <c r="P307" s="68"/>
      <c r="Q307" s="63">
        <f>+G307</f>
        <v>43.964010688774096</v>
      </c>
      <c r="R307" s="68"/>
      <c r="S307" s="75">
        <v>3.8170000000000002</v>
      </c>
      <c r="T307" s="68"/>
      <c r="U307" s="72">
        <f>+Q307*S307</f>
        <v>167.81062879905073</v>
      </c>
      <c r="V307" s="73"/>
    </row>
    <row r="308" spans="2:22">
      <c r="B308" s="67" t="s">
        <v>32</v>
      </c>
      <c r="C308" s="59"/>
      <c r="D308" s="60"/>
      <c r="E308" s="59"/>
      <c r="F308" s="60"/>
      <c r="G308" s="59">
        <v>5.4377006155188807</v>
      </c>
      <c r="H308" s="60"/>
      <c r="I308" s="70">
        <v>6.48</v>
      </c>
      <c r="J308" s="60"/>
      <c r="K308" s="63">
        <f t="shared" ref="K308:K311" si="115">+G308*I308</f>
        <v>35.236299988562351</v>
      </c>
      <c r="L308" s="60"/>
      <c r="M308" s="62">
        <f t="shared" si="114"/>
        <v>35.236299988562351</v>
      </c>
      <c r="N308" s="60"/>
      <c r="O308" s="63"/>
      <c r="P308" s="60"/>
      <c r="Q308" s="63">
        <f t="shared" ref="Q308:Q311" si="116">+G308</f>
        <v>5.4377006155188807</v>
      </c>
      <c r="R308" s="60"/>
      <c r="S308" s="75">
        <v>3.8170000000000002</v>
      </c>
      <c r="T308" s="60"/>
      <c r="U308" s="72">
        <f t="shared" ref="U308:U311" si="117">+Q308*S308</f>
        <v>20.75570324943557</v>
      </c>
      <c r="V308" s="73"/>
    </row>
    <row r="309" spans="2:22">
      <c r="B309" s="67" t="s">
        <v>33</v>
      </c>
      <c r="C309" s="59"/>
      <c r="D309" s="60"/>
      <c r="E309" s="59"/>
      <c r="F309" s="60"/>
      <c r="G309" s="59">
        <v>0</v>
      </c>
      <c r="H309" s="60"/>
      <c r="I309" s="70">
        <v>5.91</v>
      </c>
      <c r="J309" s="60"/>
      <c r="K309" s="63">
        <f t="shared" si="115"/>
        <v>0</v>
      </c>
      <c r="L309" s="60"/>
      <c r="M309" s="62">
        <f t="shared" si="114"/>
        <v>0</v>
      </c>
      <c r="N309" s="60"/>
      <c r="O309" s="63"/>
      <c r="P309" s="60"/>
      <c r="Q309" s="63">
        <f t="shared" si="116"/>
        <v>0</v>
      </c>
      <c r="R309" s="60"/>
      <c r="S309" s="75">
        <v>3.8170000000000002</v>
      </c>
      <c r="T309" s="60"/>
      <c r="U309" s="72">
        <f t="shared" si="117"/>
        <v>0</v>
      </c>
      <c r="V309" s="73"/>
    </row>
    <row r="310" spans="2:22">
      <c r="B310" s="67" t="s">
        <v>34</v>
      </c>
      <c r="C310" s="59"/>
      <c r="D310" s="60"/>
      <c r="E310" s="59"/>
      <c r="F310" s="60"/>
      <c r="G310" s="59">
        <v>0</v>
      </c>
      <c r="H310" s="60"/>
      <c r="I310" s="70">
        <v>5.24</v>
      </c>
      <c r="J310" s="60"/>
      <c r="K310" s="63">
        <f t="shared" si="115"/>
        <v>0</v>
      </c>
      <c r="L310" s="60"/>
      <c r="M310" s="62">
        <f t="shared" si="114"/>
        <v>0</v>
      </c>
      <c r="N310" s="60"/>
      <c r="O310" s="63"/>
      <c r="P310" s="60"/>
      <c r="Q310" s="63">
        <f t="shared" si="116"/>
        <v>0</v>
      </c>
      <c r="R310" s="60"/>
      <c r="S310" s="75">
        <v>3.8170000000000002</v>
      </c>
      <c r="T310" s="60"/>
      <c r="U310" s="72">
        <f t="shared" si="117"/>
        <v>0</v>
      </c>
      <c r="V310" s="73"/>
    </row>
    <row r="311" spans="2:22">
      <c r="B311" s="67" t="s">
        <v>35</v>
      </c>
      <c r="C311" s="59"/>
      <c r="D311" s="60"/>
      <c r="E311" s="59"/>
      <c r="F311" s="60"/>
      <c r="G311" s="59">
        <v>0</v>
      </c>
      <c r="H311" s="60"/>
      <c r="I311" s="70">
        <v>4.58</v>
      </c>
      <c r="J311" s="60"/>
      <c r="K311" s="63">
        <f t="shared" si="115"/>
        <v>0</v>
      </c>
      <c r="L311" s="60"/>
      <c r="M311" s="62">
        <f t="shared" si="114"/>
        <v>0</v>
      </c>
      <c r="N311" s="60"/>
      <c r="O311" s="63"/>
      <c r="P311" s="60"/>
      <c r="Q311" s="63">
        <f t="shared" si="116"/>
        <v>0</v>
      </c>
      <c r="R311" s="60"/>
      <c r="S311" s="75">
        <v>3.8170000000000002</v>
      </c>
      <c r="T311" s="60"/>
      <c r="U311" s="72">
        <f t="shared" si="117"/>
        <v>0</v>
      </c>
      <c r="V311" s="73"/>
    </row>
    <row r="312" spans="2:22" ht="13.5" thickBot="1">
      <c r="B312" s="119" t="s">
        <v>59</v>
      </c>
      <c r="C312" s="79">
        <f>SUM(C305:C311)</f>
        <v>159.55393554299846</v>
      </c>
      <c r="D312" s="80"/>
      <c r="E312" s="79">
        <f>SUM(E305:E311)</f>
        <v>48</v>
      </c>
      <c r="F312" s="80"/>
      <c r="G312" s="79">
        <f>SUM(G305:G311)</f>
        <v>49.401711304292974</v>
      </c>
      <c r="H312" s="60"/>
      <c r="I312" s="50"/>
      <c r="J312" s="60"/>
      <c r="K312" s="81">
        <f>SUM(K305:K311)</f>
        <v>2401.9422154513077</v>
      </c>
      <c r="L312" s="60"/>
      <c r="M312" s="81">
        <f>SUM(M305:M311)</f>
        <v>2401.9422154513077</v>
      </c>
      <c r="N312" s="60"/>
      <c r="O312" s="79">
        <f>SUM(O305:O311)</f>
        <v>48</v>
      </c>
      <c r="P312" s="60"/>
      <c r="Q312" s="79">
        <f>SUM(Q305:Q311)</f>
        <v>49.401711304292974</v>
      </c>
      <c r="R312" s="60"/>
      <c r="S312" s="64"/>
      <c r="T312" s="60"/>
      <c r="U312" s="81">
        <f>SUM(U305:U311)</f>
        <v>2119.6063320484864</v>
      </c>
      <c r="V312" s="82"/>
    </row>
    <row r="313" spans="2:22" ht="13.5" thickTop="1">
      <c r="B313" s="119"/>
      <c r="C313" s="83"/>
      <c r="D313" s="68"/>
      <c r="E313" s="83"/>
      <c r="F313" s="60"/>
      <c r="G313" s="59"/>
      <c r="H313" s="60"/>
      <c r="I313" s="61"/>
      <c r="J313" s="60"/>
      <c r="K313" s="62"/>
      <c r="L313" s="60"/>
      <c r="M313" s="62"/>
      <c r="N313" s="60"/>
      <c r="O313" s="63"/>
      <c r="P313" s="60"/>
      <c r="Q313" s="63"/>
      <c r="R313" s="60"/>
      <c r="S313" s="64"/>
      <c r="T313" s="60"/>
      <c r="U313" s="84"/>
      <c r="V313" s="85"/>
    </row>
    <row r="314" spans="2:22" ht="13.5" thickBot="1">
      <c r="B314" s="120" t="s">
        <v>60</v>
      </c>
      <c r="C314" s="83"/>
      <c r="D314" s="68"/>
      <c r="E314" s="83"/>
      <c r="F314" s="60"/>
      <c r="G314" s="59"/>
      <c r="H314" s="60"/>
      <c r="I314" s="61"/>
      <c r="J314" s="60"/>
      <c r="K314" s="62"/>
      <c r="L314" s="60"/>
      <c r="M314" s="87">
        <f>+M312/$E312</f>
        <v>50.040462821902246</v>
      </c>
      <c r="N314" s="60"/>
      <c r="O314" s="63"/>
      <c r="P314" s="60"/>
      <c r="Q314" s="63"/>
      <c r="R314" s="60"/>
      <c r="S314" s="64"/>
      <c r="T314" s="60"/>
      <c r="U314" s="87">
        <f>+U312/$E312</f>
        <v>44.158465251010135</v>
      </c>
      <c r="V314" s="88"/>
    </row>
    <row r="315" spans="2:22" ht="13.5" thickTop="1">
      <c r="B315" s="58" t="s">
        <v>144</v>
      </c>
      <c r="C315" s="59">
        <v>1340.8668423694721</v>
      </c>
      <c r="D315" s="60"/>
      <c r="E315" s="59"/>
      <c r="F315" s="60"/>
      <c r="G315" s="59"/>
      <c r="H315" s="80"/>
      <c r="I315" s="61"/>
      <c r="J315" s="80"/>
      <c r="K315" s="62"/>
      <c r="L315" s="80"/>
      <c r="M315" s="62"/>
      <c r="N315" s="80"/>
      <c r="O315" s="63"/>
      <c r="P315" s="80"/>
      <c r="Q315" s="63"/>
      <c r="R315" s="80"/>
      <c r="S315" s="64"/>
      <c r="T315" s="80"/>
      <c r="U315" s="72"/>
      <c r="V315" s="73"/>
    </row>
    <row r="316" spans="2:22">
      <c r="B316" s="67" t="s">
        <v>51</v>
      </c>
      <c r="C316" s="59"/>
      <c r="D316" s="60"/>
      <c r="E316" s="59">
        <v>84</v>
      </c>
      <c r="F316" s="60"/>
      <c r="G316" s="59"/>
      <c r="H316" s="68"/>
      <c r="I316" s="70">
        <v>42.84</v>
      </c>
      <c r="J316" s="68"/>
      <c r="K316" s="62">
        <f>+E316*I316</f>
        <v>3598.5600000000004</v>
      </c>
      <c r="L316" s="68"/>
      <c r="M316" s="62">
        <f>+K316</f>
        <v>3598.5600000000004</v>
      </c>
      <c r="N316" s="68"/>
      <c r="O316" s="63">
        <f>+E316</f>
        <v>84</v>
      </c>
      <c r="P316" s="68"/>
      <c r="Q316" s="63"/>
      <c r="R316" s="68"/>
      <c r="S316" s="71">
        <v>40.229999999999997</v>
      </c>
      <c r="T316" s="68"/>
      <c r="U316" s="72">
        <f>+O316*S316</f>
        <v>3379.3199999999997</v>
      </c>
      <c r="V316" s="73"/>
    </row>
    <row r="317" spans="2:22">
      <c r="B317" s="67" t="s">
        <v>52</v>
      </c>
      <c r="C317" s="59"/>
      <c r="D317" s="60"/>
      <c r="E317" s="59"/>
      <c r="F317" s="60"/>
      <c r="G317" s="59">
        <v>315.3609584510769</v>
      </c>
      <c r="H317" s="68"/>
      <c r="I317" s="70">
        <v>7.06</v>
      </c>
      <c r="J317" s="68"/>
      <c r="K317" s="63">
        <f>+G317*I317</f>
        <v>2226.4483666646029</v>
      </c>
      <c r="L317" s="68"/>
      <c r="M317" s="62">
        <f t="shared" ref="M317:M321" si="118">+K317</f>
        <v>2226.4483666646029</v>
      </c>
      <c r="N317" s="68"/>
      <c r="O317" s="63"/>
      <c r="P317" s="68"/>
      <c r="Q317" s="63">
        <f>+G317</f>
        <v>315.3609584510769</v>
      </c>
      <c r="R317" s="68"/>
      <c r="S317" s="75">
        <v>3.8170000000000002</v>
      </c>
      <c r="T317" s="68"/>
      <c r="U317" s="72">
        <f>+Q317*S317</f>
        <v>1203.7327784077606</v>
      </c>
      <c r="V317" s="73"/>
    </row>
    <row r="318" spans="2:22">
      <c r="B318" s="67" t="s">
        <v>32</v>
      </c>
      <c r="C318" s="59"/>
      <c r="D318" s="60"/>
      <c r="E318" s="59"/>
      <c r="F318" s="60"/>
      <c r="G318" s="59">
        <v>477.64562652528889</v>
      </c>
      <c r="H318" s="60"/>
      <c r="I318" s="70">
        <v>6.48</v>
      </c>
      <c r="J318" s="60"/>
      <c r="K318" s="63">
        <f t="shared" ref="K318:K321" si="119">+G318*I318</f>
        <v>3095.1436598838723</v>
      </c>
      <c r="L318" s="60"/>
      <c r="M318" s="62">
        <f t="shared" si="118"/>
        <v>3095.1436598838723</v>
      </c>
      <c r="N318" s="60"/>
      <c r="O318" s="63"/>
      <c r="P318" s="60"/>
      <c r="Q318" s="63">
        <f t="shared" ref="Q318:Q321" si="120">+G318</f>
        <v>477.64562652528889</v>
      </c>
      <c r="R318" s="60"/>
      <c r="S318" s="75">
        <v>3.8170000000000002</v>
      </c>
      <c r="T318" s="60"/>
      <c r="U318" s="72">
        <f t="shared" ref="U318:U321" si="121">+Q318*S318</f>
        <v>1823.1733564470278</v>
      </c>
      <c r="V318" s="73"/>
    </row>
    <row r="319" spans="2:22">
      <c r="B319" s="67" t="s">
        <v>33</v>
      </c>
      <c r="C319" s="59"/>
      <c r="D319" s="60"/>
      <c r="E319" s="59"/>
      <c r="F319" s="60"/>
      <c r="G319" s="59">
        <v>44.07506979677887</v>
      </c>
      <c r="H319" s="60"/>
      <c r="I319" s="70">
        <v>5.91</v>
      </c>
      <c r="J319" s="60"/>
      <c r="K319" s="63">
        <f t="shared" si="119"/>
        <v>260.4836624989631</v>
      </c>
      <c r="L319" s="60"/>
      <c r="M319" s="62">
        <f t="shared" si="118"/>
        <v>260.4836624989631</v>
      </c>
      <c r="N319" s="60"/>
      <c r="O319" s="63"/>
      <c r="P319" s="60"/>
      <c r="Q319" s="63">
        <f t="shared" si="120"/>
        <v>44.07506979677887</v>
      </c>
      <c r="R319" s="60"/>
      <c r="S319" s="75">
        <v>3.8170000000000002</v>
      </c>
      <c r="T319" s="60"/>
      <c r="U319" s="72">
        <f t="shared" si="121"/>
        <v>168.23454141430494</v>
      </c>
      <c r="V319" s="73"/>
    </row>
    <row r="320" spans="2:22">
      <c r="B320" s="67" t="s">
        <v>34</v>
      </c>
      <c r="C320" s="59"/>
      <c r="D320" s="60"/>
      <c r="E320" s="59"/>
      <c r="F320" s="60"/>
      <c r="G320" s="59">
        <v>0</v>
      </c>
      <c r="H320" s="60"/>
      <c r="I320" s="70">
        <v>5.24</v>
      </c>
      <c r="J320" s="60"/>
      <c r="K320" s="63">
        <f t="shared" si="119"/>
        <v>0</v>
      </c>
      <c r="L320" s="60"/>
      <c r="M320" s="62">
        <f t="shared" si="118"/>
        <v>0</v>
      </c>
      <c r="N320" s="60"/>
      <c r="O320" s="63"/>
      <c r="P320" s="60"/>
      <c r="Q320" s="63">
        <f t="shared" si="120"/>
        <v>0</v>
      </c>
      <c r="R320" s="60"/>
      <c r="S320" s="75">
        <v>3.8170000000000002</v>
      </c>
      <c r="T320" s="60"/>
      <c r="U320" s="72">
        <f t="shared" si="121"/>
        <v>0</v>
      </c>
      <c r="V320" s="73"/>
    </row>
    <row r="321" spans="2:22">
      <c r="B321" s="67" t="s">
        <v>35</v>
      </c>
      <c r="C321" s="59"/>
      <c r="D321" s="60"/>
      <c r="E321" s="59"/>
      <c r="F321" s="60"/>
      <c r="G321" s="59">
        <v>0</v>
      </c>
      <c r="H321" s="60"/>
      <c r="I321" s="70">
        <v>4.58</v>
      </c>
      <c r="J321" s="60"/>
      <c r="K321" s="63">
        <f t="shared" si="119"/>
        <v>0</v>
      </c>
      <c r="L321" s="60"/>
      <c r="M321" s="62">
        <f t="shared" si="118"/>
        <v>0</v>
      </c>
      <c r="N321" s="60"/>
      <c r="O321" s="63"/>
      <c r="P321" s="60"/>
      <c r="Q321" s="63">
        <f t="shared" si="120"/>
        <v>0</v>
      </c>
      <c r="R321" s="60"/>
      <c r="S321" s="75">
        <v>3.8170000000000002</v>
      </c>
      <c r="T321" s="60"/>
      <c r="U321" s="72">
        <f t="shared" si="121"/>
        <v>0</v>
      </c>
      <c r="V321" s="73"/>
    </row>
    <row r="322" spans="2:22" ht="13.5" thickBot="1">
      <c r="B322" s="119" t="s">
        <v>145</v>
      </c>
      <c r="C322" s="90">
        <f>SUM(C315:C320)</f>
        <v>1340.8668423694721</v>
      </c>
      <c r="D322" s="80"/>
      <c r="E322" s="90">
        <f>SUM(E315:E320)</f>
        <v>84</v>
      </c>
      <c r="F322" s="80"/>
      <c r="G322" s="90">
        <f>SUM(G315:G321)</f>
        <v>837.08165477314458</v>
      </c>
      <c r="H322" s="60"/>
      <c r="I322" s="50"/>
      <c r="J322" s="60"/>
      <c r="K322" s="91">
        <f>SUM(K316:K321)</f>
        <v>9180.6356890474399</v>
      </c>
      <c r="L322" s="60"/>
      <c r="M322" s="91">
        <f>SUM(M316:M321)</f>
        <v>9180.6356890474399</v>
      </c>
      <c r="N322" s="60"/>
      <c r="O322" s="90">
        <f>SUM(O315:O320)</f>
        <v>84</v>
      </c>
      <c r="P322" s="60"/>
      <c r="Q322" s="90">
        <f>SUM(Q315:R321)</f>
        <v>837.08165477314458</v>
      </c>
      <c r="R322" s="60"/>
      <c r="S322" s="71"/>
      <c r="T322" s="60"/>
      <c r="U322" s="91">
        <f>SUM(U316:U321)</f>
        <v>6574.4606762690928</v>
      </c>
      <c r="V322" s="82"/>
    </row>
    <row r="323" spans="2:22" ht="13.5" thickTop="1">
      <c r="B323" s="119"/>
      <c r="C323" s="83"/>
      <c r="D323" s="68"/>
      <c r="E323" s="83"/>
      <c r="F323" s="60"/>
      <c r="G323" s="59"/>
      <c r="H323" s="60"/>
      <c r="I323" s="61"/>
      <c r="J323" s="60"/>
      <c r="K323" s="62"/>
      <c r="L323" s="60"/>
      <c r="M323" s="62"/>
      <c r="N323" s="60"/>
      <c r="O323" s="63"/>
      <c r="P323" s="60"/>
      <c r="Q323" s="63"/>
      <c r="R323" s="60"/>
      <c r="S323" s="64"/>
      <c r="T323" s="60"/>
      <c r="U323" s="84"/>
      <c r="V323" s="85"/>
    </row>
    <row r="324" spans="2:22" ht="13.5" thickBot="1">
      <c r="B324" s="123" t="s">
        <v>146</v>
      </c>
      <c r="C324" s="83"/>
      <c r="D324" s="68"/>
      <c r="E324" s="83"/>
      <c r="F324" s="60"/>
      <c r="G324" s="59"/>
      <c r="H324" s="60"/>
      <c r="I324" s="61"/>
      <c r="J324" s="60"/>
      <c r="K324" s="62"/>
      <c r="L324" s="60"/>
      <c r="M324" s="87">
        <f>+M322/$E322</f>
        <v>109.29328201246952</v>
      </c>
      <c r="N324" s="60"/>
      <c r="O324" s="63"/>
      <c r="P324" s="60"/>
      <c r="Q324" s="63"/>
      <c r="R324" s="60"/>
      <c r="S324" s="64"/>
      <c r="T324" s="60"/>
      <c r="U324" s="87">
        <f>+U322/$E322</f>
        <v>78.26738900320349</v>
      </c>
      <c r="V324" s="88"/>
    </row>
    <row r="325" spans="2:22" ht="13.5" thickTop="1">
      <c r="B325" s="58" t="s">
        <v>64</v>
      </c>
      <c r="C325" s="59">
        <v>1570.2061037674875</v>
      </c>
      <c r="D325" s="60"/>
      <c r="E325" s="59"/>
      <c r="F325" s="60"/>
      <c r="G325" s="59"/>
      <c r="H325" s="80"/>
      <c r="I325" s="61"/>
      <c r="J325" s="80"/>
      <c r="K325" s="62"/>
      <c r="L325" s="80"/>
      <c r="M325" s="62"/>
      <c r="N325" s="80"/>
      <c r="O325" s="63"/>
      <c r="P325" s="80"/>
      <c r="Q325" s="63"/>
      <c r="R325" s="80"/>
      <c r="S325" s="64"/>
      <c r="T325" s="80"/>
      <c r="U325" s="72"/>
      <c r="V325" s="73"/>
    </row>
    <row r="326" spans="2:22">
      <c r="B326" s="67" t="s">
        <v>65</v>
      </c>
      <c r="C326" s="59"/>
      <c r="D326" s="60"/>
      <c r="E326" s="59">
        <v>24</v>
      </c>
      <c r="F326" s="60"/>
      <c r="G326" s="59"/>
      <c r="H326" s="68"/>
      <c r="I326" s="70">
        <v>83.81</v>
      </c>
      <c r="J326" s="68"/>
      <c r="K326" s="62">
        <f>+E326*I326</f>
        <v>2011.44</v>
      </c>
      <c r="L326" s="68"/>
      <c r="M326" s="62">
        <f>+K326</f>
        <v>2011.44</v>
      </c>
      <c r="N326" s="68"/>
      <c r="O326" s="63">
        <f>+E326</f>
        <v>24</v>
      </c>
      <c r="P326" s="68"/>
      <c r="Q326" s="63"/>
      <c r="R326" s="68"/>
      <c r="S326" s="71">
        <v>81.41</v>
      </c>
      <c r="T326" s="68"/>
      <c r="U326" s="72">
        <f>+O326*S326</f>
        <v>1953.84</v>
      </c>
      <c r="V326" s="73"/>
    </row>
    <row r="327" spans="2:22">
      <c r="B327" s="67" t="s">
        <v>66</v>
      </c>
      <c r="C327" s="83"/>
      <c r="D327" s="68"/>
      <c r="E327" s="83"/>
      <c r="F327" s="60"/>
      <c r="G327" s="59">
        <v>167.38262531254207</v>
      </c>
      <c r="H327" s="68"/>
      <c r="I327" s="70">
        <v>6.48</v>
      </c>
      <c r="J327" s="68"/>
      <c r="K327" s="63">
        <f>+G327*I327</f>
        <v>1084.6394120252728</v>
      </c>
      <c r="L327" s="68"/>
      <c r="M327" s="62">
        <f t="shared" ref="M327:M330" si="122">+K327</f>
        <v>1084.6394120252728</v>
      </c>
      <c r="N327" s="68"/>
      <c r="O327" s="63"/>
      <c r="P327" s="68"/>
      <c r="Q327" s="63">
        <f>+G327</f>
        <v>167.38262531254207</v>
      </c>
      <c r="R327" s="68"/>
      <c r="S327" s="75">
        <v>3.8170000000000002</v>
      </c>
      <c r="T327" s="68"/>
      <c r="U327" s="72">
        <f>+Q327*S327</f>
        <v>638.89948081797309</v>
      </c>
      <c r="V327" s="73"/>
    </row>
    <row r="328" spans="2:22">
      <c r="B328" s="67" t="s">
        <v>33</v>
      </c>
      <c r="C328" s="83"/>
      <c r="D328" s="68"/>
      <c r="E328" s="83"/>
      <c r="F328" s="60"/>
      <c r="G328" s="59">
        <v>301.11148479372247</v>
      </c>
      <c r="H328" s="60"/>
      <c r="I328" s="70">
        <v>5.91</v>
      </c>
      <c r="J328" s="60"/>
      <c r="K328" s="63">
        <f t="shared" ref="K328:K330" si="123">+G328*I328</f>
        <v>1779.5688751308999</v>
      </c>
      <c r="L328" s="60"/>
      <c r="M328" s="62">
        <f t="shared" si="122"/>
        <v>1779.5688751308999</v>
      </c>
      <c r="N328" s="60"/>
      <c r="O328" s="63"/>
      <c r="P328" s="60"/>
      <c r="Q328" s="63">
        <f t="shared" ref="Q328:Q330" si="124">+G328</f>
        <v>301.11148479372247</v>
      </c>
      <c r="R328" s="60"/>
      <c r="S328" s="75">
        <v>3.8170000000000002</v>
      </c>
      <c r="T328" s="60"/>
      <c r="U328" s="72">
        <f t="shared" ref="U328:U330" si="125">+Q328*S328</f>
        <v>1149.3425374576386</v>
      </c>
      <c r="V328" s="73"/>
    </row>
    <row r="329" spans="2:22">
      <c r="B329" s="67" t="s">
        <v>34</v>
      </c>
      <c r="C329" s="83"/>
      <c r="D329" s="68"/>
      <c r="E329" s="83"/>
      <c r="F329" s="60"/>
      <c r="G329" s="59">
        <v>537.96994302086034</v>
      </c>
      <c r="H329" s="60"/>
      <c r="I329" s="70">
        <v>5.24</v>
      </c>
      <c r="J329" s="60"/>
      <c r="K329" s="63">
        <f t="shared" si="123"/>
        <v>2818.9625014293083</v>
      </c>
      <c r="L329" s="60"/>
      <c r="M329" s="62">
        <f t="shared" si="122"/>
        <v>2818.9625014293083</v>
      </c>
      <c r="N329" s="60"/>
      <c r="O329" s="63"/>
      <c r="P329" s="60"/>
      <c r="Q329" s="63">
        <f t="shared" si="124"/>
        <v>537.96994302086034</v>
      </c>
      <c r="R329" s="60"/>
      <c r="S329" s="75">
        <v>3.8170000000000002</v>
      </c>
      <c r="T329" s="60"/>
      <c r="U329" s="72">
        <f t="shared" si="125"/>
        <v>2053.4312725106242</v>
      </c>
      <c r="V329" s="73"/>
    </row>
    <row r="330" spans="2:22">
      <c r="B330" s="67" t="s">
        <v>35</v>
      </c>
      <c r="C330" s="83"/>
      <c r="D330" s="68"/>
      <c r="E330" s="83"/>
      <c r="F330" s="60"/>
      <c r="G330" s="59">
        <v>262.51050529955415</v>
      </c>
      <c r="H330" s="60"/>
      <c r="I330" s="70">
        <v>4.58</v>
      </c>
      <c r="J330" s="60"/>
      <c r="K330" s="63">
        <f t="shared" si="123"/>
        <v>1202.298114271958</v>
      </c>
      <c r="L330" s="60"/>
      <c r="M330" s="62">
        <f t="shared" si="122"/>
        <v>1202.298114271958</v>
      </c>
      <c r="N330" s="60"/>
      <c r="O330" s="63"/>
      <c r="P330" s="60"/>
      <c r="Q330" s="63">
        <f t="shared" si="124"/>
        <v>262.51050529955415</v>
      </c>
      <c r="R330" s="60"/>
      <c r="S330" s="75">
        <v>3.8170000000000002</v>
      </c>
      <c r="T330" s="60"/>
      <c r="U330" s="72">
        <f t="shared" si="125"/>
        <v>1002.0025987283982</v>
      </c>
      <c r="V330" s="73"/>
    </row>
    <row r="331" spans="2:22" ht="13.5" thickBot="1">
      <c r="B331" s="119" t="s">
        <v>67</v>
      </c>
      <c r="C331" s="90">
        <f>SUM(C324:C330)</f>
        <v>1570.2061037674875</v>
      </c>
      <c r="D331" s="80"/>
      <c r="E331" s="90">
        <f>SUM(E324:E330)</f>
        <v>24</v>
      </c>
      <c r="F331" s="80"/>
      <c r="G331" s="90">
        <f>SUM(G324:G330)</f>
        <v>1268.9745584266791</v>
      </c>
      <c r="H331" s="60"/>
      <c r="I331" s="50"/>
      <c r="J331" s="60"/>
      <c r="K331" s="81">
        <f>SUM(K326:K330)</f>
        <v>8896.9089028574399</v>
      </c>
      <c r="L331" s="60"/>
      <c r="M331" s="81">
        <f>SUM(M326:M330)</f>
        <v>8896.9089028574399</v>
      </c>
      <c r="N331" s="60"/>
      <c r="O331" s="79">
        <f>SUM(O326:O330)</f>
        <v>24</v>
      </c>
      <c r="P331" s="60"/>
      <c r="Q331" s="79">
        <f>SUM(Q326:Q330)</f>
        <v>1268.9745584266791</v>
      </c>
      <c r="R331" s="60"/>
      <c r="S331" s="64"/>
      <c r="T331" s="60"/>
      <c r="U331" s="81">
        <f>SUM(U326:U330)</f>
        <v>6797.5158895146333</v>
      </c>
      <c r="V331" s="82"/>
    </row>
    <row r="332" spans="2:22" ht="13.5" thickTop="1">
      <c r="B332" s="119"/>
      <c r="C332" s="83"/>
      <c r="D332" s="68"/>
      <c r="E332" s="83"/>
      <c r="F332" s="60"/>
      <c r="G332" s="59"/>
      <c r="H332" s="60"/>
      <c r="I332" s="61"/>
      <c r="J332" s="60"/>
      <c r="K332" s="62"/>
      <c r="L332" s="60"/>
      <c r="M332" s="62"/>
      <c r="N332" s="60"/>
      <c r="O332" s="63"/>
      <c r="P332" s="60"/>
      <c r="Q332" s="63"/>
      <c r="R332" s="60"/>
      <c r="S332" s="64"/>
      <c r="T332" s="60"/>
      <c r="U332" s="84"/>
      <c r="V332" s="85"/>
    </row>
    <row r="333" spans="2:22" ht="13.5" thickBot="1">
      <c r="B333" s="120" t="s">
        <v>68</v>
      </c>
      <c r="C333" s="83"/>
      <c r="D333" s="68"/>
      <c r="E333" s="83"/>
      <c r="F333" s="60"/>
      <c r="G333" s="59"/>
      <c r="H333" s="60"/>
      <c r="I333" s="61"/>
      <c r="J333" s="60"/>
      <c r="K333" s="62"/>
      <c r="L333" s="60"/>
      <c r="M333" s="87">
        <f>+M331/$E331</f>
        <v>370.70453761905998</v>
      </c>
      <c r="N333" s="60"/>
      <c r="O333" s="63"/>
      <c r="P333" s="60"/>
      <c r="Q333" s="63"/>
      <c r="R333" s="60"/>
      <c r="S333" s="64"/>
      <c r="T333" s="60"/>
      <c r="U333" s="87">
        <f>+U331/$E331</f>
        <v>283.22982872977639</v>
      </c>
      <c r="V333" s="88"/>
    </row>
    <row r="334" spans="2:22" ht="13.5" thickTop="1">
      <c r="B334" s="58" t="s">
        <v>69</v>
      </c>
      <c r="C334" s="59">
        <v>2177.0196292205974</v>
      </c>
      <c r="D334" s="60"/>
      <c r="E334" s="59"/>
      <c r="F334" s="60"/>
      <c r="G334" s="59"/>
      <c r="H334" s="80"/>
      <c r="I334" s="61"/>
      <c r="J334" s="80"/>
      <c r="K334" s="62"/>
      <c r="L334" s="80"/>
      <c r="M334" s="62"/>
      <c r="N334" s="80"/>
      <c r="O334" s="63"/>
      <c r="P334" s="80"/>
      <c r="Q334" s="63"/>
      <c r="R334" s="80"/>
      <c r="S334" s="64"/>
      <c r="T334" s="80"/>
      <c r="U334" s="72"/>
      <c r="V334" s="73"/>
    </row>
    <row r="335" spans="2:22">
      <c r="B335" s="67" t="s">
        <v>65</v>
      </c>
      <c r="C335" s="59"/>
      <c r="D335" s="60"/>
      <c r="E335" s="59">
        <v>35</v>
      </c>
      <c r="F335" s="60"/>
      <c r="G335" s="59"/>
      <c r="H335" s="68"/>
      <c r="I335" s="70">
        <v>83.81</v>
      </c>
      <c r="J335" s="68"/>
      <c r="K335" s="62">
        <f>+E335*I335</f>
        <v>2933.35</v>
      </c>
      <c r="L335" s="68"/>
      <c r="M335" s="62">
        <f>+K335</f>
        <v>2933.35</v>
      </c>
      <c r="N335" s="68"/>
      <c r="O335" s="63">
        <f>+E335</f>
        <v>35</v>
      </c>
      <c r="P335" s="68"/>
      <c r="Q335" s="63"/>
      <c r="R335" s="68"/>
      <c r="S335" s="71">
        <v>81.41</v>
      </c>
      <c r="T335" s="68"/>
      <c r="U335" s="72">
        <f>+O335*S335</f>
        <v>2849.35</v>
      </c>
      <c r="V335" s="73"/>
    </row>
    <row r="336" spans="2:22">
      <c r="B336" s="67" t="s">
        <v>66</v>
      </c>
      <c r="C336" s="83"/>
      <c r="D336" s="68"/>
      <c r="E336" s="83"/>
      <c r="F336" s="60"/>
      <c r="G336" s="59">
        <v>277.00609739760642</v>
      </c>
      <c r="H336" s="68"/>
      <c r="I336" s="70">
        <v>6.48</v>
      </c>
      <c r="J336" s="68"/>
      <c r="K336" s="63">
        <f>+G336*I336</f>
        <v>1794.9995111364897</v>
      </c>
      <c r="L336" s="68"/>
      <c r="M336" s="62">
        <f t="shared" ref="M336:M339" si="126">+K336</f>
        <v>1794.9995111364897</v>
      </c>
      <c r="N336" s="68"/>
      <c r="O336" s="63"/>
      <c r="P336" s="68"/>
      <c r="Q336" s="63">
        <f>+G336</f>
        <v>277.00609739760642</v>
      </c>
      <c r="R336" s="68"/>
      <c r="S336" s="75">
        <v>3.8170000000000002</v>
      </c>
      <c r="T336" s="68"/>
      <c r="U336" s="72">
        <f>+Q336*S336</f>
        <v>1057.3322737666638</v>
      </c>
      <c r="V336" s="73"/>
    </row>
    <row r="337" spans="2:22">
      <c r="B337" s="67" t="s">
        <v>33</v>
      </c>
      <c r="C337" s="83"/>
      <c r="D337" s="68"/>
      <c r="E337" s="83"/>
      <c r="F337" s="60"/>
      <c r="G337" s="59">
        <v>524.85544768068382</v>
      </c>
      <c r="H337" s="60"/>
      <c r="I337" s="70">
        <v>5.91</v>
      </c>
      <c r="J337" s="60"/>
      <c r="K337" s="63">
        <f t="shared" ref="K337:K339" si="127">+G337*I337</f>
        <v>3101.8956957928413</v>
      </c>
      <c r="L337" s="60"/>
      <c r="M337" s="62">
        <f t="shared" si="126"/>
        <v>3101.8956957928413</v>
      </c>
      <c r="N337" s="60"/>
      <c r="O337" s="63"/>
      <c r="P337" s="60"/>
      <c r="Q337" s="63">
        <f t="shared" ref="Q337:Q339" si="128">+G337</f>
        <v>524.85544768068382</v>
      </c>
      <c r="R337" s="60"/>
      <c r="S337" s="75">
        <v>3.8170000000000002</v>
      </c>
      <c r="T337" s="60"/>
      <c r="U337" s="72">
        <f t="shared" ref="U337:U339" si="129">+Q337*S337</f>
        <v>2003.3732437971703</v>
      </c>
      <c r="V337" s="73"/>
    </row>
    <row r="338" spans="2:22">
      <c r="B338" s="67" t="s">
        <v>34</v>
      </c>
      <c r="C338" s="83"/>
      <c r="D338" s="68"/>
      <c r="E338" s="83"/>
      <c r="F338" s="60"/>
      <c r="G338" s="59">
        <v>723.07465645730804</v>
      </c>
      <c r="H338" s="60"/>
      <c r="I338" s="70">
        <v>5.24</v>
      </c>
      <c r="J338" s="60"/>
      <c r="K338" s="63">
        <f t="shared" si="127"/>
        <v>3788.9111998362941</v>
      </c>
      <c r="L338" s="60"/>
      <c r="M338" s="62">
        <f t="shared" si="126"/>
        <v>3788.9111998362941</v>
      </c>
      <c r="N338" s="60"/>
      <c r="O338" s="63"/>
      <c r="P338" s="60"/>
      <c r="Q338" s="63">
        <f t="shared" si="128"/>
        <v>723.07465645730804</v>
      </c>
      <c r="R338" s="60"/>
      <c r="S338" s="75">
        <v>3.8170000000000002</v>
      </c>
      <c r="T338" s="60"/>
      <c r="U338" s="72">
        <f t="shared" si="129"/>
        <v>2759.975963697545</v>
      </c>
      <c r="V338" s="73"/>
    </row>
    <row r="339" spans="2:22">
      <c r="B339" s="67" t="s">
        <v>35</v>
      </c>
      <c r="C339" s="83"/>
      <c r="D339" s="68"/>
      <c r="E339" s="83"/>
      <c r="F339" s="60"/>
      <c r="G339" s="59">
        <v>320.98322451361997</v>
      </c>
      <c r="H339" s="60"/>
      <c r="I339" s="70">
        <v>4.58</v>
      </c>
      <c r="J339" s="60"/>
      <c r="K339" s="63">
        <f t="shared" si="127"/>
        <v>1470.1031682723794</v>
      </c>
      <c r="L339" s="60"/>
      <c r="M339" s="62">
        <f t="shared" si="126"/>
        <v>1470.1031682723794</v>
      </c>
      <c r="N339" s="60"/>
      <c r="O339" s="63"/>
      <c r="P339" s="60"/>
      <c r="Q339" s="63">
        <f t="shared" si="128"/>
        <v>320.98322451361997</v>
      </c>
      <c r="R339" s="60"/>
      <c r="S339" s="75">
        <v>3.8170000000000002</v>
      </c>
      <c r="T339" s="60"/>
      <c r="U339" s="72">
        <f t="shared" si="129"/>
        <v>1225.1929679684874</v>
      </c>
      <c r="V339" s="73"/>
    </row>
    <row r="340" spans="2:22" ht="13.5" thickBot="1">
      <c r="B340" s="119" t="s">
        <v>70</v>
      </c>
      <c r="C340" s="90">
        <f>SUM(C334:C339)</f>
        <v>2177.0196292205974</v>
      </c>
      <c r="D340" s="80"/>
      <c r="E340" s="90">
        <f>SUM(E334:E339)</f>
        <v>35</v>
      </c>
      <c r="F340" s="80"/>
      <c r="G340" s="90">
        <f>SUM(G334:G339)</f>
        <v>1845.9194260492181</v>
      </c>
      <c r="H340" s="60"/>
      <c r="I340" s="50"/>
      <c r="J340" s="60"/>
      <c r="K340" s="91">
        <f>SUM(K335:K339)</f>
        <v>13089.259575038004</v>
      </c>
      <c r="L340" s="60"/>
      <c r="M340" s="91">
        <f>SUM(M335:M339)</f>
        <v>13089.259575038004</v>
      </c>
      <c r="N340" s="60"/>
      <c r="O340" s="90">
        <f>SUM(O334:O339)</f>
        <v>35</v>
      </c>
      <c r="P340" s="60"/>
      <c r="Q340" s="90">
        <f>SUM(Q334:Q339)</f>
        <v>1845.9194260492181</v>
      </c>
      <c r="R340" s="60"/>
      <c r="S340" s="71"/>
      <c r="T340" s="60"/>
      <c r="U340" s="91">
        <f>SUM(U335:U339)</f>
        <v>9895.2244492298669</v>
      </c>
      <c r="V340" s="82"/>
    </row>
    <row r="341" spans="2:22" ht="13.5" thickTop="1">
      <c r="B341" s="119"/>
      <c r="C341" s="83"/>
      <c r="D341" s="68"/>
      <c r="E341" s="83"/>
      <c r="F341" s="60"/>
      <c r="G341" s="59"/>
      <c r="H341" s="60"/>
      <c r="I341" s="61"/>
      <c r="J341" s="60"/>
      <c r="K341" s="62"/>
      <c r="L341" s="60"/>
      <c r="M341" s="62"/>
      <c r="N341" s="60"/>
      <c r="O341" s="63"/>
      <c r="P341" s="60"/>
      <c r="Q341" s="63"/>
      <c r="R341" s="60"/>
      <c r="S341" s="64"/>
      <c r="T341" s="60"/>
      <c r="U341" s="84"/>
      <c r="V341" s="85"/>
    </row>
    <row r="342" spans="2:22" ht="13.5" thickBot="1">
      <c r="B342" s="120" t="s">
        <v>71</v>
      </c>
      <c r="C342" s="83"/>
      <c r="D342" s="68"/>
      <c r="E342" s="83"/>
      <c r="F342" s="60"/>
      <c r="G342" s="59"/>
      <c r="H342" s="60"/>
      <c r="I342" s="61"/>
      <c r="J342" s="60"/>
      <c r="K342" s="62"/>
      <c r="L342" s="60"/>
      <c r="M342" s="87">
        <f>+M340/$E340</f>
        <v>373.97884500108586</v>
      </c>
      <c r="N342" s="60"/>
      <c r="O342" s="63"/>
      <c r="P342" s="60"/>
      <c r="Q342" s="63"/>
      <c r="R342" s="60"/>
      <c r="S342" s="64"/>
      <c r="T342" s="60"/>
      <c r="U342" s="87">
        <f>+U340/$E340</f>
        <v>282.72069854942475</v>
      </c>
      <c r="V342" s="88"/>
    </row>
    <row r="343" spans="2:22" ht="13.5" thickTop="1">
      <c r="B343" s="58" t="s">
        <v>147</v>
      </c>
      <c r="C343" s="59">
        <v>0</v>
      </c>
      <c r="D343" s="60"/>
      <c r="E343" s="59"/>
      <c r="F343" s="60"/>
      <c r="G343" s="59"/>
      <c r="H343" s="80"/>
      <c r="I343" s="121"/>
      <c r="J343" s="80"/>
      <c r="K343" s="114"/>
      <c r="L343" s="80"/>
      <c r="M343" s="62"/>
      <c r="N343" s="80"/>
      <c r="O343" s="63"/>
      <c r="P343" s="80"/>
      <c r="Q343" s="63"/>
      <c r="R343" s="80"/>
      <c r="S343" s="64"/>
      <c r="T343" s="80"/>
      <c r="U343" s="72"/>
      <c r="V343" s="73"/>
    </row>
    <row r="344" spans="2:22">
      <c r="B344" s="67" t="s">
        <v>76</v>
      </c>
      <c r="C344" s="59"/>
      <c r="D344" s="60"/>
      <c r="E344" s="59">
        <v>0</v>
      </c>
      <c r="F344" s="60"/>
      <c r="G344" s="59"/>
      <c r="H344" s="68"/>
      <c r="I344" s="124">
        <v>0</v>
      </c>
      <c r="J344" s="68"/>
      <c r="K344" s="62">
        <v>0</v>
      </c>
      <c r="L344" s="68"/>
      <c r="M344" s="62">
        <f>+K344</f>
        <v>0</v>
      </c>
      <c r="N344" s="68"/>
      <c r="O344" s="63">
        <f>+E344</f>
        <v>0</v>
      </c>
      <c r="P344" s="68"/>
      <c r="Q344" s="63"/>
      <c r="R344" s="68"/>
      <c r="S344" s="71">
        <v>130.83000000000001</v>
      </c>
      <c r="T344" s="68"/>
      <c r="U344" s="72">
        <f>+O344*S344</f>
        <v>0</v>
      </c>
      <c r="V344" s="73"/>
    </row>
    <row r="345" spans="2:22">
      <c r="B345" s="67" t="s">
        <v>77</v>
      </c>
      <c r="C345" s="83"/>
      <c r="D345" s="68"/>
      <c r="E345" s="83"/>
      <c r="F345" s="60"/>
      <c r="G345" s="59">
        <v>0</v>
      </c>
      <c r="H345" s="68"/>
      <c r="I345" s="125">
        <v>0</v>
      </c>
      <c r="J345" s="68"/>
      <c r="K345" s="63">
        <v>0</v>
      </c>
      <c r="L345" s="68"/>
      <c r="M345" s="62">
        <f t="shared" ref="M345:M348" si="130">+K345</f>
        <v>0</v>
      </c>
      <c r="N345" s="68"/>
      <c r="O345" s="63"/>
      <c r="P345" s="68"/>
      <c r="Q345" s="63">
        <f>+G345</f>
        <v>0</v>
      </c>
      <c r="R345" s="68"/>
      <c r="S345" s="75">
        <v>3.8170000000000002</v>
      </c>
      <c r="T345" s="68"/>
      <c r="U345" s="72">
        <f>+Q345*S345</f>
        <v>0</v>
      </c>
      <c r="V345" s="73"/>
    </row>
    <row r="346" spans="2:22">
      <c r="B346" s="67" t="s">
        <v>33</v>
      </c>
      <c r="C346" s="83"/>
      <c r="D346" s="68"/>
      <c r="E346" s="83"/>
      <c r="F346" s="60"/>
      <c r="G346" s="59">
        <v>0</v>
      </c>
      <c r="H346" s="60"/>
      <c r="I346" s="125">
        <v>0</v>
      </c>
      <c r="J346" s="60"/>
      <c r="K346" s="63">
        <v>0</v>
      </c>
      <c r="L346" s="60"/>
      <c r="M346" s="62">
        <f t="shared" si="130"/>
        <v>0</v>
      </c>
      <c r="N346" s="60"/>
      <c r="O346" s="63"/>
      <c r="P346" s="60"/>
      <c r="Q346" s="63">
        <f t="shared" ref="Q346:Q348" si="131">+G346</f>
        <v>0</v>
      </c>
      <c r="R346" s="60"/>
      <c r="S346" s="75">
        <v>3.8170000000000002</v>
      </c>
      <c r="T346" s="60"/>
      <c r="U346" s="72">
        <f t="shared" ref="U346:U348" si="132">+Q346*S346</f>
        <v>0</v>
      </c>
      <c r="V346" s="73"/>
    </row>
    <row r="347" spans="2:22">
      <c r="B347" s="67" t="s">
        <v>34</v>
      </c>
      <c r="C347" s="83"/>
      <c r="D347" s="68"/>
      <c r="E347" s="83"/>
      <c r="F347" s="60"/>
      <c r="G347" s="59">
        <v>0</v>
      </c>
      <c r="H347" s="60"/>
      <c r="I347" s="125">
        <v>0</v>
      </c>
      <c r="J347" s="60"/>
      <c r="K347" s="63">
        <f t="shared" ref="K347:K348" si="133">+G347*I347</f>
        <v>0</v>
      </c>
      <c r="L347" s="60"/>
      <c r="M347" s="62">
        <f t="shared" si="130"/>
        <v>0</v>
      </c>
      <c r="N347" s="60"/>
      <c r="O347" s="63"/>
      <c r="P347" s="60"/>
      <c r="Q347" s="63">
        <f t="shared" si="131"/>
        <v>0</v>
      </c>
      <c r="R347" s="60"/>
      <c r="S347" s="75">
        <v>3.8170000000000002</v>
      </c>
      <c r="T347" s="60"/>
      <c r="U347" s="72">
        <f t="shared" si="132"/>
        <v>0</v>
      </c>
      <c r="V347" s="73"/>
    </row>
    <row r="348" spans="2:22">
      <c r="B348" s="67" t="s">
        <v>35</v>
      </c>
      <c r="C348" s="83"/>
      <c r="D348" s="68"/>
      <c r="E348" s="83"/>
      <c r="F348" s="60"/>
      <c r="G348" s="59">
        <v>0</v>
      </c>
      <c r="H348" s="60"/>
      <c r="I348" s="125">
        <v>0</v>
      </c>
      <c r="J348" s="60"/>
      <c r="K348" s="63">
        <f t="shared" si="133"/>
        <v>0</v>
      </c>
      <c r="L348" s="60"/>
      <c r="M348" s="62">
        <f t="shared" si="130"/>
        <v>0</v>
      </c>
      <c r="N348" s="60"/>
      <c r="O348" s="63"/>
      <c r="P348" s="60"/>
      <c r="Q348" s="63">
        <f t="shared" si="131"/>
        <v>0</v>
      </c>
      <c r="R348" s="60"/>
      <c r="S348" s="75">
        <v>3.8170000000000002</v>
      </c>
      <c r="T348" s="60"/>
      <c r="U348" s="72">
        <f t="shared" si="132"/>
        <v>0</v>
      </c>
      <c r="V348" s="73"/>
    </row>
    <row r="349" spans="2:22" ht="13.5" thickBot="1">
      <c r="B349" s="78" t="s">
        <v>148</v>
      </c>
      <c r="C349" s="90">
        <f>SUM(C343:C348)</f>
        <v>0</v>
      </c>
      <c r="D349" s="80"/>
      <c r="E349" s="90">
        <f>SUM(E343:E348)</f>
        <v>0</v>
      </c>
      <c r="F349" s="80"/>
      <c r="G349" s="90">
        <f>SUM(G343:G348)</f>
        <v>0</v>
      </c>
      <c r="H349" s="60"/>
      <c r="I349" s="50"/>
      <c r="J349" s="60"/>
      <c r="K349" s="91">
        <f>SUM(K344:K348)</f>
        <v>0</v>
      </c>
      <c r="L349" s="60"/>
      <c r="M349" s="91">
        <f>SUM(M344:M348)</f>
        <v>0</v>
      </c>
      <c r="N349" s="60"/>
      <c r="O349" s="90">
        <f>SUM(O343:O348)</f>
        <v>0</v>
      </c>
      <c r="P349" s="60"/>
      <c r="Q349" s="90">
        <f>SUM(Q343:Q348)</f>
        <v>0</v>
      </c>
      <c r="R349" s="60"/>
      <c r="S349" s="71"/>
      <c r="T349" s="60"/>
      <c r="U349" s="91">
        <f>SUM(U344:U348)</f>
        <v>0</v>
      </c>
      <c r="V349" s="82"/>
    </row>
    <row r="350" spans="2:22" ht="13.5" thickTop="1">
      <c r="B350" s="78"/>
      <c r="C350" s="83"/>
      <c r="D350" s="68"/>
      <c r="E350" s="83"/>
      <c r="F350" s="60"/>
      <c r="G350" s="59"/>
      <c r="H350" s="60"/>
      <c r="I350" s="61"/>
      <c r="J350" s="60"/>
      <c r="K350" s="62"/>
      <c r="L350" s="60"/>
      <c r="M350" s="62"/>
      <c r="N350" s="60"/>
      <c r="O350" s="63"/>
      <c r="P350" s="60"/>
      <c r="Q350" s="63"/>
      <c r="R350" s="60"/>
      <c r="S350" s="64"/>
      <c r="T350" s="60"/>
      <c r="U350" s="84"/>
      <c r="V350" s="85"/>
    </row>
    <row r="351" spans="2:22" ht="13.5" thickBot="1">
      <c r="B351" s="86" t="s">
        <v>149</v>
      </c>
      <c r="C351" s="83"/>
      <c r="D351" s="68"/>
      <c r="E351" s="83"/>
      <c r="F351" s="60"/>
      <c r="G351" s="59"/>
      <c r="H351" s="60"/>
      <c r="I351" s="61"/>
      <c r="J351" s="60"/>
      <c r="K351" s="62"/>
      <c r="L351" s="60"/>
      <c r="M351" s="87">
        <f>IFERROR(+M349/$E349,0)</f>
        <v>0</v>
      </c>
      <c r="N351" s="60"/>
      <c r="O351" s="63"/>
      <c r="P351" s="60"/>
      <c r="Q351" s="63"/>
      <c r="R351" s="60"/>
      <c r="S351" s="64"/>
      <c r="T351" s="60"/>
      <c r="U351" s="87">
        <f>IFERROR(+U349/$E349,0)</f>
        <v>0</v>
      </c>
      <c r="V351" s="88"/>
    </row>
    <row r="352" spans="2:22" ht="13.5" thickTop="1">
      <c r="B352" s="58" t="s">
        <v>75</v>
      </c>
      <c r="C352" s="59">
        <v>1613.8916221152615</v>
      </c>
      <c r="D352" s="60"/>
      <c r="E352" s="59"/>
      <c r="F352" s="60"/>
      <c r="G352" s="59"/>
      <c r="H352" s="80"/>
      <c r="I352" s="61"/>
      <c r="J352" s="80"/>
      <c r="K352" s="62"/>
      <c r="L352" s="80"/>
      <c r="M352" s="62"/>
      <c r="N352" s="80"/>
      <c r="O352" s="63"/>
      <c r="P352" s="80"/>
      <c r="Q352" s="63"/>
      <c r="R352" s="80"/>
      <c r="S352" s="64"/>
      <c r="T352" s="80"/>
      <c r="U352" s="72"/>
      <c r="V352" s="73"/>
    </row>
    <row r="353" spans="2:22">
      <c r="B353" s="67" t="s">
        <v>76</v>
      </c>
      <c r="C353" s="59"/>
      <c r="D353" s="60"/>
      <c r="E353" s="59">
        <v>12</v>
      </c>
      <c r="F353" s="60"/>
      <c r="G353" s="59"/>
      <c r="H353" s="68"/>
      <c r="I353" s="70">
        <v>125.3</v>
      </c>
      <c r="J353" s="68"/>
      <c r="K353" s="62">
        <f>+E353*I353</f>
        <v>1503.6</v>
      </c>
      <c r="L353" s="68"/>
      <c r="M353" s="62">
        <f>+K353</f>
        <v>1503.6</v>
      </c>
      <c r="N353" s="68"/>
      <c r="O353" s="63">
        <f>+E353</f>
        <v>12</v>
      </c>
      <c r="P353" s="68"/>
      <c r="Q353" s="63"/>
      <c r="R353" s="68"/>
      <c r="S353" s="71">
        <v>130.83000000000001</v>
      </c>
      <c r="T353" s="68"/>
      <c r="U353" s="72">
        <f>+O353*S353</f>
        <v>1569.96</v>
      </c>
      <c r="V353" s="73"/>
    </row>
    <row r="354" spans="2:22">
      <c r="B354" s="67" t="s">
        <v>77</v>
      </c>
      <c r="C354" s="83"/>
      <c r="D354" s="68"/>
      <c r="E354" s="83"/>
      <c r="F354" s="60"/>
      <c r="G354" s="59">
        <v>43.2</v>
      </c>
      <c r="H354" s="68"/>
      <c r="I354" s="70">
        <v>6.48</v>
      </c>
      <c r="J354" s="68"/>
      <c r="K354" s="63">
        <f>+G354*I354</f>
        <v>279.93600000000004</v>
      </c>
      <c r="L354" s="68"/>
      <c r="M354" s="62">
        <f t="shared" ref="M354:M357" si="134">+K354</f>
        <v>279.93600000000004</v>
      </c>
      <c r="N354" s="68"/>
      <c r="O354" s="63"/>
      <c r="P354" s="68"/>
      <c r="Q354" s="63">
        <f>+G354</f>
        <v>43.2</v>
      </c>
      <c r="R354" s="68"/>
      <c r="S354" s="75">
        <v>3.8170000000000002</v>
      </c>
      <c r="T354" s="68"/>
      <c r="U354" s="72">
        <f>+Q354*S354</f>
        <v>164.89440000000002</v>
      </c>
      <c r="V354" s="73"/>
    </row>
    <row r="355" spans="2:22">
      <c r="B355" s="67" t="s">
        <v>33</v>
      </c>
      <c r="C355" s="83"/>
      <c r="D355" s="68"/>
      <c r="E355" s="83"/>
      <c r="F355" s="60"/>
      <c r="G355" s="59">
        <v>300</v>
      </c>
      <c r="H355" s="60"/>
      <c r="I355" s="70">
        <v>5.91</v>
      </c>
      <c r="J355" s="60"/>
      <c r="K355" s="63">
        <f t="shared" ref="K355:K357" si="135">+G355*I355</f>
        <v>1773</v>
      </c>
      <c r="L355" s="60"/>
      <c r="M355" s="62">
        <f t="shared" si="134"/>
        <v>1773</v>
      </c>
      <c r="N355" s="60"/>
      <c r="O355" s="63"/>
      <c r="P355" s="60"/>
      <c r="Q355" s="63">
        <f t="shared" ref="Q355:Q357" si="136">+G355</f>
        <v>300</v>
      </c>
      <c r="R355" s="60"/>
      <c r="S355" s="75">
        <v>3.8170000000000002</v>
      </c>
      <c r="T355" s="60"/>
      <c r="U355" s="72">
        <f t="shared" ref="U355:U357" si="137">+Q355*S355</f>
        <v>1145.1000000000001</v>
      </c>
      <c r="V355" s="73"/>
    </row>
    <row r="356" spans="2:22">
      <c r="B356" s="67" t="s">
        <v>34</v>
      </c>
      <c r="C356" s="83"/>
      <c r="D356" s="68"/>
      <c r="E356" s="83"/>
      <c r="F356" s="60"/>
      <c r="G356" s="59">
        <v>600</v>
      </c>
      <c r="H356" s="60"/>
      <c r="I356" s="70">
        <v>5.24</v>
      </c>
      <c r="J356" s="60"/>
      <c r="K356" s="63">
        <f t="shared" si="135"/>
        <v>3144</v>
      </c>
      <c r="L356" s="60"/>
      <c r="M356" s="62">
        <f t="shared" si="134"/>
        <v>3144</v>
      </c>
      <c r="N356" s="60"/>
      <c r="O356" s="63"/>
      <c r="P356" s="60"/>
      <c r="Q356" s="63">
        <f t="shared" si="136"/>
        <v>600</v>
      </c>
      <c r="R356" s="60"/>
      <c r="S356" s="75">
        <v>3.8170000000000002</v>
      </c>
      <c r="T356" s="60"/>
      <c r="U356" s="72">
        <f t="shared" si="137"/>
        <v>2290.2000000000003</v>
      </c>
      <c r="V356" s="73"/>
    </row>
    <row r="357" spans="2:22">
      <c r="B357" s="67" t="s">
        <v>35</v>
      </c>
      <c r="C357" s="83"/>
      <c r="D357" s="68"/>
      <c r="E357" s="83"/>
      <c r="F357" s="60"/>
      <c r="G357" s="59">
        <v>413.89162211526161</v>
      </c>
      <c r="H357" s="60"/>
      <c r="I357" s="70">
        <v>4.58</v>
      </c>
      <c r="J357" s="60"/>
      <c r="K357" s="63">
        <f t="shared" si="135"/>
        <v>1895.6236292878982</v>
      </c>
      <c r="L357" s="60"/>
      <c r="M357" s="62">
        <f t="shared" si="134"/>
        <v>1895.6236292878982</v>
      </c>
      <c r="N357" s="60"/>
      <c r="O357" s="63"/>
      <c r="P357" s="60"/>
      <c r="Q357" s="63">
        <f t="shared" si="136"/>
        <v>413.89162211526161</v>
      </c>
      <c r="R357" s="60"/>
      <c r="S357" s="75">
        <v>3.8170000000000002</v>
      </c>
      <c r="T357" s="60"/>
      <c r="U357" s="72">
        <f t="shared" si="137"/>
        <v>1579.8243216139535</v>
      </c>
      <c r="V357" s="73"/>
    </row>
    <row r="358" spans="2:22" ht="13.5" thickBot="1">
      <c r="B358" s="119" t="s">
        <v>78</v>
      </c>
      <c r="C358" s="90">
        <f>SUM(C352:C357)</f>
        <v>1613.8916221152615</v>
      </c>
      <c r="D358" s="80"/>
      <c r="E358" s="90">
        <f>SUM(E352:E357)</f>
        <v>12</v>
      </c>
      <c r="F358" s="80"/>
      <c r="G358" s="90">
        <f>SUM(G352:G357)</f>
        <v>1357.0916221152615</v>
      </c>
      <c r="H358" s="60"/>
      <c r="I358" s="50"/>
      <c r="J358" s="60"/>
      <c r="K358" s="91">
        <f>SUM(K353:K357)</f>
        <v>8596.1596292878985</v>
      </c>
      <c r="L358" s="60"/>
      <c r="M358" s="91">
        <f>SUM(M353:M357)</f>
        <v>8596.1596292878985</v>
      </c>
      <c r="N358" s="60"/>
      <c r="O358" s="90">
        <f>SUM(O352:O357)</f>
        <v>12</v>
      </c>
      <c r="P358" s="60"/>
      <c r="Q358" s="90">
        <f>SUM(Q352:R357)</f>
        <v>1357.0916221152615</v>
      </c>
      <c r="R358" s="60"/>
      <c r="S358" s="71"/>
      <c r="T358" s="60"/>
      <c r="U358" s="91">
        <f>SUM(U353:U357)</f>
        <v>6749.9787216139548</v>
      </c>
      <c r="V358" s="82"/>
    </row>
    <row r="359" spans="2:22" ht="13.5" thickTop="1">
      <c r="B359" s="119"/>
      <c r="C359" s="83"/>
      <c r="D359" s="68"/>
      <c r="E359" s="83"/>
      <c r="F359" s="60"/>
      <c r="G359" s="59"/>
      <c r="H359" s="60"/>
      <c r="I359" s="61"/>
      <c r="J359" s="60"/>
      <c r="K359" s="62"/>
      <c r="L359" s="60"/>
      <c r="M359" s="62"/>
      <c r="N359" s="60"/>
      <c r="O359" s="63"/>
      <c r="P359" s="60"/>
      <c r="Q359" s="63"/>
      <c r="R359" s="60"/>
      <c r="S359" s="64"/>
      <c r="T359" s="60"/>
      <c r="U359" s="84"/>
      <c r="V359" s="85"/>
    </row>
    <row r="360" spans="2:22" ht="13.5" thickBot="1">
      <c r="B360" s="120" t="s">
        <v>79</v>
      </c>
      <c r="C360" s="83"/>
      <c r="D360" s="68"/>
      <c r="E360" s="83"/>
      <c r="F360" s="60"/>
      <c r="G360" s="59"/>
      <c r="H360" s="60"/>
      <c r="I360" s="61"/>
      <c r="J360" s="60"/>
      <c r="K360" s="62"/>
      <c r="L360" s="60"/>
      <c r="M360" s="87">
        <f>+M358/$E358</f>
        <v>716.34663577399158</v>
      </c>
      <c r="N360" s="60"/>
      <c r="O360" s="63"/>
      <c r="P360" s="60"/>
      <c r="Q360" s="63"/>
      <c r="R360" s="60"/>
      <c r="S360" s="64"/>
      <c r="T360" s="60"/>
      <c r="U360" s="87">
        <f>+U358/$E358</f>
        <v>562.4982268011629</v>
      </c>
      <c r="V360" s="88"/>
    </row>
    <row r="361" spans="2:22" ht="13.5" thickTop="1">
      <c r="B361" s="58" t="s">
        <v>150</v>
      </c>
      <c r="C361" s="59">
        <v>1175.7286235025681</v>
      </c>
      <c r="D361" s="60"/>
      <c r="E361" s="59"/>
      <c r="F361" s="60"/>
      <c r="G361" s="59"/>
      <c r="H361" s="80"/>
      <c r="I361" s="61"/>
      <c r="J361" s="80"/>
      <c r="K361" s="62"/>
      <c r="L361" s="80"/>
      <c r="M361" s="62"/>
      <c r="N361" s="80"/>
      <c r="O361" s="63"/>
      <c r="P361" s="80"/>
      <c r="Q361" s="63"/>
      <c r="R361" s="80"/>
      <c r="S361" s="64"/>
      <c r="T361" s="80"/>
      <c r="U361" s="72"/>
      <c r="V361" s="73"/>
    </row>
    <row r="362" spans="2:22">
      <c r="B362" s="67" t="s">
        <v>76</v>
      </c>
      <c r="C362" s="59"/>
      <c r="D362" s="60"/>
      <c r="E362" s="59">
        <v>36</v>
      </c>
      <c r="F362" s="60"/>
      <c r="G362" s="59"/>
      <c r="H362" s="68"/>
      <c r="I362" s="70">
        <v>125.3</v>
      </c>
      <c r="J362" s="68"/>
      <c r="K362" s="62">
        <f>+E362*I362</f>
        <v>4510.8</v>
      </c>
      <c r="L362" s="68"/>
      <c r="M362" s="62">
        <f>+K362</f>
        <v>4510.8</v>
      </c>
      <c r="N362" s="68"/>
      <c r="O362" s="63">
        <f>+E362</f>
        <v>36</v>
      </c>
      <c r="P362" s="68"/>
      <c r="Q362" s="63"/>
      <c r="R362" s="68"/>
      <c r="S362" s="71">
        <v>130.83000000000001</v>
      </c>
      <c r="T362" s="68"/>
      <c r="U362" s="72">
        <f>+O362*S362</f>
        <v>4709.88</v>
      </c>
      <c r="V362" s="73"/>
    </row>
    <row r="363" spans="2:22">
      <c r="B363" s="67" t="s">
        <v>77</v>
      </c>
      <c r="C363" s="83"/>
      <c r="D363" s="68"/>
      <c r="E363" s="83"/>
      <c r="F363" s="60"/>
      <c r="G363" s="59">
        <v>43.2</v>
      </c>
      <c r="H363" s="68"/>
      <c r="I363" s="70">
        <v>6.48</v>
      </c>
      <c r="J363" s="68"/>
      <c r="K363" s="63">
        <f>+G363*I363</f>
        <v>279.93600000000004</v>
      </c>
      <c r="L363" s="68"/>
      <c r="M363" s="62">
        <f t="shared" ref="M363:M366" si="138">+K363</f>
        <v>279.93600000000004</v>
      </c>
      <c r="N363" s="68"/>
      <c r="O363" s="63"/>
      <c r="P363" s="68"/>
      <c r="Q363" s="63">
        <f>+G363</f>
        <v>43.2</v>
      </c>
      <c r="R363" s="68"/>
      <c r="S363" s="75">
        <v>3.8170000000000002</v>
      </c>
      <c r="T363" s="68"/>
      <c r="U363" s="72">
        <f>+Q363*S363</f>
        <v>164.89440000000002</v>
      </c>
      <c r="V363" s="73"/>
    </row>
    <row r="364" spans="2:22">
      <c r="B364" s="67" t="s">
        <v>33</v>
      </c>
      <c r="C364" s="83"/>
      <c r="D364" s="68"/>
      <c r="E364" s="83"/>
      <c r="F364" s="60"/>
      <c r="G364" s="59">
        <v>292.2141816669116</v>
      </c>
      <c r="H364" s="60"/>
      <c r="I364" s="70">
        <v>5.91</v>
      </c>
      <c r="J364" s="60"/>
      <c r="K364" s="63">
        <f t="shared" ref="K364:K366" si="139">+G364*I364</f>
        <v>1726.9858136514476</v>
      </c>
      <c r="L364" s="60"/>
      <c r="M364" s="62">
        <f t="shared" si="138"/>
        <v>1726.9858136514476</v>
      </c>
      <c r="N364" s="60"/>
      <c r="O364" s="63"/>
      <c r="P364" s="60"/>
      <c r="Q364" s="63">
        <f t="shared" ref="Q364:Q366" si="140">+G364</f>
        <v>292.2141816669116</v>
      </c>
      <c r="R364" s="60"/>
      <c r="S364" s="75">
        <v>3.8170000000000002</v>
      </c>
      <c r="T364" s="60"/>
      <c r="U364" s="72">
        <f t="shared" ref="U364:U366" si="141">+Q364*S364</f>
        <v>1115.3815314226017</v>
      </c>
      <c r="V364" s="73"/>
    </row>
    <row r="365" spans="2:22">
      <c r="B365" s="67" t="s">
        <v>34</v>
      </c>
      <c r="C365" s="83"/>
      <c r="D365" s="68"/>
      <c r="E365" s="83"/>
      <c r="F365" s="60"/>
      <c r="G365" s="59">
        <v>418.37015603075298</v>
      </c>
      <c r="H365" s="60"/>
      <c r="I365" s="70">
        <v>5.24</v>
      </c>
      <c r="J365" s="60"/>
      <c r="K365" s="63">
        <f t="shared" si="139"/>
        <v>2192.2596176011457</v>
      </c>
      <c r="L365" s="60"/>
      <c r="M365" s="62">
        <f t="shared" si="138"/>
        <v>2192.2596176011457</v>
      </c>
      <c r="N365" s="60"/>
      <c r="O365" s="63"/>
      <c r="P365" s="60"/>
      <c r="Q365" s="63">
        <f t="shared" si="140"/>
        <v>418.37015603075298</v>
      </c>
      <c r="R365" s="60"/>
      <c r="S365" s="75">
        <v>3.8170000000000002</v>
      </c>
      <c r="T365" s="60"/>
      <c r="U365" s="72">
        <f t="shared" si="141"/>
        <v>1596.9188855693842</v>
      </c>
      <c r="V365" s="73"/>
    </row>
    <row r="366" spans="2:22">
      <c r="B366" s="67" t="s">
        <v>35</v>
      </c>
      <c r="C366" s="83"/>
      <c r="D366" s="68"/>
      <c r="E366" s="83"/>
      <c r="F366" s="60"/>
      <c r="G366" s="59">
        <v>112.05823832586393</v>
      </c>
      <c r="H366" s="60"/>
      <c r="I366" s="70">
        <v>4.58</v>
      </c>
      <c r="J366" s="60"/>
      <c r="K366" s="63">
        <f t="shared" si="139"/>
        <v>513.22673153245682</v>
      </c>
      <c r="L366" s="60"/>
      <c r="M366" s="62">
        <f t="shared" si="138"/>
        <v>513.22673153245682</v>
      </c>
      <c r="N366" s="60"/>
      <c r="O366" s="63"/>
      <c r="P366" s="60"/>
      <c r="Q366" s="63">
        <f t="shared" si="140"/>
        <v>112.05823832586393</v>
      </c>
      <c r="R366" s="60"/>
      <c r="S366" s="75">
        <v>3.8170000000000002</v>
      </c>
      <c r="T366" s="60"/>
      <c r="U366" s="72">
        <f t="shared" si="141"/>
        <v>427.72629568982262</v>
      </c>
      <c r="V366" s="73"/>
    </row>
    <row r="367" spans="2:22" ht="13.5" thickBot="1">
      <c r="B367" s="119" t="s">
        <v>151</v>
      </c>
      <c r="C367" s="90">
        <f>SUM(C361:C366)</f>
        <v>1175.7286235025681</v>
      </c>
      <c r="D367" s="80"/>
      <c r="E367" s="90">
        <f>SUM(E361:E366)</f>
        <v>36</v>
      </c>
      <c r="F367" s="80"/>
      <c r="G367" s="90">
        <f>SUM(G361:G366)</f>
        <v>865.84257602352852</v>
      </c>
      <c r="H367" s="60"/>
      <c r="I367" s="50"/>
      <c r="J367" s="60"/>
      <c r="K367" s="91">
        <f>SUM(K362:K366)</f>
        <v>9223.2081627850494</v>
      </c>
      <c r="L367" s="60"/>
      <c r="M367" s="91">
        <f>SUM(M362:M366)</f>
        <v>9223.2081627850494</v>
      </c>
      <c r="N367" s="60"/>
      <c r="O367" s="90">
        <f>SUM(O361:O366)</f>
        <v>36</v>
      </c>
      <c r="P367" s="60"/>
      <c r="Q367" s="90">
        <f>SUM(Q361:R366)</f>
        <v>865.84257602352852</v>
      </c>
      <c r="R367" s="60"/>
      <c r="S367" s="71"/>
      <c r="T367" s="60"/>
      <c r="U367" s="91">
        <f>SUM(U362:U366)</f>
        <v>8014.8011126818092</v>
      </c>
      <c r="V367" s="82"/>
    </row>
    <row r="368" spans="2:22" ht="13.5" thickTop="1">
      <c r="B368" s="119"/>
      <c r="C368" s="83"/>
      <c r="D368" s="68"/>
      <c r="E368" s="83"/>
      <c r="F368" s="60"/>
      <c r="G368" s="59"/>
      <c r="H368" s="60"/>
      <c r="I368" s="61"/>
      <c r="J368" s="60"/>
      <c r="K368" s="62"/>
      <c r="L368" s="60"/>
      <c r="M368" s="62"/>
      <c r="N368" s="60"/>
      <c r="O368" s="63"/>
      <c r="P368" s="60"/>
      <c r="Q368" s="63"/>
      <c r="R368" s="60"/>
      <c r="S368" s="64"/>
      <c r="T368" s="60"/>
      <c r="U368" s="84"/>
      <c r="V368" s="85"/>
    </row>
    <row r="369" spans="2:22" ht="13.5" thickBot="1">
      <c r="B369" s="123" t="s">
        <v>152</v>
      </c>
      <c r="C369" s="83"/>
      <c r="D369" s="68"/>
      <c r="E369" s="83"/>
      <c r="F369" s="60"/>
      <c r="G369" s="59"/>
      <c r="H369" s="60"/>
      <c r="I369" s="61"/>
      <c r="J369" s="60"/>
      <c r="K369" s="62"/>
      <c r="L369" s="60"/>
      <c r="M369" s="87">
        <f>+M367/$E367</f>
        <v>256.20022674402912</v>
      </c>
      <c r="N369" s="60"/>
      <c r="O369" s="63"/>
      <c r="P369" s="60"/>
      <c r="Q369" s="63"/>
      <c r="R369" s="60"/>
      <c r="S369" s="64"/>
      <c r="T369" s="60"/>
      <c r="U369" s="87">
        <f>+U367/$E367</f>
        <v>222.63336424116136</v>
      </c>
      <c r="V369" s="88"/>
    </row>
    <row r="370" spans="2:22" ht="13.5" thickTop="1">
      <c r="B370" s="58" t="s">
        <v>153</v>
      </c>
      <c r="C370" s="59">
        <v>293.25016181169917</v>
      </c>
      <c r="D370" s="60"/>
      <c r="E370" s="59"/>
      <c r="F370" s="60"/>
      <c r="G370" s="59"/>
      <c r="H370" s="80"/>
      <c r="I370" s="61"/>
      <c r="J370" s="80"/>
      <c r="K370" s="62"/>
      <c r="L370" s="80"/>
      <c r="M370" s="62"/>
      <c r="N370" s="80"/>
      <c r="O370" s="63"/>
      <c r="P370" s="80"/>
      <c r="Q370" s="63"/>
      <c r="R370" s="80"/>
      <c r="S370" s="64"/>
      <c r="T370" s="80"/>
      <c r="U370" s="72"/>
      <c r="V370" s="73"/>
    </row>
    <row r="371" spans="2:22">
      <c r="B371" s="67" t="s">
        <v>76</v>
      </c>
      <c r="C371" s="59"/>
      <c r="D371" s="60"/>
      <c r="E371" s="59">
        <v>12</v>
      </c>
      <c r="F371" s="60"/>
      <c r="G371" s="59"/>
      <c r="H371" s="68"/>
      <c r="I371" s="70">
        <v>125.3</v>
      </c>
      <c r="J371" s="68"/>
      <c r="K371" s="62">
        <f>+E371*I371</f>
        <v>1503.6</v>
      </c>
      <c r="L371" s="68"/>
      <c r="M371" s="62">
        <f>+K371</f>
        <v>1503.6</v>
      </c>
      <c r="N371" s="68"/>
      <c r="O371" s="63">
        <f>+E371</f>
        <v>12</v>
      </c>
      <c r="P371" s="68"/>
      <c r="Q371" s="63"/>
      <c r="R371" s="68"/>
      <c r="S371" s="71">
        <v>130.83000000000001</v>
      </c>
      <c r="T371" s="68"/>
      <c r="U371" s="72">
        <f>+O371*S371</f>
        <v>1569.96</v>
      </c>
      <c r="V371" s="73"/>
    </row>
    <row r="372" spans="2:22">
      <c r="B372" s="67" t="s">
        <v>77</v>
      </c>
      <c r="C372" s="83"/>
      <c r="D372" s="68"/>
      <c r="E372" s="83"/>
      <c r="F372" s="60"/>
      <c r="G372" s="59">
        <v>25.707303235387695</v>
      </c>
      <c r="H372" s="68"/>
      <c r="I372" s="70">
        <v>6.48</v>
      </c>
      <c r="J372" s="68"/>
      <c r="K372" s="63">
        <f>+G372*I372</f>
        <v>166.58332496531227</v>
      </c>
      <c r="L372" s="68"/>
      <c r="M372" s="62">
        <f t="shared" ref="M372:M375" si="142">+K372</f>
        <v>166.58332496531227</v>
      </c>
      <c r="N372" s="68"/>
      <c r="O372" s="63"/>
      <c r="P372" s="68"/>
      <c r="Q372" s="63">
        <f>+G372</f>
        <v>25.707303235387695</v>
      </c>
      <c r="R372" s="68"/>
      <c r="S372" s="75">
        <v>3.8170000000000002</v>
      </c>
      <c r="T372" s="68"/>
      <c r="U372" s="72">
        <f>+Q372*S372</f>
        <v>98.124776449474837</v>
      </c>
      <c r="V372" s="73"/>
    </row>
    <row r="373" spans="2:22">
      <c r="B373" s="67" t="s">
        <v>33</v>
      </c>
      <c r="C373" s="83"/>
      <c r="D373" s="68"/>
      <c r="E373" s="83"/>
      <c r="F373" s="60"/>
      <c r="G373" s="59">
        <v>17.634797633589621</v>
      </c>
      <c r="H373" s="126"/>
      <c r="I373" s="70">
        <v>5.91</v>
      </c>
      <c r="J373" s="126"/>
      <c r="K373" s="63">
        <f t="shared" ref="K373:K375" si="143">+G373*I373</f>
        <v>104.22165401451466</v>
      </c>
      <c r="L373" s="126"/>
      <c r="M373" s="62">
        <f t="shared" si="142"/>
        <v>104.22165401451466</v>
      </c>
      <c r="N373" s="126"/>
      <c r="O373" s="63"/>
      <c r="P373" s="126"/>
      <c r="Q373" s="63">
        <f t="shared" ref="Q373:Q375" si="144">+G373</f>
        <v>17.634797633589621</v>
      </c>
      <c r="R373" s="126"/>
      <c r="S373" s="75">
        <v>3.8170000000000002</v>
      </c>
      <c r="T373" s="126"/>
      <c r="U373" s="72">
        <f t="shared" ref="U373:U375" si="145">+Q373*S373</f>
        <v>67.312022567411589</v>
      </c>
      <c r="V373" s="73"/>
    </row>
    <row r="374" spans="2:22">
      <c r="B374" s="67" t="s">
        <v>34</v>
      </c>
      <c r="C374" s="83"/>
      <c r="D374" s="68"/>
      <c r="E374" s="83"/>
      <c r="F374" s="60"/>
      <c r="G374" s="59">
        <v>0</v>
      </c>
      <c r="H374" s="68"/>
      <c r="I374" s="70">
        <v>5.24</v>
      </c>
      <c r="J374" s="68"/>
      <c r="K374" s="63">
        <f t="shared" si="143"/>
        <v>0</v>
      </c>
      <c r="L374" s="68"/>
      <c r="M374" s="62">
        <f t="shared" si="142"/>
        <v>0</v>
      </c>
      <c r="N374" s="68"/>
      <c r="O374" s="63"/>
      <c r="P374" s="68"/>
      <c r="Q374" s="63">
        <f t="shared" si="144"/>
        <v>0</v>
      </c>
      <c r="R374" s="68"/>
      <c r="S374" s="75">
        <v>3.8170000000000002</v>
      </c>
      <c r="T374" s="68"/>
      <c r="U374" s="72">
        <f t="shared" si="145"/>
        <v>0</v>
      </c>
      <c r="V374" s="73"/>
    </row>
    <row r="375" spans="2:22">
      <c r="B375" s="67" t="s">
        <v>35</v>
      </c>
      <c r="C375" s="83"/>
      <c r="D375" s="68"/>
      <c r="E375" s="83"/>
      <c r="F375" s="60"/>
      <c r="G375" s="59">
        <v>0</v>
      </c>
      <c r="H375" s="68"/>
      <c r="I375" s="70">
        <v>4.58</v>
      </c>
      <c r="J375" s="68"/>
      <c r="K375" s="63">
        <f t="shared" si="143"/>
        <v>0</v>
      </c>
      <c r="L375" s="68"/>
      <c r="M375" s="62">
        <f t="shared" si="142"/>
        <v>0</v>
      </c>
      <c r="N375" s="68"/>
      <c r="O375" s="63"/>
      <c r="P375" s="68"/>
      <c r="Q375" s="63">
        <f t="shared" si="144"/>
        <v>0</v>
      </c>
      <c r="R375" s="68"/>
      <c r="S375" s="75">
        <v>3.8170000000000002</v>
      </c>
      <c r="T375" s="68"/>
      <c r="U375" s="72">
        <f t="shared" si="145"/>
        <v>0</v>
      </c>
      <c r="V375" s="73"/>
    </row>
    <row r="376" spans="2:22" ht="13.5" thickBot="1">
      <c r="B376" s="119" t="s">
        <v>154</v>
      </c>
      <c r="C376" s="90">
        <f>SUM(C370:C375)</f>
        <v>293.25016181169917</v>
      </c>
      <c r="D376" s="80"/>
      <c r="E376" s="90">
        <f>SUM(E370:E375)</f>
        <v>12</v>
      </c>
      <c r="F376" s="80"/>
      <c r="G376" s="90">
        <f>SUM(G370:G375)</f>
        <v>43.342100868977312</v>
      </c>
      <c r="H376" s="68"/>
      <c r="I376" s="50"/>
      <c r="J376" s="68"/>
      <c r="K376" s="91">
        <f>SUM(K371:K375)</f>
        <v>1774.4049789798269</v>
      </c>
      <c r="L376" s="68"/>
      <c r="M376" s="91">
        <f>SUM(M371:M375)</f>
        <v>1774.4049789798269</v>
      </c>
      <c r="N376" s="68"/>
      <c r="O376" s="90">
        <f>SUM(O370:O375)</f>
        <v>12</v>
      </c>
      <c r="P376" s="68"/>
      <c r="Q376" s="90">
        <f>SUM(Q370:R375)</f>
        <v>43.342100868977312</v>
      </c>
      <c r="R376" s="68"/>
      <c r="S376" s="71"/>
      <c r="T376" s="68"/>
      <c r="U376" s="91">
        <f>SUM(U371:U375)</f>
        <v>1735.3967990168865</v>
      </c>
      <c r="V376" s="82"/>
    </row>
    <row r="377" spans="2:22" ht="13.5" thickTop="1">
      <c r="B377" s="119"/>
      <c r="C377" s="83"/>
      <c r="D377" s="68"/>
      <c r="E377" s="83"/>
      <c r="F377" s="60"/>
      <c r="G377" s="59"/>
      <c r="H377" s="68"/>
      <c r="I377" s="61"/>
      <c r="J377" s="68"/>
      <c r="K377" s="62"/>
      <c r="L377" s="68"/>
      <c r="M377" s="62"/>
      <c r="N377" s="68"/>
      <c r="O377" s="63"/>
      <c r="P377" s="68"/>
      <c r="Q377" s="63"/>
      <c r="R377" s="68"/>
      <c r="S377" s="64"/>
      <c r="T377" s="68"/>
      <c r="U377" s="84"/>
      <c r="V377" s="85"/>
    </row>
    <row r="378" spans="2:22" ht="13.5" thickBot="1">
      <c r="B378" s="123" t="s">
        <v>155</v>
      </c>
      <c r="C378" s="83"/>
      <c r="D378" s="68"/>
      <c r="E378" s="83"/>
      <c r="F378" s="60"/>
      <c r="G378" s="59"/>
      <c r="H378" s="126"/>
      <c r="I378" s="61"/>
      <c r="J378" s="126"/>
      <c r="K378" s="62"/>
      <c r="L378" s="126"/>
      <c r="M378" s="87">
        <f>+M376/$E376</f>
        <v>147.86708158165223</v>
      </c>
      <c r="N378" s="126"/>
      <c r="O378" s="63"/>
      <c r="P378" s="126"/>
      <c r="Q378" s="63"/>
      <c r="R378" s="126"/>
      <c r="S378" s="64"/>
      <c r="T378" s="126"/>
      <c r="U378" s="87">
        <f>+U376/$E376</f>
        <v>144.61639991807388</v>
      </c>
      <c r="V378" s="88"/>
    </row>
    <row r="379" spans="2:22" ht="13.5" thickTop="1">
      <c r="B379" s="58" t="s">
        <v>156</v>
      </c>
      <c r="C379" s="59">
        <v>0</v>
      </c>
      <c r="D379" s="68"/>
      <c r="E379" s="59"/>
      <c r="F379" s="68"/>
      <c r="G379" s="59"/>
      <c r="H379" s="68"/>
      <c r="I379" s="61"/>
      <c r="J379" s="68"/>
      <c r="K379" s="62"/>
      <c r="L379" s="68"/>
      <c r="M379" s="62"/>
      <c r="N379" s="68"/>
      <c r="O379" s="63"/>
      <c r="P379" s="68"/>
      <c r="Q379" s="63"/>
      <c r="R379" s="68"/>
      <c r="S379" s="64"/>
      <c r="T379" s="68"/>
      <c r="U379" s="72"/>
      <c r="V379" s="73"/>
    </row>
    <row r="380" spans="2:22">
      <c r="B380" s="67" t="s">
        <v>157</v>
      </c>
      <c r="C380" s="59"/>
      <c r="D380" s="68"/>
      <c r="E380" s="59">
        <v>0</v>
      </c>
      <c r="F380" s="68"/>
      <c r="G380" s="59"/>
      <c r="H380" s="68"/>
      <c r="I380" s="70">
        <v>0</v>
      </c>
      <c r="J380" s="68"/>
      <c r="K380" s="62">
        <f>+E380*I380</f>
        <v>0</v>
      </c>
      <c r="L380" s="68"/>
      <c r="M380" s="62">
        <f>+K380</f>
        <v>0</v>
      </c>
      <c r="N380" s="68"/>
      <c r="O380" s="63">
        <f>+E380</f>
        <v>0</v>
      </c>
      <c r="P380" s="68"/>
      <c r="Q380" s="63"/>
      <c r="R380" s="68"/>
      <c r="S380" s="71">
        <v>822.66</v>
      </c>
      <c r="T380" s="68"/>
      <c r="U380" s="72">
        <f>+O380*S380</f>
        <v>0</v>
      </c>
      <c r="V380" s="73"/>
    </row>
    <row r="381" spans="2:22">
      <c r="B381" s="67" t="s">
        <v>158</v>
      </c>
      <c r="C381" s="83"/>
      <c r="D381" s="68"/>
      <c r="E381" s="83"/>
      <c r="F381" s="68"/>
      <c r="G381" s="59">
        <v>0</v>
      </c>
      <c r="H381" s="68"/>
      <c r="I381" s="70">
        <v>0</v>
      </c>
      <c r="J381" s="68"/>
      <c r="K381" s="63">
        <f>+G381*I381</f>
        <v>0</v>
      </c>
      <c r="L381" s="68"/>
      <c r="M381" s="62">
        <f t="shared" ref="M381" si="146">+K381</f>
        <v>0</v>
      </c>
      <c r="N381" s="68"/>
      <c r="O381" s="63"/>
      <c r="P381" s="68"/>
      <c r="Q381" s="63">
        <f>+G381</f>
        <v>0</v>
      </c>
      <c r="R381" s="68"/>
      <c r="S381" s="75">
        <v>3.8170000000000002</v>
      </c>
      <c r="T381" s="68"/>
      <c r="U381" s="72">
        <f>+Q381*S381</f>
        <v>0</v>
      </c>
      <c r="V381" s="73"/>
    </row>
    <row r="382" spans="2:22" ht="13.5" thickBot="1">
      <c r="B382" s="119" t="s">
        <v>159</v>
      </c>
      <c r="C382" s="90">
        <f>SUM(C379:C381)</f>
        <v>0</v>
      </c>
      <c r="D382" s="68"/>
      <c r="E382" s="90">
        <f>SUM(E379:E381)</f>
        <v>0</v>
      </c>
      <c r="F382" s="68"/>
      <c r="G382" s="90">
        <f>SUM(G379:G381)</f>
        <v>0</v>
      </c>
      <c r="H382" s="68"/>
      <c r="I382" s="50"/>
      <c r="J382" s="68"/>
      <c r="K382" s="91">
        <f>SUM(K380:K381)</f>
        <v>0</v>
      </c>
      <c r="L382" s="68"/>
      <c r="M382" s="91">
        <f>SUM(M380:M381)</f>
        <v>0</v>
      </c>
      <c r="N382" s="68"/>
      <c r="O382" s="90">
        <f>SUM(O379:O381)</f>
        <v>0</v>
      </c>
      <c r="P382" s="68"/>
      <c r="Q382" s="90">
        <f>SUM(Q379:R381)</f>
        <v>0</v>
      </c>
      <c r="R382" s="68"/>
      <c r="S382" s="71"/>
      <c r="T382" s="68"/>
      <c r="U382" s="91">
        <f>SUM(U380:U381)</f>
        <v>0</v>
      </c>
      <c r="V382" s="82"/>
    </row>
    <row r="383" spans="2:22" ht="13.5" thickTop="1">
      <c r="B383" s="119"/>
      <c r="C383" s="83"/>
      <c r="D383" s="68"/>
      <c r="E383" s="83"/>
      <c r="F383" s="68"/>
      <c r="G383" s="59"/>
      <c r="H383" s="68"/>
      <c r="I383" s="61"/>
      <c r="J383" s="68"/>
      <c r="K383" s="62"/>
      <c r="L383" s="68"/>
      <c r="M383" s="62"/>
      <c r="N383" s="68"/>
      <c r="O383" s="63"/>
      <c r="P383" s="68"/>
      <c r="Q383" s="63"/>
      <c r="R383" s="68"/>
      <c r="S383" s="64"/>
      <c r="T383" s="68"/>
      <c r="U383" s="84"/>
      <c r="V383" s="85"/>
    </row>
    <row r="384" spans="2:22" ht="13.5" thickBot="1">
      <c r="B384" s="123" t="s">
        <v>112</v>
      </c>
      <c r="C384" s="83"/>
      <c r="D384" s="68"/>
      <c r="E384" s="83"/>
      <c r="F384" s="68"/>
      <c r="G384" s="59"/>
      <c r="H384" s="68"/>
      <c r="I384" s="61"/>
      <c r="J384" s="68"/>
      <c r="K384" s="62"/>
      <c r="L384" s="68"/>
      <c r="M384" s="87">
        <f>IFERROR(+M382/$E382,0)</f>
        <v>0</v>
      </c>
      <c r="N384" s="68"/>
      <c r="O384" s="63"/>
      <c r="P384" s="68"/>
      <c r="Q384" s="63"/>
      <c r="R384" s="68"/>
      <c r="S384" s="64"/>
      <c r="T384" s="68"/>
      <c r="U384" s="87">
        <f>IFERROR(+U382/$E382,0)</f>
        <v>0</v>
      </c>
      <c r="V384" s="88"/>
    </row>
    <row r="385" spans="2:22" ht="13.5" thickTop="1">
      <c r="B385" s="123"/>
      <c r="C385" s="83"/>
      <c r="D385" s="68"/>
      <c r="E385" s="83"/>
      <c r="F385" s="68"/>
      <c r="G385" s="59"/>
      <c r="H385" s="68"/>
      <c r="I385" s="61"/>
      <c r="J385" s="68"/>
      <c r="K385" s="62"/>
      <c r="L385" s="68"/>
      <c r="M385" s="101"/>
      <c r="N385" s="68"/>
      <c r="O385" s="63"/>
      <c r="P385" s="68"/>
      <c r="Q385" s="63"/>
      <c r="R385" s="68"/>
      <c r="S385" s="64"/>
      <c r="T385" s="68"/>
      <c r="U385" s="101"/>
      <c r="V385" s="88"/>
    </row>
    <row r="386" spans="2:22">
      <c r="B386" s="98" t="s">
        <v>160</v>
      </c>
      <c r="C386" s="83"/>
      <c r="D386" s="68"/>
      <c r="E386" s="83">
        <v>12</v>
      </c>
      <c r="F386" s="68"/>
      <c r="G386" s="59">
        <v>0</v>
      </c>
      <c r="H386" s="68"/>
      <c r="I386" s="70">
        <v>20.73</v>
      </c>
      <c r="J386" s="68"/>
      <c r="K386" s="62">
        <f>E386*I386*V386</f>
        <v>746.28</v>
      </c>
      <c r="L386" s="68"/>
      <c r="M386" s="62">
        <f>+K386</f>
        <v>746.28</v>
      </c>
      <c r="N386" s="68"/>
      <c r="O386" s="63">
        <f>+E386</f>
        <v>12</v>
      </c>
      <c r="P386" s="68"/>
      <c r="Q386" s="63">
        <f>C386</f>
        <v>0</v>
      </c>
      <c r="R386" s="68"/>
      <c r="S386" s="71">
        <f t="shared" ref="S386" si="147">+I386*(1+$X$5)</f>
        <v>25.832786214997412</v>
      </c>
      <c r="T386" s="68"/>
      <c r="U386" s="72">
        <f>+O386*S386*V386</f>
        <v>929.98030373990684</v>
      </c>
      <c r="V386" s="73">
        <v>3</v>
      </c>
    </row>
    <row r="387" spans="2:22" ht="13.5" thickBot="1">
      <c r="B387" s="78" t="s">
        <v>161</v>
      </c>
      <c r="C387" s="90">
        <f>SUM(C386)</f>
        <v>0</v>
      </c>
      <c r="D387" s="68"/>
      <c r="E387" s="90">
        <f>SUM(E386)</f>
        <v>12</v>
      </c>
      <c r="F387" s="68"/>
      <c r="G387" s="90">
        <f>SUM(G386)</f>
        <v>0</v>
      </c>
      <c r="H387" s="68"/>
      <c r="I387" s="61"/>
      <c r="J387" s="68"/>
      <c r="K387" s="81">
        <f>K386</f>
        <v>746.28</v>
      </c>
      <c r="L387" s="68"/>
      <c r="M387" s="81">
        <f>+M386</f>
        <v>746.28</v>
      </c>
      <c r="N387" s="68"/>
      <c r="O387" s="96">
        <f>+O386</f>
        <v>12</v>
      </c>
      <c r="P387" s="68"/>
      <c r="Q387" s="96">
        <f>+Q386</f>
        <v>0</v>
      </c>
      <c r="R387" s="68"/>
      <c r="S387" s="64"/>
      <c r="T387" s="68"/>
      <c r="U387" s="81">
        <f>+U386</f>
        <v>929.98030373990684</v>
      </c>
      <c r="V387" s="82"/>
    </row>
    <row r="388" spans="2:22" ht="13.5" thickTop="1">
      <c r="B388" s="98"/>
      <c r="C388" s="83"/>
      <c r="D388" s="127"/>
      <c r="E388" s="83"/>
      <c r="F388" s="127"/>
      <c r="G388" s="59"/>
      <c r="H388" s="127"/>
      <c r="I388" s="61"/>
      <c r="J388" s="127"/>
      <c r="K388" s="62"/>
      <c r="L388" s="127"/>
      <c r="M388" s="62"/>
      <c r="N388" s="127"/>
      <c r="O388" s="63"/>
      <c r="P388" s="127"/>
      <c r="Q388" s="63"/>
      <c r="R388" s="127"/>
      <c r="S388" s="64"/>
      <c r="T388" s="127"/>
      <c r="U388" s="65"/>
      <c r="V388" s="66"/>
    </row>
    <row r="389" spans="2:22" ht="13.5" thickBot="1">
      <c r="B389" s="86" t="s">
        <v>162</v>
      </c>
      <c r="C389" s="83"/>
      <c r="D389" s="128"/>
      <c r="E389" s="83"/>
      <c r="F389" s="128"/>
      <c r="G389" s="59"/>
      <c r="H389" s="128"/>
      <c r="I389" s="61"/>
      <c r="J389" s="128"/>
      <c r="K389" s="62"/>
      <c r="L389" s="128"/>
      <c r="M389" s="87">
        <f>+M387/$E387</f>
        <v>62.19</v>
      </c>
      <c r="N389" s="128"/>
      <c r="O389" s="63"/>
      <c r="P389" s="128"/>
      <c r="Q389" s="63"/>
      <c r="R389" s="128"/>
      <c r="S389" s="64"/>
      <c r="T389" s="128"/>
      <c r="U389" s="87">
        <f>+U387/$E387</f>
        <v>77.498358644992237</v>
      </c>
      <c r="V389" s="88"/>
    </row>
    <row r="390" spans="2:22" ht="13.5" thickTop="1">
      <c r="B390" s="98" t="s">
        <v>163</v>
      </c>
      <c r="C390" s="83"/>
      <c r="D390" s="127"/>
      <c r="E390" s="83">
        <v>12</v>
      </c>
      <c r="F390" s="127"/>
      <c r="G390" s="59">
        <v>0</v>
      </c>
      <c r="H390" s="127"/>
      <c r="I390" s="70">
        <v>20.73</v>
      </c>
      <c r="J390" s="127"/>
      <c r="K390" s="62">
        <f>E390*I390*V390</f>
        <v>1741.32</v>
      </c>
      <c r="L390" s="127"/>
      <c r="M390" s="62">
        <f>+K390</f>
        <v>1741.32</v>
      </c>
      <c r="N390" s="127"/>
      <c r="O390" s="63">
        <f>+E390</f>
        <v>12</v>
      </c>
      <c r="P390" s="127"/>
      <c r="Q390" s="63">
        <f>C390</f>
        <v>0</v>
      </c>
      <c r="R390" s="127"/>
      <c r="S390" s="71">
        <f t="shared" ref="S390" si="148">+I390*(1+$X$5)</f>
        <v>25.832786214997412</v>
      </c>
      <c r="T390" s="127"/>
      <c r="U390" s="72">
        <f>+O390*S390*V390</f>
        <v>2169.9540420597828</v>
      </c>
      <c r="V390" s="73">
        <v>7</v>
      </c>
    </row>
    <row r="391" spans="2:22" ht="13.5" thickBot="1">
      <c r="B391" s="78" t="s">
        <v>164</v>
      </c>
      <c r="C391" s="90">
        <f>SUM(C390)</f>
        <v>0</v>
      </c>
      <c r="D391" s="127"/>
      <c r="E391" s="90">
        <f>SUM(E390)</f>
        <v>12</v>
      </c>
      <c r="F391" s="127"/>
      <c r="G391" s="90">
        <f>SUM(G390)</f>
        <v>0</v>
      </c>
      <c r="H391" s="127"/>
      <c r="I391" s="61"/>
      <c r="J391" s="127"/>
      <c r="K391" s="81">
        <f>K390</f>
        <v>1741.32</v>
      </c>
      <c r="L391" s="127"/>
      <c r="M391" s="81">
        <f>+M390</f>
        <v>1741.32</v>
      </c>
      <c r="N391" s="127"/>
      <c r="O391" s="96">
        <f>+O390</f>
        <v>12</v>
      </c>
      <c r="P391" s="127"/>
      <c r="Q391" s="96">
        <f>+Q390</f>
        <v>0</v>
      </c>
      <c r="R391" s="127"/>
      <c r="S391" s="64"/>
      <c r="T391" s="127"/>
      <c r="U391" s="81">
        <f>+U390</f>
        <v>2169.9540420597828</v>
      </c>
      <c r="V391" s="82"/>
    </row>
    <row r="392" spans="2:22" ht="13.5" thickTop="1">
      <c r="B392" s="98"/>
      <c r="C392" s="83"/>
      <c r="D392" s="128"/>
      <c r="E392" s="83"/>
      <c r="F392" s="128"/>
      <c r="G392" s="59"/>
      <c r="H392" s="128"/>
      <c r="I392" s="61"/>
      <c r="J392" s="128"/>
      <c r="K392" s="62"/>
      <c r="L392" s="128"/>
      <c r="M392" s="62"/>
      <c r="N392" s="128"/>
      <c r="O392" s="63"/>
      <c r="P392" s="128"/>
      <c r="Q392" s="63"/>
      <c r="R392" s="128"/>
      <c r="S392" s="64"/>
      <c r="T392" s="128"/>
      <c r="U392" s="65"/>
      <c r="V392" s="66"/>
    </row>
    <row r="393" spans="2:22" ht="13.5" thickBot="1">
      <c r="B393" s="86" t="s">
        <v>165</v>
      </c>
      <c r="C393" s="83"/>
      <c r="E393" s="83"/>
      <c r="G393" s="59"/>
      <c r="I393" s="61"/>
      <c r="K393" s="62"/>
      <c r="M393" s="87">
        <f>+M391/$E391</f>
        <v>145.10999999999999</v>
      </c>
      <c r="O393" s="63"/>
      <c r="Q393" s="63"/>
      <c r="S393" s="64"/>
      <c r="U393" s="87">
        <f>+U391/$E391</f>
        <v>180.82950350498189</v>
      </c>
      <c r="V393" s="88"/>
    </row>
    <row r="394" spans="2:22" ht="13.5" thickTop="1">
      <c r="B394" s="98" t="s">
        <v>166</v>
      </c>
      <c r="C394" s="83"/>
      <c r="E394" s="83">
        <v>12</v>
      </c>
      <c r="G394" s="59">
        <v>0</v>
      </c>
      <c r="I394" s="70">
        <v>4.6100000000000003</v>
      </c>
      <c r="K394" s="62">
        <f>E394*I394*V394</f>
        <v>2987.28</v>
      </c>
      <c r="M394" s="62">
        <f>+K394</f>
        <v>2987.28</v>
      </c>
      <c r="O394" s="63">
        <f>+E394</f>
        <v>12</v>
      </c>
      <c r="Q394" s="63">
        <f>C394</f>
        <v>0</v>
      </c>
      <c r="S394" s="71">
        <f t="shared" ref="S394" si="149">+I394*(1+$X$5)</f>
        <v>5.7447730077731833</v>
      </c>
      <c r="U394" s="72">
        <f>+O394*S394*V394</f>
        <v>3722.6129090370227</v>
      </c>
      <c r="V394" s="73">
        <v>54</v>
      </c>
    </row>
    <row r="395" spans="2:22" ht="13.5" thickBot="1">
      <c r="B395" s="78" t="s">
        <v>167</v>
      </c>
      <c r="C395" s="90">
        <f>SUM(C394)</f>
        <v>0</v>
      </c>
      <c r="E395" s="90">
        <f>SUM(E394)</f>
        <v>12</v>
      </c>
      <c r="G395" s="90">
        <f>SUM(G394)</f>
        <v>0</v>
      </c>
      <c r="I395" s="61"/>
      <c r="K395" s="81">
        <f>K394</f>
        <v>2987.28</v>
      </c>
      <c r="M395" s="81">
        <f>+M394</f>
        <v>2987.28</v>
      </c>
      <c r="O395" s="96">
        <f>+O394</f>
        <v>12</v>
      </c>
      <c r="Q395" s="96">
        <f>+Q394</f>
        <v>0</v>
      </c>
      <c r="S395" s="64"/>
      <c r="U395" s="81">
        <f>+U394</f>
        <v>3722.6129090370227</v>
      </c>
      <c r="V395" s="82"/>
    </row>
    <row r="396" spans="2:22" ht="13.5" thickTop="1">
      <c r="B396" s="98"/>
      <c r="C396" s="83"/>
      <c r="E396" s="83"/>
      <c r="G396" s="59"/>
      <c r="I396" s="61"/>
      <c r="K396" s="62"/>
      <c r="M396" s="62"/>
      <c r="O396" s="63"/>
      <c r="Q396" s="63"/>
      <c r="S396" s="64"/>
      <c r="U396" s="65"/>
      <c r="V396" s="66"/>
    </row>
    <row r="397" spans="2:22" ht="13.5" thickBot="1">
      <c r="B397" s="86" t="s">
        <v>168</v>
      </c>
      <c r="C397" s="83"/>
      <c r="E397" s="83"/>
      <c r="G397" s="59"/>
      <c r="I397" s="61"/>
      <c r="K397" s="62"/>
      <c r="M397" s="87">
        <f>+M395/$E395</f>
        <v>248.94000000000003</v>
      </c>
      <c r="O397" s="63"/>
      <c r="Q397" s="63"/>
      <c r="S397" s="64"/>
      <c r="U397" s="87">
        <f>+U395/$E395</f>
        <v>310.21774241975191</v>
      </c>
      <c r="V397" s="88"/>
    </row>
    <row r="398" spans="2:22" ht="14.25" thickTop="1" thickBot="1">
      <c r="B398" s="55" t="s">
        <v>169</v>
      </c>
      <c r="C398" s="129">
        <f>C376+C367+C358+C349+C340+C331+C322+C312+C302+C292+C282+C272+C262+C252+C242</f>
        <v>30101.342443739893</v>
      </c>
      <c r="E398" s="129">
        <f>+E391+E387+E367+E358+E349+E340+E331+E312+E302+E292+E282+E272+E262+E252+E242</f>
        <v>6869</v>
      </c>
      <c r="G398" s="129">
        <f>+G391+G387+G367+G358+G349+G340+G331+G312+G302+G292+G282+G272+G262+G252+G242</f>
        <v>21167.970251356714</v>
      </c>
      <c r="I398" s="130"/>
      <c r="K398" s="131">
        <f>+K391+K387+K367+K358+K349+K340+K331+K312+K302+K292+K282+K272+K262+K252+K242+K395+K376+K322+K382</f>
        <v>252610.87576366804</v>
      </c>
      <c r="M398" s="131">
        <f>+M391+M387+M367+M358+M349+M340+M331+M312+M302+M292+M282+M272+M262+M252+M242+M395+M376+M322+M382</f>
        <v>252610.87576366804</v>
      </c>
      <c r="O398" s="129">
        <f>+O391+O387+O367+O358+O349+O340+O331+O312+O302+O292+O282+O272+O262+O252+O242</f>
        <v>6869</v>
      </c>
      <c r="Q398" s="129">
        <f>+Q391+Q387+Q367+Q358+Q349+Q340+Q331+Q312+Q302+Q292+Q282+Q272+Q262+Q252+Q242</f>
        <v>21167.970251356714</v>
      </c>
      <c r="S398" s="132"/>
      <c r="U398" s="131">
        <f>+U391+U387+U367+U358+U349+U340+U331+U312+U302+U292+U282+U272+U262+U252+U242+U395+U376+U322+U382</f>
        <v>213729.51717955124</v>
      </c>
      <c r="V398" s="133"/>
    </row>
    <row r="399" spans="2:22" ht="13.5" thickTop="1">
      <c r="B399" s="127"/>
      <c r="C399" s="127"/>
      <c r="E399" s="127"/>
      <c r="G399" s="127"/>
      <c r="I399" s="134"/>
      <c r="K399" s="127"/>
      <c r="M399" s="127"/>
      <c r="O399" s="127"/>
      <c r="Q399" s="127"/>
      <c r="S399" s="127"/>
      <c r="U399" s="127"/>
      <c r="V399" s="135"/>
    </row>
    <row r="400" spans="2:22">
      <c r="B400" s="127"/>
      <c r="C400" s="127"/>
      <c r="E400" s="127"/>
      <c r="G400" s="127"/>
      <c r="I400" s="134"/>
      <c r="K400" s="127"/>
      <c r="M400" s="127"/>
      <c r="O400" s="127"/>
      <c r="Q400" s="127"/>
      <c r="S400" s="127"/>
      <c r="U400" s="127"/>
      <c r="V400" s="135"/>
    </row>
    <row r="401" spans="2:22" ht="13.5" thickBot="1">
      <c r="B401" s="128" t="s">
        <v>170</v>
      </c>
      <c r="C401" s="136">
        <f>+C398+C232</f>
        <v>410060.99258780497</v>
      </c>
      <c r="E401" s="129">
        <f>+E398+E232</f>
        <v>75036</v>
      </c>
      <c r="G401" s="129">
        <f>+G398+G232</f>
        <v>314996.23008255701</v>
      </c>
      <c r="I401" s="130"/>
      <c r="K401" s="129">
        <f>+K398+K232</f>
        <v>2100261.5742871873</v>
      </c>
      <c r="M401" s="137">
        <f>+M398+M232</f>
        <v>2100261.5742871873</v>
      </c>
      <c r="O401" s="129">
        <f>+O398+O232</f>
        <v>75036</v>
      </c>
      <c r="Q401" s="129">
        <f>+Q398+Q232</f>
        <v>314996.23008255701</v>
      </c>
      <c r="S401" s="132"/>
      <c r="U401" s="129">
        <f>+U398+U232</f>
        <v>2617186.187493898</v>
      </c>
      <c r="V401" s="133"/>
    </row>
    <row r="402" spans="2:22" ht="13.5" thickTop="1"/>
    <row r="403" spans="2:22">
      <c r="M403" s="114">
        <v>2107764.9900000007</v>
      </c>
      <c r="U403" s="114">
        <v>2617250.7594855195</v>
      </c>
    </row>
    <row r="404" spans="2:22">
      <c r="M404" s="114">
        <f>+M401-M403</f>
        <v>-7503.4157128133811</v>
      </c>
      <c r="U404" s="114">
        <f>+U401-U403</f>
        <v>-64.571991621516645</v>
      </c>
    </row>
    <row r="405" spans="2:22">
      <c r="M405" s="140">
        <f>+M404/M403</f>
        <v>-3.559891993847653E-3</v>
      </c>
      <c r="U405" s="140">
        <f>+U404/U403</f>
        <v>-2.4671687031704119E-5</v>
      </c>
    </row>
  </sheetData>
  <pageMargins left="0.7" right="0.7" top="0.75" bottom="0.75" header="0.3" footer="0.3"/>
  <pageSetup scale="48" orientation="portrait" r:id="rId1"/>
  <rowBreaks count="2" manualBreakCount="2">
    <brk id="195" max="20" man="1"/>
    <brk id="2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Structure</vt:lpstr>
      <vt:lpstr>Cost Per Gallon</vt:lpstr>
      <vt:lpstr>Sch.D-Revenue</vt:lpstr>
    </vt:vector>
  </TitlesOfParts>
  <Company>Utilities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jpkersey</dc:creator>
  <cp:lastModifiedBy>bhallora</cp:lastModifiedBy>
  <dcterms:created xsi:type="dcterms:W3CDTF">2016-01-05T21:32:45Z</dcterms:created>
  <dcterms:modified xsi:type="dcterms:W3CDTF">2016-01-15T21:48:06Z</dcterms:modified>
</cp:coreProperties>
</file>